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4.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drawings/drawing5.xml" ContentType="application/vnd.openxmlformats-officedocument.drawing+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drawings/drawing6.xml" ContentType="application/vnd.openxmlformats-officedocument.drawing+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drawings/drawing7.xml" ContentType="application/vnd.openxmlformats-officedocument.drawing+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drawings/drawing8.xml" ContentType="application/vnd.openxmlformats-officedocument.drawing+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drawings/drawing9.xml" ContentType="application/vnd.openxmlformats-officedocument.drawing+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drawings/drawing10.xml" ContentType="application/vnd.openxmlformats-officedocument.drawing+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drawings/drawing11.xml" ContentType="application/vnd.openxmlformats-officedocument.drawing+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drawings/drawing12.xml" ContentType="application/vnd.openxmlformats-officedocument.drawing+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drawings/drawing13.xml" ContentType="application/vnd.openxmlformats-officedocument.drawing+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drawings/drawing14.xml" ContentType="application/vnd.openxmlformats-officedocument.drawing+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drawings/drawing15.xml" ContentType="application/vnd.openxmlformats-officedocument.drawing+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drawings/drawing16.xml" ContentType="application/vnd.openxmlformats-officedocument.drawing+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drawings/drawing17.xml" ContentType="application/vnd.openxmlformats-officedocument.drawing+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drawings/drawing18.xml" ContentType="application/vnd.openxmlformats-officedocument.drawing+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drawings/drawing19.xml" ContentType="application/vnd.openxmlformats-officedocument.drawing+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drawings/drawing20.xml" ContentType="application/vnd.openxmlformats-officedocument.drawing+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drawings/drawing21.xml" ContentType="application/vnd.openxmlformats-officedocument.drawing+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codeName="ThisWorkbook"/>
  <mc:AlternateContent xmlns:mc="http://schemas.openxmlformats.org/markup-compatibility/2006">
    <mc:Choice Requires="x15">
      <x15ac:absPath xmlns:x15ac="http://schemas.microsoft.com/office/spreadsheetml/2010/11/ac" url="C:\Users\rjcsantos\Downloads\"/>
    </mc:Choice>
  </mc:AlternateContent>
  <xr:revisionPtr revIDLastSave="0" documentId="13_ncr:1_{ADE713FE-FE19-4FC4-8F7A-C6B7CB274DE9}" xr6:coauthVersionLast="36" xr6:coauthVersionMax="47" xr10:uidLastSave="{00000000-0000-0000-0000-000000000000}"/>
  <bookViews>
    <workbookView xWindow="0" yWindow="0" windowWidth="20490" windowHeight="7245" tabRatio="896" firstSheet="4" activeTab="6" xr2:uid="{00000000-000D-0000-FFFF-FFFF00000000}"/>
  </bookViews>
  <sheets>
    <sheet name="Package Breakdown - Casas 10.21" sheetId="49" state="hidden" r:id="rId1"/>
    <sheet name="Internal Pricelist - PS" sheetId="50" state="hidden" r:id="rId2"/>
    <sheet name="Priority Selling List" sheetId="47" state="hidden" r:id="rId3"/>
    <sheet name="Internal Pricelist" sheetId="48" state="hidden" r:id="rId4"/>
    <sheet name="PriceLink_Fitted" sheetId="33" r:id="rId5"/>
    <sheet name="FORM" sheetId="4" r:id="rId6"/>
    <sheet name="STANDARD COMP." sheetId="5" r:id="rId7"/>
    <sheet name="LOI_STANDARD" sheetId="38" r:id="rId8"/>
    <sheet name="RA_Standard" sheetId="12" r:id="rId9"/>
    <sheet name="STEP UP" sheetId="26" r:id="rId10"/>
    <sheet name="LOI_STEP UP" sheetId="34" r:id="rId11"/>
    <sheet name="RA_Step up" sheetId="27" r:id="rId12"/>
    <sheet name="SPOT EQUITY_7DAYS" sheetId="6" r:id="rId13"/>
    <sheet name="LOI_SE7D" sheetId="39" r:id="rId14"/>
    <sheet name="RA_SE7D" sheetId="13" r:id="rId15"/>
    <sheet name="SPOT EQUITY_30DAYS" sheetId="7" r:id="rId16"/>
    <sheet name="LOI_SE30D" sheetId="40" r:id="rId17"/>
    <sheet name="RA_SE30D" sheetId="14" r:id="rId18"/>
    <sheet name="SPOT CASH_30 DAYS" sheetId="8" r:id="rId19"/>
    <sheet name="SPOT CASH_60 DAYS" sheetId="9" r:id="rId20"/>
    <sheet name="LOI_SC30D" sheetId="41" r:id="rId21"/>
    <sheet name="RA_SC30D" sheetId="15" r:id="rId22"/>
    <sheet name="LOI_SC60D" sheetId="42" r:id="rId23"/>
    <sheet name="RA_SC60D" sheetId="16" r:id="rId24"/>
    <sheet name="DEFERRED" sheetId="20" r:id="rId25"/>
    <sheet name="LOI_DEFERRED" sheetId="43" r:id="rId26"/>
    <sheet name="RA_DEFERRED" sheetId="21" r:id="rId27"/>
    <sheet name="SPECIAL PACKAGE" sheetId="10" r:id="rId28"/>
    <sheet name="LOI_SPECIAL" sheetId="44" r:id="rId29"/>
    <sheet name="RA_Special" sheetId="17" r:id="rId30"/>
    <sheet name="Docs Req" sheetId="18" r:id="rId31"/>
  </sheets>
  <externalReferences>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s>
  <definedNames>
    <definedName name="_____________________MI31" localSheetId="0">#REF!</definedName>
    <definedName name="_____________________MI31">#REF!</definedName>
    <definedName name="_____________________mi32" localSheetId="0">#REF!</definedName>
    <definedName name="_____________________mi32">#REF!</definedName>
    <definedName name="____________________MI31" localSheetId="0">#REF!</definedName>
    <definedName name="____________________MI31">#REF!</definedName>
    <definedName name="____________________mi32">#REF!</definedName>
    <definedName name="___________________MI31">#REF!</definedName>
    <definedName name="___________________mi32">#REF!</definedName>
    <definedName name="__________________MI31">#REF!</definedName>
    <definedName name="__________________mi32">#REF!</definedName>
    <definedName name="_________________MI31">#REF!</definedName>
    <definedName name="_________________mi32">#REF!</definedName>
    <definedName name="________________MI31">#REF!</definedName>
    <definedName name="________________mi32">#REF!</definedName>
    <definedName name="_______________MI31">#REF!</definedName>
    <definedName name="_______________mi32">#REF!</definedName>
    <definedName name="______________MI31">#REF!</definedName>
    <definedName name="______________mi32">#REF!</definedName>
    <definedName name="_____________MI31">#REF!</definedName>
    <definedName name="_____________mi32">#REF!</definedName>
    <definedName name="____________MI31">#REF!</definedName>
    <definedName name="____________mi32">#REF!</definedName>
    <definedName name="___________MI31">#REF!</definedName>
    <definedName name="___________mi32">#REF!</definedName>
    <definedName name="__________MI31">#REF!</definedName>
    <definedName name="__________mi32">#REF!</definedName>
    <definedName name="_________MI31">#REF!</definedName>
    <definedName name="_________mi32">#REF!</definedName>
    <definedName name="________MI31">#REF!</definedName>
    <definedName name="________mi32">#REF!</definedName>
    <definedName name="_______MI31">#REF!</definedName>
    <definedName name="_______mi32">#REF!</definedName>
    <definedName name="______MI31">#REF!</definedName>
    <definedName name="______mi32">#REF!</definedName>
    <definedName name="_____MI31">#REF!</definedName>
    <definedName name="_____mi32">#REF!</definedName>
    <definedName name="_____pg2">#REF!</definedName>
    <definedName name="____MI31">#REF!</definedName>
    <definedName name="____mi32">#REF!</definedName>
    <definedName name="____pg2">#REF!</definedName>
    <definedName name="___MI31">#REF!</definedName>
    <definedName name="___mi32">#REF!</definedName>
    <definedName name="___pg2">#REF!</definedName>
    <definedName name="__MI31">#REF!</definedName>
    <definedName name="__mi32">#REF!</definedName>
    <definedName name="__pg2">#REF!</definedName>
    <definedName name="_xlnm._FilterDatabase" localSheetId="3" hidden="1">'Internal Pricelist'!$A$6:$GI$151</definedName>
    <definedName name="_xlnm._FilterDatabase" localSheetId="1" hidden="1">'Internal Pricelist - PS'!$A$2:$ES$2</definedName>
    <definedName name="_xlnm._FilterDatabase" localSheetId="4" hidden="1">PriceLink_Fitted!$A$1:$E$629</definedName>
    <definedName name="_xlnm._FilterDatabase" localSheetId="9" hidden="1">'STEP UP'!$B$2:$AD$85</definedName>
    <definedName name="_MI31" localSheetId="0">#REF!</definedName>
    <definedName name="_MI31">#REF!</definedName>
    <definedName name="_mi32" localSheetId="0">#REF!</definedName>
    <definedName name="_mi32">#REF!</definedName>
    <definedName name="_pg2" localSheetId="0">#REF!</definedName>
    <definedName name="_pg2">#REF!</definedName>
    <definedName name="A">#REF!</definedName>
    <definedName name="aaaaaaa">#REF!</definedName>
    <definedName name="admin">'[1]Notes 2'!#REF!</definedName>
    <definedName name="adsada" localSheetId="0">#REF!</definedName>
    <definedName name="adsada">#REF!</definedName>
    <definedName name="AOErev" localSheetId="0">#REF!</definedName>
    <definedName name="AOErev">#REF!</definedName>
    <definedName name="as" localSheetId="0">#REF!</definedName>
    <definedName name="as">#REF!</definedName>
    <definedName name="asas" localSheetId="0">#REF!,#REF!,#REF!</definedName>
    <definedName name="asas">#REF!,#REF!,#REF!</definedName>
    <definedName name="b" localSheetId="0">#REF!</definedName>
    <definedName name="b">#REF!</definedName>
    <definedName name="Beginning_Balance" localSheetId="0">#N/A</definedName>
    <definedName name="Beginning_Balance" localSheetId="2">-FV('[2]Loan Calculator'!Interest_Rate/12,'Priority Selling List'!Payment_Number-1,-'[2]Loan Calculator'!Monthly_Payment,'[2]Loan Calculator'!Loan_Amount)</definedName>
    <definedName name="Beginning_Balance">-FV('[2]Loan Calculator'!Interest_Rate/12,Payment_Number-1,-'[2]Loan Calculator'!Monthly_Payment,'[2]Loan Calculator'!Loan_Amount)</definedName>
    <definedName name="BIR" localSheetId="0">#REF!,#REF!,#REF!</definedName>
    <definedName name="BIR">#REF!,#REF!,#REF!</definedName>
    <definedName name="BIRiii" localSheetId="0">#REF!</definedName>
    <definedName name="BIRiii">#REF!</definedName>
    <definedName name="boet" localSheetId="0">#REF!</definedName>
    <definedName name="boet">#REF!</definedName>
    <definedName name="CashFlowCategoryList">[3]LIST!$A$2:$A$14</definedName>
    <definedName name="CBC" localSheetId="0">#REF!</definedName>
    <definedName name="CBC">#REF!</definedName>
    <definedName name="CBCLOAN_2" localSheetId="0">#REF!</definedName>
    <definedName name="CBCLOAN_2">#REF!</definedName>
    <definedName name="CF" localSheetId="0">#REF!</definedName>
    <definedName name="CF">#REF!</definedName>
    <definedName name="CHINA">#REF!</definedName>
    <definedName name="COASEP">[4]COASEP!$A$1:$IV$65536</definedName>
    <definedName name="depreciation" localSheetId="0">#REF!</definedName>
    <definedName name="depreciation">#REF!</definedName>
    <definedName name="DocTemplates" localSheetId="25">OFFSET(#REF!,,,COUNTA(#REF!),1)</definedName>
    <definedName name="DocTemplates" localSheetId="20">OFFSET(#REF!,,,COUNTA(#REF!),1)</definedName>
    <definedName name="DocTemplates" localSheetId="22">OFFSET(#REF!,,,COUNTA(#REF!),1)</definedName>
    <definedName name="DocTemplates" localSheetId="16">OFFSET(#REF!,,,COUNTA(#REF!),1)</definedName>
    <definedName name="DocTemplates" localSheetId="13">OFFSET(#REF!,,,COUNTA(#REF!),1)</definedName>
    <definedName name="DocTemplates" localSheetId="28">OFFSET(#REF!,,,COUNTA(#REF!),1)</definedName>
    <definedName name="DocTemplates" localSheetId="7">OFFSET(#REF!,,,COUNTA(#REF!),1)</definedName>
    <definedName name="DocTemplates" localSheetId="10">OFFSET(#REF!,,,COUNTA(#REF!),1)</definedName>
    <definedName name="DocTemplates" localSheetId="9">OFFSET(#REF!,,,COUNTA(#REF!),1)</definedName>
    <definedName name="DocTemplates">OFFSET(#REF!,,,COUNTA(#REF!),1)</definedName>
    <definedName name="dsdfdg" localSheetId="0">'[1]Note 1'!#REF!</definedName>
    <definedName name="dsdfdg" localSheetId="2">'[1]Note 1'!#REF!</definedName>
    <definedName name="dsdfdg">'[1]Note 1'!#REF!</definedName>
    <definedName name="DSDSFSF" localSheetId="0">#REF!</definedName>
    <definedName name="DSDSFSF">#REF!</definedName>
    <definedName name="Ending_Balance" localSheetId="0">#N/A</definedName>
    <definedName name="Ending_Balance" localSheetId="2">-FV('[2]Loan Calculator'!Interest_Rate/12,'Priority Selling List'!Payment_Number,-'[2]Loan Calculator'!Monthly_Payment,'[2]Loan Calculator'!Loan_Amount)</definedName>
    <definedName name="Ending_Balance">-FV('[2]Loan Calculator'!Interest_Rate/12,Payment_Number,-'[2]Loan Calculator'!Monthly_Payment,'[2]Loan Calculator'!Loan_Amount)</definedName>
    <definedName name="er" localSheetId="0">#REF!</definedName>
    <definedName name="er">#REF!</definedName>
    <definedName name="Excel_BuiltIn__FilterDatabase_24" localSheetId="0">'[1]Notes 2'!#REF!</definedName>
    <definedName name="Excel_BuiltIn__FilterDatabase_24">'[1]Notes 2'!#REF!</definedName>
    <definedName name="Excel_BuiltIn__FilterDatabase_26" localSheetId="0">[1]TB!#REF!</definedName>
    <definedName name="Excel_BuiltIn__FilterDatabase_26">[1]TB!#REF!</definedName>
    <definedName name="Excel_BuiltIn__FilterDatabase_27" localSheetId="0">'[1]POSTED ADJ'!#REF!</definedName>
    <definedName name="Excel_BuiltIn__FilterDatabase_27">'[1]POSTED ADJ'!#REF!</definedName>
    <definedName name="Excel_BuiltIn__FilterDatabase_3">[5]hcpi!$B$1:$G$1216</definedName>
    <definedName name="Excel_BuiltIn_Print_Area_11" localSheetId="0">#REF!</definedName>
    <definedName name="Excel_BuiltIn_Print_Area_11">#REF!</definedName>
    <definedName name="Excel_BuiltIn_Print_Area_14" localSheetId="0">#REF!</definedName>
    <definedName name="Excel_BuiltIn_Print_Area_14">#REF!</definedName>
    <definedName name="Excel_BuiltIn_Print_Area_15" localSheetId="0">#REF!</definedName>
    <definedName name="Excel_BuiltIn_Print_Area_15">#REF!</definedName>
    <definedName name="Excel_BuiltIn_Print_Area_17">#REF!</definedName>
    <definedName name="Excel_BuiltIn_Print_Area_19">#REF!</definedName>
    <definedName name="Excel_BuiltIn_Print_Area_2">#REF!</definedName>
    <definedName name="Excel_BuiltIn_Print_Area_22">#REF!</definedName>
    <definedName name="Excel_BuiltIn_Print_Area_23">#REF!</definedName>
    <definedName name="Excel_BuiltIn_Print_Area_24">#REF!</definedName>
    <definedName name="Excel_BuiltIn_Print_Area_25">#REF!</definedName>
    <definedName name="Excel_BuiltIn_Print_Area_5">#REF!</definedName>
    <definedName name="Excel_BuiltIn_Print_Area_9">#REF!</definedName>
    <definedName name="Excel_BuiltIn_Print_Titles_17">#REF!</definedName>
    <definedName name="Excel_BuiltIn_Print_Titles_2">#REF!</definedName>
    <definedName name="Excel_BuiltIn_Print_Titles_3">#REF!</definedName>
    <definedName name="Excel_BuiltIn_Print_Titles_4">#REF!</definedName>
    <definedName name="Excel_BuiltIn_Print_Titles_4_1">[6]Aging!$A$1:$D$65532,[6]Aging!$A$1:$IV$6</definedName>
    <definedName name="Excel_BuiltIn_Print_Titles_5" localSheetId="0">#REF!</definedName>
    <definedName name="Excel_BuiltIn_Print_Titles_5">#REF!</definedName>
    <definedName name="exhibit" localSheetId="0">#REF!,#REF!,#REF!</definedName>
    <definedName name="exhibit">#REF!,#REF!,#REF!</definedName>
    <definedName name="FLI" localSheetId="0">'[7]fv thru pnl - bpiMS'!#REF!</definedName>
    <definedName name="FLI" localSheetId="2">'[7]fv thru pnl - bpiMS'!#REF!</definedName>
    <definedName name="FLI">'[7]fv thru pnl - bpiMS'!#REF!</definedName>
    <definedName name="GARY" localSheetId="0">#REF!</definedName>
    <definedName name="GARY">#REF!</definedName>
    <definedName name="glcode">'[8]gl code'!$A$7:$E$322</definedName>
    <definedName name="Header_Row">ROW('[2]Loan Calculator'!$12:$12)</definedName>
    <definedName name="hj" localSheetId="0">#REF!</definedName>
    <definedName name="hj">#REF!</definedName>
    <definedName name="hjk" localSheetId="0">#REF!</definedName>
    <definedName name="hjk">#REF!</definedName>
    <definedName name="HU" localSheetId="0">#REF!</definedName>
    <definedName name="HU">#REF!</definedName>
    <definedName name="huog">#REF!</definedName>
    <definedName name="Interest" localSheetId="0">#N/A</definedName>
    <definedName name="Interest" localSheetId="2">-IPMT('[2]Loan Calculator'!Interest_Rate/12,'Priority Selling List'!Payment_Number,'[2]Loan Calculator'!Number_of_Payments,'[2]Loan Calculator'!Loan_Amount)</definedName>
    <definedName name="Interest">-IPMT('[2]Loan Calculator'!Interest_Rate/12,Payment_Number,'[2]Loan Calculator'!Number_of_Payments,'[2]Loan Calculator'!Loan_Amount)</definedName>
    <definedName name="itr" localSheetId="0">#REF!</definedName>
    <definedName name="itr">#REF!</definedName>
    <definedName name="J" localSheetId="0">#REF!</definedName>
    <definedName name="J">#REF!</definedName>
    <definedName name="K" localSheetId="0">#REF!,#REF!,#REF!</definedName>
    <definedName name="K">#REF!,#REF!,#REF!</definedName>
    <definedName name="kk" localSheetId="0">#REF!</definedName>
    <definedName name="kk">#REF!</definedName>
    <definedName name="kkkk" localSheetId="0">#REF!</definedName>
    <definedName name="kkkk">#REF!</definedName>
    <definedName name="kl" localSheetId="0">#REF!</definedName>
    <definedName name="kl">#REF!</definedName>
    <definedName name="ksajdkjsd">'[9]gl code'!$A$7:$E$322</definedName>
    <definedName name="l" localSheetId="0">#REF!</definedName>
    <definedName name="l">#REF!</definedName>
    <definedName name="Last_Row" localSheetId="0">#N/A</definedName>
    <definedName name="Last_Row" localSheetId="2">IF('[2]Loan Calculator'!Values_Entered,Header_Row+'[2]Loan Calculator'!Number_of_Payments,Header_Row)</definedName>
    <definedName name="Last_Row">IF('[2]Loan Calculator'!Values_Entered,Header_Row+'[2]Loan Calculator'!Number_of_Payments,Header_Row)</definedName>
    <definedName name="lee" localSheetId="0">[10]TB!#REF!</definedName>
    <definedName name="lee" localSheetId="2">[10]TB!#REF!</definedName>
    <definedName name="lee">[10]TB!#REF!</definedName>
    <definedName name="LIS" localSheetId="0">#REF!</definedName>
    <definedName name="LIS">#REF!</definedName>
    <definedName name="LIST" localSheetId="0">#REF!</definedName>
    <definedName name="LIST">#REF!</definedName>
    <definedName name="LIST_15" localSheetId="0">#REF!</definedName>
    <definedName name="LIST_15">#REF!</definedName>
    <definedName name="LIST_23">#REF!</definedName>
    <definedName name="LIST_24">#REF!</definedName>
    <definedName name="LIST1">#REF!</definedName>
    <definedName name="list2">#REF!</definedName>
    <definedName name="LISTED">#REF!</definedName>
    <definedName name="lk">#REF!</definedName>
    <definedName name="lkk">#REF!</definedName>
    <definedName name="ll">#REF!</definedName>
    <definedName name="llkk">#REF!</definedName>
    <definedName name="lllk">#REF!</definedName>
    <definedName name="lm">#REF!</definedName>
    <definedName name="Loan_Not_Paid" localSheetId="0">#N/A</definedName>
    <definedName name="Loan_Not_Paid" localSheetId="2">IF('Priority Selling List'!Payment_Number&lt;='[2]Loan Calculator'!Number_of_Payments,1,0)</definedName>
    <definedName name="Loan_Not_Paid">IF(Payment_Number&lt;='[2]Loan Calculator'!Number_of_Payments,1,0)</definedName>
    <definedName name="MJ" localSheetId="0">#REF!</definedName>
    <definedName name="MJ">#REF!</definedName>
    <definedName name="MNIPJO" localSheetId="0">#REF!</definedName>
    <definedName name="MNIPJO">#REF!</definedName>
    <definedName name="N" localSheetId="0">#REF!</definedName>
    <definedName name="N">#REF!</definedName>
    <definedName name="OLE_LINK1_14" localSheetId="0">[1]CF!#REF!</definedName>
    <definedName name="OLE_LINK1_14" localSheetId="2">[1]CF!#REF!</definedName>
    <definedName name="OLE_LINK1_14">[1]CF!#REF!</definedName>
    <definedName name="OLE_LINK1_15" localSheetId="0">[1]note_2008!#REF!</definedName>
    <definedName name="OLE_LINK1_15">[1]note_2008!#REF!</definedName>
    <definedName name="OLE_LINK1_23" localSheetId="0">'[1]Note 1'!#REF!</definedName>
    <definedName name="OLE_LINK1_23">'[1]Note 1'!#REF!</definedName>
    <definedName name="OLE_LINK4_14" localSheetId="0">[1]CF!#REF!</definedName>
    <definedName name="OLE_LINK4_14">[1]CF!#REF!</definedName>
    <definedName name="OLE_LINK5_12">[11]IS!#REF!</definedName>
    <definedName name="Others" localSheetId="0">#REF!</definedName>
    <definedName name="Others">#REF!</definedName>
    <definedName name="Page1_28">'[12]2000'!$B$1:$AJ$66</definedName>
    <definedName name="Page2_28">'[12]2000'!$AO$70:$BM$159</definedName>
    <definedName name="Page3_28">'[12]2000'!$BT$161:$CW$237</definedName>
    <definedName name="Paje" localSheetId="0">#REF!</definedName>
    <definedName name="Paje">#REF!</definedName>
    <definedName name="Payment_Date" localSheetId="0">#N/A</definedName>
    <definedName name="Payment_Date" localSheetId="2">DATE(YEAR('[2]Loan Calculator'!Loan_Start),MONTH('[2]Loan Calculator'!Loan_Start)+'Priority Selling List'!Payment_Number,DAY('[2]Loan Calculator'!Loan_Start))</definedName>
    <definedName name="Payment_Date">DATE(YEAR('[2]Loan Calculator'!Loan_Start),MONTH('[2]Loan Calculator'!Loan_Start)+Payment_Number,DAY('[2]Loan Calculator'!Loan_Start))</definedName>
    <definedName name="Payment_Number" localSheetId="0">ROW()-[0]!Header_Row</definedName>
    <definedName name="Payment_Number" localSheetId="2">ROW()-Header_Row</definedName>
    <definedName name="Payment_Number">ROW()-Header_Row</definedName>
    <definedName name="PCR" localSheetId="0">#REF!</definedName>
    <definedName name="PCR">#REF!</definedName>
    <definedName name="PHASE1" localSheetId="0">#REF!</definedName>
    <definedName name="PHASE1">#REF!</definedName>
    <definedName name="PO" localSheetId="0">#REF!</definedName>
    <definedName name="PO">#REF!</definedName>
    <definedName name="pricelist">'STANDARD COMP.'!$AF$50:$BC$833</definedName>
    <definedName name="Principal" localSheetId="0">#N/A</definedName>
    <definedName name="Principal" localSheetId="2">-PPMT('[2]Loan Calculator'!Interest_Rate/12,'Priority Selling List'!Payment_Number,'[2]Loan Calculator'!Number_of_Payments,'[2]Loan Calculator'!Loan_Amount)</definedName>
    <definedName name="Principal">-PPMT('[2]Loan Calculator'!Interest_Rate/12,Payment_Number,'[2]Loan Calculator'!Number_of_Payments,'[2]Loan Calculator'!Loan_Amount)</definedName>
    <definedName name="_xlnm.Print_Area" localSheetId="24">DEFERRED!$A$1:$R$67</definedName>
    <definedName name="_xlnm.Print_Area" localSheetId="25">LOI_DEFERRED!$A$1:$U$69</definedName>
    <definedName name="_xlnm.Print_Area" localSheetId="20">LOI_SC30D!$A$1:$U$69</definedName>
    <definedName name="_xlnm.Print_Area" localSheetId="22">LOI_SC60D!$A$1:$U$69</definedName>
    <definedName name="_xlnm.Print_Area" localSheetId="16">LOI_SE30D!$A$1:$U$69</definedName>
    <definedName name="_xlnm.Print_Area" localSheetId="13">LOI_SE7D!$A$1:$U$69</definedName>
    <definedName name="_xlnm.Print_Area" localSheetId="28">LOI_SPECIAL!$A$1:$U$69</definedName>
    <definedName name="_xlnm.Print_Area" localSheetId="7">LOI_STANDARD!$A$1:$U$69</definedName>
    <definedName name="_xlnm.Print_Area" localSheetId="10">'LOI_STEP UP'!$A$1:$U$69</definedName>
    <definedName name="_xlnm.Print_Area" localSheetId="4">PriceLink_Fitted!$F$1:$AA$164</definedName>
    <definedName name="_xlnm.Print_Area" localSheetId="26">RA_DEFERRED!$A$1:$U$118</definedName>
    <definedName name="_xlnm.Print_Area" localSheetId="21">RA_SC30D!$A$1:$U$118</definedName>
    <definedName name="_xlnm.Print_Area" localSheetId="23">RA_SC60D!$A$1:$U$118</definedName>
    <definedName name="_xlnm.Print_Area" localSheetId="17">RA_SE30D!$A$1:$U$120</definedName>
    <definedName name="_xlnm.Print_Area" localSheetId="14">RA_SE7D!$A$1:$U$124</definedName>
    <definedName name="_xlnm.Print_Area" localSheetId="29">RA_Special!$A$1:$U$118</definedName>
    <definedName name="_xlnm.Print_Area" localSheetId="8">RA_Standard!$A$1:$U$123</definedName>
    <definedName name="_xlnm.Print_Area" localSheetId="11">'RA_Step up'!$A$1:$U$123</definedName>
    <definedName name="_xlnm.Print_Area" localSheetId="27">'SPECIAL PACKAGE'!$A$1:$AD$69</definedName>
    <definedName name="_xlnm.Print_Area" localSheetId="18">'SPOT CASH_30 DAYS'!$A$1:$S$65</definedName>
    <definedName name="_xlnm.Print_Area" localSheetId="19">'SPOT CASH_60 DAYS'!$A$1:$S$59</definedName>
    <definedName name="_xlnm.Print_Area" localSheetId="15">'SPOT EQUITY_30DAYS'!$A$2:$S$69</definedName>
    <definedName name="_xlnm.Print_Area" localSheetId="12">'SPOT EQUITY_7DAYS'!$A$1:$P$71</definedName>
    <definedName name="_xlnm.Print_Area" localSheetId="6">'STANDARD COMP.'!$B$1:$Q$72</definedName>
    <definedName name="_xlnm.Print_Area" localSheetId="9">'STEP UP'!$B$1:$AE$84</definedName>
    <definedName name="Q" localSheetId="0">#REF!</definedName>
    <definedName name="Q">#REF!</definedName>
    <definedName name="qwe" localSheetId="0">#REF!</definedName>
    <definedName name="qwe">#REF!</definedName>
    <definedName name="sa" localSheetId="0">#REF!</definedName>
    <definedName name="sa">#REF!</definedName>
    <definedName name="SCHED1">#REF!</definedName>
    <definedName name="SCHED1_15">#REF!</definedName>
    <definedName name="SCHED1_23">#REF!</definedName>
    <definedName name="SCHED1_24">#REF!</definedName>
    <definedName name="sched2">#REF!</definedName>
    <definedName name="sched3">#REF!</definedName>
    <definedName name="sched3_15">#REF!</definedName>
    <definedName name="sched3_23">#REF!</definedName>
    <definedName name="sched3_24">#REF!</definedName>
    <definedName name="SKED">#REF!</definedName>
    <definedName name="SPCNO">[13]SPC_LIST!$A$1:$A$65536</definedName>
    <definedName name="tax" localSheetId="0">#REF!</definedName>
    <definedName name="tax">#REF!</definedName>
    <definedName name="taxeslic" localSheetId="0">#REF!</definedName>
    <definedName name="taxeslic">#REF!</definedName>
    <definedName name="TaxesLicenses" localSheetId="0">#REF!</definedName>
    <definedName name="TaxesLicenses">#REF!</definedName>
    <definedName name="taxlic">#REF!</definedName>
    <definedName name="taxlic_15">#REF!</definedName>
    <definedName name="taxlic_23">#REF!</definedName>
    <definedName name="taxlic_24">#REF!</definedName>
    <definedName name="tet">#REF!</definedName>
    <definedName name="Total_Cost">#REF!</definedName>
    <definedName name="ty">#REF!</definedName>
    <definedName name="uy">#REF!</definedName>
    <definedName name="w">#REF!</definedName>
    <definedName name="whole">[14]REV_1702!$B$1:$AM$92,[14]REV_1702!$AR$96:$BM$182,[14]REV_1702!$BT$184:$DC$255</definedName>
    <definedName name="wholedoc" localSheetId="0">#REF!,#REF!,#REF!</definedName>
    <definedName name="wholedoc">#REF!,#REF!,#REF!</definedName>
    <definedName name="wholedoc_15" localSheetId="0">#REF!,#REF!,#REF!</definedName>
    <definedName name="wholedoc_15">#REF!,#REF!,#REF!</definedName>
    <definedName name="wholedoc_23" localSheetId="0">#REF!,#REF!,#REF!</definedName>
    <definedName name="wholedoc_23">#REF!,#REF!,#REF!</definedName>
    <definedName name="wholedoc_24">#REF!,#REF!,#REF!</definedName>
    <definedName name="wholedoc_28">'[12]2000'!$B$1:$AJ$66,'[12]2000'!$AO$70:$BM$159,'[12]2000'!$BT$161:$CW$237</definedName>
    <definedName name="xhdc">[3]LIST!$A$2:$A$14</definedName>
    <definedName name="zc\cz\" localSheetId="0">#REF!</definedName>
    <definedName name="zc\cz\">#REF!</definedName>
    <definedName name="製造原価" localSheetId="0">#REF!</definedName>
    <definedName name="製造原価">#REF!</definedName>
  </definedNames>
  <calcPr calcId="191028"/>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32" i="26" l="1"/>
  <c r="F31" i="26"/>
  <c r="F30" i="26"/>
  <c r="E31" i="10"/>
  <c r="BQ176" i="48"/>
  <c r="BQ175" i="48"/>
  <c r="BQ174" i="48"/>
  <c r="BQ173" i="48"/>
  <c r="BQ172" i="48"/>
  <c r="BQ171" i="48"/>
  <c r="BQ170" i="48"/>
  <c r="BQ169" i="48"/>
  <c r="BQ168" i="48"/>
  <c r="BQ167" i="48"/>
  <c r="BQ166" i="48"/>
  <c r="BQ162" i="48"/>
  <c r="BQ177" i="48" l="1"/>
  <c r="BU2" i="48"/>
  <c r="N17" i="10" l="1"/>
  <c r="O159" i="33"/>
  <c r="E24" i="5" l="1"/>
  <c r="AT4" i="48"/>
  <c r="AX4" i="48" s="1"/>
  <c r="BB4" i="48" s="1"/>
  <c r="BF4" i="48" s="1"/>
  <c r="BJ4" i="48" s="1"/>
  <c r="AT156" i="48"/>
  <c r="AX156" i="48"/>
  <c r="BB156" i="48"/>
  <c r="Q70" i="48" l="1"/>
  <c r="R70" i="48"/>
  <c r="AU156" i="48" l="1"/>
  <c r="AY156" i="48"/>
  <c r="BC156" i="48"/>
  <c r="BS151" i="48" l="1"/>
  <c r="D23" i="27" l="1"/>
  <c r="U14" i="33"/>
  <c r="AF4" i="48" l="1"/>
  <c r="AH4" i="48" s="1"/>
  <c r="AJ4" i="48" s="1"/>
  <c r="AL4" i="48" s="1"/>
  <c r="AN4" i="48" s="1"/>
  <c r="AP4" i="48" s="1"/>
  <c r="AR4" i="48" s="1"/>
  <c r="AU4" i="48" s="1"/>
  <c r="AY4" i="48" s="1"/>
  <c r="BC4" i="48" s="1"/>
  <c r="BG4" i="48" s="1"/>
  <c r="BK4" i="48" s="1"/>
  <c r="C157" i="33" l="1"/>
  <c r="C156" i="33"/>
  <c r="C155" i="33"/>
  <c r="C154" i="33"/>
  <c r="C153" i="33"/>
  <c r="C152" i="33"/>
  <c r="C151" i="33"/>
  <c r="C150" i="33"/>
  <c r="C149" i="33"/>
  <c r="C148" i="33"/>
  <c r="C147" i="33"/>
  <c r="C146" i="33"/>
  <c r="C145" i="33"/>
  <c r="C144" i="33"/>
  <c r="C143" i="33"/>
  <c r="C142" i="33"/>
  <c r="C141" i="33"/>
  <c r="C140" i="33"/>
  <c r="C139" i="33"/>
  <c r="C138" i="33"/>
  <c r="C137" i="33"/>
  <c r="C136" i="33"/>
  <c r="C135" i="33"/>
  <c r="C134" i="33"/>
  <c r="C133" i="33"/>
  <c r="C132" i="33"/>
  <c r="C131" i="33"/>
  <c r="C130" i="33"/>
  <c r="C129" i="33"/>
  <c r="C128" i="33"/>
  <c r="C125" i="33"/>
  <c r="C124" i="33"/>
  <c r="C123" i="33"/>
  <c r="C122" i="33"/>
  <c r="C121" i="33"/>
  <c r="C120" i="33"/>
  <c r="C119" i="33"/>
  <c r="C118" i="33"/>
  <c r="C117" i="33"/>
  <c r="C116" i="33"/>
  <c r="C115" i="33"/>
  <c r="C114" i="33"/>
  <c r="C113" i="33"/>
  <c r="C112" i="33"/>
  <c r="C111" i="33"/>
  <c r="C110" i="33"/>
  <c r="C109" i="33"/>
  <c r="C108" i="33"/>
  <c r="C107" i="33"/>
  <c r="C106" i="33"/>
  <c r="C105" i="33"/>
  <c r="C104" i="33"/>
  <c r="C103" i="33"/>
  <c r="C102" i="33"/>
  <c r="C101" i="33"/>
  <c r="C100" i="33"/>
  <c r="C99" i="33"/>
  <c r="C98" i="33"/>
  <c r="C97" i="33"/>
  <c r="C96" i="33"/>
  <c r="C95" i="33"/>
  <c r="C94" i="33"/>
  <c r="C93" i="33"/>
  <c r="C92" i="33"/>
  <c r="C91" i="33"/>
  <c r="C90" i="33"/>
  <c r="C89" i="33"/>
  <c r="C88" i="33"/>
  <c r="C87" i="33"/>
  <c r="C86" i="33"/>
  <c r="C85" i="33"/>
  <c r="C84" i="33"/>
  <c r="C83" i="33"/>
  <c r="C82" i="33"/>
  <c r="C81" i="33"/>
  <c r="C80" i="33"/>
  <c r="C79" i="33"/>
  <c r="C78" i="33"/>
  <c r="C77" i="33"/>
  <c r="C76" i="33"/>
  <c r="C75" i="33"/>
  <c r="C74" i="33"/>
  <c r="C73" i="33"/>
  <c r="C72" i="33"/>
  <c r="C71" i="33"/>
  <c r="C70" i="33"/>
  <c r="C69" i="33"/>
  <c r="C68" i="33"/>
  <c r="C67" i="33"/>
  <c r="C66" i="33"/>
  <c r="C65" i="33"/>
  <c r="C64" i="33"/>
  <c r="C63" i="33"/>
  <c r="C62" i="33"/>
  <c r="C61" i="33"/>
  <c r="C60" i="33"/>
  <c r="C59" i="33"/>
  <c r="C58" i="33"/>
  <c r="C57" i="33"/>
  <c r="C56" i="33"/>
  <c r="C55" i="33"/>
  <c r="C54" i="33"/>
  <c r="C53" i="33"/>
  <c r="C52" i="33"/>
  <c r="C51" i="33"/>
  <c r="C50" i="33"/>
  <c r="C49" i="33"/>
  <c r="C48" i="33"/>
  <c r="C47" i="33"/>
  <c r="C46" i="33"/>
  <c r="C45" i="33"/>
  <c r="C44" i="33"/>
  <c r="C43" i="33"/>
  <c r="C42" i="33"/>
  <c r="C41" i="33"/>
  <c r="C40" i="33"/>
  <c r="C39" i="33"/>
  <c r="C38" i="33"/>
  <c r="C37" i="33"/>
  <c r="C36" i="33"/>
  <c r="C35" i="33"/>
  <c r="C34" i="33"/>
  <c r="C33" i="33"/>
  <c r="C32" i="33"/>
  <c r="C31" i="33"/>
  <c r="C30" i="33"/>
  <c r="C29" i="33"/>
  <c r="C28" i="33"/>
  <c r="C20" i="33"/>
  <c r="C19" i="33"/>
  <c r="C18" i="33"/>
  <c r="C17" i="33"/>
  <c r="C16" i="33"/>
  <c r="C15" i="33"/>
  <c r="C14" i="33"/>
  <c r="C27" i="33"/>
  <c r="C26" i="33"/>
  <c r="C25" i="33"/>
  <c r="C24" i="33"/>
  <c r="C23" i="33"/>
  <c r="C22" i="33"/>
  <c r="A8" i="48"/>
  <c r="A9" i="48" s="1"/>
  <c r="A10" i="48" s="1"/>
  <c r="A11" i="48" s="1"/>
  <c r="A12" i="48" s="1"/>
  <c r="A13" i="48" s="1"/>
  <c r="C21" i="33" l="1"/>
  <c r="B10" i="33" s="1"/>
  <c r="B11" i="33" s="1"/>
  <c r="B3" i="48"/>
  <c r="J16" i="33"/>
  <c r="J17" i="33"/>
  <c r="M14" i="48"/>
  <c r="M13" i="48"/>
  <c r="M12" i="48"/>
  <c r="M11" i="48"/>
  <c r="M10" i="48"/>
  <c r="M9" i="48"/>
  <c r="M8" i="48"/>
  <c r="M20" i="48"/>
  <c r="M19" i="48"/>
  <c r="M18" i="48"/>
  <c r="M17" i="48"/>
  <c r="M16" i="48"/>
  <c r="M15" i="48"/>
  <c r="J15" i="33" l="1"/>
  <c r="K15" i="33"/>
  <c r="K16" i="33"/>
  <c r="K17" i="33"/>
  <c r="J18" i="33"/>
  <c r="K18" i="33"/>
  <c r="J19" i="33"/>
  <c r="K19" i="33"/>
  <c r="J20" i="33"/>
  <c r="K20" i="33"/>
  <c r="J21" i="33"/>
  <c r="K21" i="33"/>
  <c r="J22" i="33"/>
  <c r="K22" i="33"/>
  <c r="J23" i="33"/>
  <c r="K23" i="33"/>
  <c r="J24" i="33"/>
  <c r="K24" i="33"/>
  <c r="J25" i="33"/>
  <c r="K25" i="33"/>
  <c r="J26" i="33"/>
  <c r="K26" i="33"/>
  <c r="J27" i="33"/>
  <c r="K27" i="33"/>
  <c r="J28" i="33"/>
  <c r="K28" i="33"/>
  <c r="J29" i="33"/>
  <c r="K29" i="33"/>
  <c r="J30" i="33"/>
  <c r="K30" i="33"/>
  <c r="J31" i="33"/>
  <c r="K31" i="33"/>
  <c r="J32" i="33"/>
  <c r="K32" i="33"/>
  <c r="J33" i="33"/>
  <c r="K33" i="33"/>
  <c r="J34" i="33"/>
  <c r="K34" i="33"/>
  <c r="J35" i="33"/>
  <c r="K35" i="33"/>
  <c r="J36" i="33"/>
  <c r="K36" i="33"/>
  <c r="J37" i="33"/>
  <c r="K37" i="33"/>
  <c r="J38" i="33"/>
  <c r="K38" i="33"/>
  <c r="J39" i="33"/>
  <c r="K39" i="33"/>
  <c r="J40" i="33"/>
  <c r="K40" i="33"/>
  <c r="J41" i="33"/>
  <c r="K41" i="33"/>
  <c r="J42" i="33"/>
  <c r="K42" i="33"/>
  <c r="J43" i="33"/>
  <c r="K43" i="33"/>
  <c r="J44" i="33"/>
  <c r="K44" i="33"/>
  <c r="J45" i="33"/>
  <c r="K45" i="33"/>
  <c r="J46" i="33"/>
  <c r="K46" i="33"/>
  <c r="J47" i="33"/>
  <c r="K47" i="33"/>
  <c r="J48" i="33"/>
  <c r="K48" i="33"/>
  <c r="J49" i="33"/>
  <c r="K49" i="33"/>
  <c r="J50" i="33"/>
  <c r="K50" i="33"/>
  <c r="J51" i="33"/>
  <c r="K51" i="33"/>
  <c r="J52" i="33"/>
  <c r="K52" i="33"/>
  <c r="J53" i="33"/>
  <c r="K53" i="33"/>
  <c r="J54" i="33"/>
  <c r="K54" i="33"/>
  <c r="J55" i="33"/>
  <c r="K55" i="33"/>
  <c r="J56" i="33"/>
  <c r="K56" i="33"/>
  <c r="J57" i="33"/>
  <c r="K57" i="33"/>
  <c r="J58" i="33"/>
  <c r="K58" i="33"/>
  <c r="J59" i="33"/>
  <c r="K59" i="33"/>
  <c r="J60" i="33"/>
  <c r="K60" i="33"/>
  <c r="J61" i="33"/>
  <c r="K61" i="33"/>
  <c r="J62" i="33"/>
  <c r="K62" i="33"/>
  <c r="J63" i="33"/>
  <c r="K63" i="33"/>
  <c r="J64" i="33"/>
  <c r="K64" i="33"/>
  <c r="J65" i="33"/>
  <c r="K65" i="33"/>
  <c r="J66" i="33"/>
  <c r="K66" i="33"/>
  <c r="J67" i="33"/>
  <c r="K67" i="33"/>
  <c r="J68" i="33"/>
  <c r="K68" i="33"/>
  <c r="J69" i="33"/>
  <c r="K69" i="33"/>
  <c r="J70" i="33"/>
  <c r="K70" i="33"/>
  <c r="J71" i="33"/>
  <c r="K71" i="33"/>
  <c r="J72" i="33"/>
  <c r="K72" i="33"/>
  <c r="J73" i="33"/>
  <c r="K73" i="33"/>
  <c r="J74" i="33"/>
  <c r="K74" i="33"/>
  <c r="J75" i="33"/>
  <c r="K75" i="33"/>
  <c r="J76" i="33"/>
  <c r="K76" i="33"/>
  <c r="J77" i="33"/>
  <c r="K77" i="33"/>
  <c r="J78" i="33"/>
  <c r="K78" i="33"/>
  <c r="J79" i="33"/>
  <c r="K79" i="33"/>
  <c r="J80" i="33"/>
  <c r="K80" i="33"/>
  <c r="J81" i="33"/>
  <c r="K81" i="33"/>
  <c r="J82" i="33"/>
  <c r="K82" i="33"/>
  <c r="J83" i="33"/>
  <c r="K83" i="33"/>
  <c r="J84" i="33"/>
  <c r="K84" i="33"/>
  <c r="J85" i="33"/>
  <c r="K85" i="33"/>
  <c r="J86" i="33"/>
  <c r="K86" i="33"/>
  <c r="J87" i="33"/>
  <c r="K87" i="33"/>
  <c r="J88" i="33"/>
  <c r="K88" i="33"/>
  <c r="J89" i="33"/>
  <c r="K89" i="33"/>
  <c r="J90" i="33"/>
  <c r="K90" i="33"/>
  <c r="J91" i="33"/>
  <c r="K91" i="33"/>
  <c r="J92" i="33"/>
  <c r="K92" i="33"/>
  <c r="J93" i="33"/>
  <c r="K93" i="33"/>
  <c r="J94" i="33"/>
  <c r="K94" i="33"/>
  <c r="J95" i="33"/>
  <c r="K95" i="33"/>
  <c r="J96" i="33"/>
  <c r="K96" i="33"/>
  <c r="J97" i="33"/>
  <c r="K97" i="33"/>
  <c r="J98" i="33"/>
  <c r="K98" i="33"/>
  <c r="J99" i="33"/>
  <c r="K99" i="33"/>
  <c r="J100" i="33"/>
  <c r="K100" i="33"/>
  <c r="J101" i="33"/>
  <c r="K101" i="33"/>
  <c r="J102" i="33"/>
  <c r="K102" i="33"/>
  <c r="J103" i="33"/>
  <c r="K103" i="33"/>
  <c r="J104" i="33"/>
  <c r="K104" i="33"/>
  <c r="J105" i="33"/>
  <c r="K105" i="33"/>
  <c r="J106" i="33"/>
  <c r="K106" i="33"/>
  <c r="J107" i="33"/>
  <c r="K107" i="33"/>
  <c r="J108" i="33"/>
  <c r="K108" i="33"/>
  <c r="J109" i="33"/>
  <c r="K109" i="33"/>
  <c r="J110" i="33"/>
  <c r="K110" i="33"/>
  <c r="J111" i="33"/>
  <c r="K111" i="33"/>
  <c r="J112" i="33"/>
  <c r="K112" i="33"/>
  <c r="J113" i="33"/>
  <c r="K113" i="33"/>
  <c r="J114" i="33"/>
  <c r="K114" i="33"/>
  <c r="J115" i="33"/>
  <c r="K115" i="33"/>
  <c r="J116" i="33"/>
  <c r="K116" i="33"/>
  <c r="J117" i="33"/>
  <c r="K117" i="33"/>
  <c r="J118" i="33"/>
  <c r="K118" i="33"/>
  <c r="J119" i="33"/>
  <c r="K119" i="33"/>
  <c r="J120" i="33"/>
  <c r="K120" i="33"/>
  <c r="J121" i="33"/>
  <c r="K121" i="33"/>
  <c r="J122" i="33"/>
  <c r="K122" i="33"/>
  <c r="J123" i="33"/>
  <c r="K123" i="33"/>
  <c r="J124" i="33"/>
  <c r="K124" i="33"/>
  <c r="J125" i="33"/>
  <c r="K125" i="33"/>
  <c r="J126" i="33"/>
  <c r="K126" i="33"/>
  <c r="J127" i="33"/>
  <c r="K127" i="33"/>
  <c r="J128" i="33"/>
  <c r="K128" i="33"/>
  <c r="J129" i="33"/>
  <c r="K129" i="33"/>
  <c r="J130" i="33"/>
  <c r="K130" i="33"/>
  <c r="J131" i="33"/>
  <c r="K131" i="33"/>
  <c r="J132" i="33"/>
  <c r="K132" i="33"/>
  <c r="J133" i="33"/>
  <c r="K133" i="33"/>
  <c r="J134" i="33"/>
  <c r="K134" i="33"/>
  <c r="J135" i="33"/>
  <c r="K135" i="33"/>
  <c r="J136" i="33"/>
  <c r="K136" i="33"/>
  <c r="J137" i="33"/>
  <c r="K137" i="33"/>
  <c r="J138" i="33"/>
  <c r="K138" i="33"/>
  <c r="J139" i="33"/>
  <c r="K139" i="33"/>
  <c r="J140" i="33"/>
  <c r="K140" i="33"/>
  <c r="J141" i="33"/>
  <c r="K141" i="33"/>
  <c r="J142" i="33"/>
  <c r="K142" i="33"/>
  <c r="J143" i="33"/>
  <c r="K143" i="33"/>
  <c r="J144" i="33"/>
  <c r="K144" i="33"/>
  <c r="J145" i="33"/>
  <c r="K145" i="33"/>
  <c r="J146" i="33"/>
  <c r="K146" i="33"/>
  <c r="J147" i="33"/>
  <c r="K147" i="33"/>
  <c r="J148" i="33"/>
  <c r="K148" i="33"/>
  <c r="J149" i="33"/>
  <c r="K149" i="33"/>
  <c r="J150" i="33"/>
  <c r="K150" i="33"/>
  <c r="J151" i="33"/>
  <c r="K151" i="33"/>
  <c r="J152" i="33"/>
  <c r="K152" i="33"/>
  <c r="J153" i="33"/>
  <c r="K153" i="33"/>
  <c r="J154" i="33"/>
  <c r="K154" i="33"/>
  <c r="J155" i="33"/>
  <c r="K155" i="33"/>
  <c r="J156" i="33"/>
  <c r="K156" i="33"/>
  <c r="J157" i="33"/>
  <c r="K157" i="33"/>
  <c r="K14" i="33"/>
  <c r="J14" i="33"/>
  <c r="O20" i="48"/>
  <c r="O19" i="48"/>
  <c r="O18" i="48"/>
  <c r="O17" i="48"/>
  <c r="O16" i="48"/>
  <c r="N20" i="48"/>
  <c r="N19" i="48"/>
  <c r="N18" i="48"/>
  <c r="N17" i="48"/>
  <c r="N16" i="48"/>
  <c r="N15" i="48"/>
  <c r="P19" i="48" l="1"/>
  <c r="P20" i="48"/>
  <c r="P18" i="48"/>
  <c r="P16" i="48"/>
  <c r="P17" i="48"/>
  <c r="P14" i="48"/>
  <c r="P13" i="48"/>
  <c r="P12" i="48"/>
  <c r="P11" i="48"/>
  <c r="P10" i="48"/>
  <c r="P9" i="48"/>
  <c r="P8" i="48"/>
  <c r="P7" i="48"/>
  <c r="U15" i="33"/>
  <c r="U16" i="33"/>
  <c r="U17" i="33"/>
  <c r="U18" i="33"/>
  <c r="U19" i="33"/>
  <c r="U20" i="33"/>
  <c r="U21" i="33"/>
  <c r="U22" i="33"/>
  <c r="U23" i="33"/>
  <c r="U24" i="33"/>
  <c r="U25" i="33"/>
  <c r="U26" i="33"/>
  <c r="U27" i="33"/>
  <c r="U28" i="33"/>
  <c r="U29" i="33"/>
  <c r="U30" i="33"/>
  <c r="U31" i="33"/>
  <c r="U32" i="33"/>
  <c r="U33" i="33"/>
  <c r="U34" i="33"/>
  <c r="U35" i="33"/>
  <c r="U36" i="33"/>
  <c r="U37" i="33"/>
  <c r="U38" i="33"/>
  <c r="U39" i="33"/>
  <c r="U40" i="33"/>
  <c r="U41" i="33"/>
  <c r="U42" i="33"/>
  <c r="U43" i="33"/>
  <c r="U44" i="33"/>
  <c r="U45" i="33"/>
  <c r="U46" i="33"/>
  <c r="U47" i="33"/>
  <c r="U48" i="33"/>
  <c r="U49" i="33"/>
  <c r="U50" i="33"/>
  <c r="U51" i="33"/>
  <c r="U52" i="33"/>
  <c r="U53" i="33"/>
  <c r="S15" i="33"/>
  <c r="Y15" i="33" s="1"/>
  <c r="S16" i="33"/>
  <c r="Y16" i="33" s="1"/>
  <c r="S17" i="33"/>
  <c r="Y17" i="33" s="1"/>
  <c r="S18" i="33"/>
  <c r="Y18" i="33" s="1"/>
  <c r="S19" i="33"/>
  <c r="Y19" i="33" s="1"/>
  <c r="S20" i="33"/>
  <c r="Y20" i="33" s="1"/>
  <c r="S21" i="33"/>
  <c r="Y21" i="33" s="1"/>
  <c r="S22" i="33"/>
  <c r="Y22" i="33" s="1"/>
  <c r="S23" i="33"/>
  <c r="Y23" i="33" s="1"/>
  <c r="S24" i="33"/>
  <c r="Y24" i="33" s="1"/>
  <c r="S25" i="33"/>
  <c r="Y25" i="33" s="1"/>
  <c r="S26" i="33"/>
  <c r="Y26" i="33" s="1"/>
  <c r="S27" i="33"/>
  <c r="Y27" i="33" s="1"/>
  <c r="S28" i="33"/>
  <c r="Y28" i="33" s="1"/>
  <c r="S29" i="33"/>
  <c r="Y29" i="33" s="1"/>
  <c r="S30" i="33"/>
  <c r="Y30" i="33" s="1"/>
  <c r="S31" i="33"/>
  <c r="Y31" i="33" s="1"/>
  <c r="S32" i="33"/>
  <c r="Y32" i="33" s="1"/>
  <c r="S33" i="33"/>
  <c r="Y33" i="33" s="1"/>
  <c r="S34" i="33"/>
  <c r="Y34" i="33" s="1"/>
  <c r="S35" i="33"/>
  <c r="Y35" i="33" s="1"/>
  <c r="S36" i="33"/>
  <c r="Y36" i="33" s="1"/>
  <c r="S37" i="33"/>
  <c r="Y37" i="33" s="1"/>
  <c r="S38" i="33"/>
  <c r="Y38" i="33" s="1"/>
  <c r="S39" i="33"/>
  <c r="Y39" i="33" s="1"/>
  <c r="S40" i="33"/>
  <c r="Y40" i="33" s="1"/>
  <c r="S41" i="33"/>
  <c r="Y41" i="33" s="1"/>
  <c r="S42" i="33"/>
  <c r="Y42" i="33" s="1"/>
  <c r="S43" i="33"/>
  <c r="Y43" i="33" s="1"/>
  <c r="S44" i="33"/>
  <c r="Y44" i="33" s="1"/>
  <c r="S45" i="33"/>
  <c r="Y45" i="33" s="1"/>
  <c r="S46" i="33"/>
  <c r="Y46" i="33" s="1"/>
  <c r="S47" i="33"/>
  <c r="Y47" i="33" s="1"/>
  <c r="S48" i="33"/>
  <c r="Y48" i="33" s="1"/>
  <c r="S49" i="33"/>
  <c r="Y49" i="33" s="1"/>
  <c r="S50" i="33"/>
  <c r="Y50" i="33" s="1"/>
  <c r="S51" i="33"/>
  <c r="Y51" i="33" s="1"/>
  <c r="S52" i="33"/>
  <c r="Y52" i="33" s="1"/>
  <c r="S53" i="33"/>
  <c r="Y53" i="33" s="1"/>
  <c r="S54" i="33"/>
  <c r="Y54" i="33" s="1"/>
  <c r="S55" i="33"/>
  <c r="Y55" i="33" s="1"/>
  <c r="S56" i="33"/>
  <c r="Y56" i="33" s="1"/>
  <c r="S57" i="33"/>
  <c r="Y57" i="33" s="1"/>
  <c r="S58" i="33"/>
  <c r="Y58" i="33" s="1"/>
  <c r="S59" i="33"/>
  <c r="Y59" i="33" s="1"/>
  <c r="S60" i="33"/>
  <c r="Y60" i="33" s="1"/>
  <c r="S61" i="33"/>
  <c r="Y61" i="33" s="1"/>
  <c r="S62" i="33"/>
  <c r="Y62" i="33" s="1"/>
  <c r="S63" i="33"/>
  <c r="Y63" i="33" s="1"/>
  <c r="S64" i="33"/>
  <c r="Y64" i="33" s="1"/>
  <c r="S65" i="33"/>
  <c r="Y65" i="33" s="1"/>
  <c r="S66" i="33"/>
  <c r="Y66" i="33" s="1"/>
  <c r="S67" i="33"/>
  <c r="Y67" i="33" s="1"/>
  <c r="S68" i="33"/>
  <c r="Y68" i="33" s="1"/>
  <c r="S69" i="33"/>
  <c r="Y69" i="33" s="1"/>
  <c r="S70" i="33"/>
  <c r="Y70" i="33" s="1"/>
  <c r="S71" i="33"/>
  <c r="Y71" i="33" s="1"/>
  <c r="S72" i="33"/>
  <c r="Y72" i="33" s="1"/>
  <c r="S73" i="33"/>
  <c r="Y73" i="33" s="1"/>
  <c r="S74" i="33"/>
  <c r="Y74" i="33" s="1"/>
  <c r="S75" i="33"/>
  <c r="Y75" i="33" s="1"/>
  <c r="S76" i="33"/>
  <c r="Y76" i="33" s="1"/>
  <c r="S77" i="33"/>
  <c r="Y77" i="33" s="1"/>
  <c r="S78" i="33"/>
  <c r="Y78" i="33" s="1"/>
  <c r="S79" i="33"/>
  <c r="Y79" i="33" s="1"/>
  <c r="S80" i="33"/>
  <c r="Y80" i="33" s="1"/>
  <c r="S81" i="33"/>
  <c r="Y81" i="33" s="1"/>
  <c r="S82" i="33"/>
  <c r="Y82" i="33" s="1"/>
  <c r="S83" i="33"/>
  <c r="Y83" i="33" s="1"/>
  <c r="S84" i="33"/>
  <c r="Y84" i="33" s="1"/>
  <c r="S85" i="33"/>
  <c r="Y85" i="33" s="1"/>
  <c r="S86" i="33"/>
  <c r="Y86" i="33" s="1"/>
  <c r="S87" i="33"/>
  <c r="Y87" i="33" s="1"/>
  <c r="S88" i="33"/>
  <c r="Y88" i="33" s="1"/>
  <c r="S89" i="33"/>
  <c r="Y89" i="33" s="1"/>
  <c r="S90" i="33"/>
  <c r="Y90" i="33" s="1"/>
  <c r="S91" i="33"/>
  <c r="Y91" i="33" s="1"/>
  <c r="S92" i="33"/>
  <c r="Y92" i="33" s="1"/>
  <c r="S93" i="33"/>
  <c r="Y93" i="33" s="1"/>
  <c r="S94" i="33"/>
  <c r="Y94" i="33" s="1"/>
  <c r="S95" i="33"/>
  <c r="Y95" i="33" s="1"/>
  <c r="S96" i="33"/>
  <c r="Y96" i="33" s="1"/>
  <c r="S97" i="33"/>
  <c r="Y97" i="33" s="1"/>
  <c r="S98" i="33"/>
  <c r="Y98" i="33" s="1"/>
  <c r="S99" i="33"/>
  <c r="Y99" i="33" s="1"/>
  <c r="S100" i="33"/>
  <c r="Y100" i="33" s="1"/>
  <c r="S101" i="33"/>
  <c r="Y101" i="33" s="1"/>
  <c r="S102" i="33"/>
  <c r="Y102" i="33" s="1"/>
  <c r="S103" i="33"/>
  <c r="Y103" i="33" s="1"/>
  <c r="S104" i="33"/>
  <c r="Y104" i="33" s="1"/>
  <c r="S105" i="33"/>
  <c r="Y105" i="33" s="1"/>
  <c r="S106" i="33"/>
  <c r="Y106" i="33" s="1"/>
  <c r="S107" i="33"/>
  <c r="Y107" i="33" s="1"/>
  <c r="S108" i="33"/>
  <c r="Y108" i="33" s="1"/>
  <c r="S109" i="33"/>
  <c r="Y109" i="33" s="1"/>
  <c r="S110" i="33"/>
  <c r="Y110" i="33" s="1"/>
  <c r="S111" i="33"/>
  <c r="Y111" i="33" s="1"/>
  <c r="S112" i="33"/>
  <c r="Y112" i="33" s="1"/>
  <c r="S113" i="33"/>
  <c r="Y113" i="33" s="1"/>
  <c r="S114" i="33"/>
  <c r="Y114" i="33" s="1"/>
  <c r="S115" i="33"/>
  <c r="Y115" i="33" s="1"/>
  <c r="S116" i="33"/>
  <c r="Y116" i="33" s="1"/>
  <c r="S117" i="33"/>
  <c r="Y117" i="33" s="1"/>
  <c r="S118" i="33"/>
  <c r="Y118" i="33" s="1"/>
  <c r="S119" i="33"/>
  <c r="Y119" i="33" s="1"/>
  <c r="S120" i="33"/>
  <c r="Y120" i="33" s="1"/>
  <c r="S121" i="33"/>
  <c r="Y121" i="33" s="1"/>
  <c r="S122" i="33"/>
  <c r="Y122" i="33" s="1"/>
  <c r="S123" i="33"/>
  <c r="Y123" i="33" s="1"/>
  <c r="S124" i="33"/>
  <c r="Y124" i="33" s="1"/>
  <c r="S125" i="33"/>
  <c r="Y125" i="33" s="1"/>
  <c r="S126" i="33"/>
  <c r="Y126" i="33" s="1"/>
  <c r="S127" i="33"/>
  <c r="Y127" i="33" s="1"/>
  <c r="S128" i="33"/>
  <c r="Y128" i="33" s="1"/>
  <c r="S129" i="33"/>
  <c r="Y129" i="33" s="1"/>
  <c r="S130" i="33"/>
  <c r="Y130" i="33" s="1"/>
  <c r="S131" i="33"/>
  <c r="Y131" i="33" s="1"/>
  <c r="S132" i="33"/>
  <c r="Y132" i="33" s="1"/>
  <c r="S133" i="33"/>
  <c r="Y133" i="33" s="1"/>
  <c r="S134" i="33"/>
  <c r="Y134" i="33" s="1"/>
  <c r="S135" i="33"/>
  <c r="Y135" i="33" s="1"/>
  <c r="S136" i="33"/>
  <c r="Y136" i="33" s="1"/>
  <c r="S137" i="33"/>
  <c r="Y137" i="33" s="1"/>
  <c r="S138" i="33"/>
  <c r="Y138" i="33" s="1"/>
  <c r="S139" i="33"/>
  <c r="Y139" i="33" s="1"/>
  <c r="S140" i="33"/>
  <c r="Y140" i="33" s="1"/>
  <c r="S141" i="33"/>
  <c r="Y141" i="33" s="1"/>
  <c r="S142" i="33"/>
  <c r="Y142" i="33" s="1"/>
  <c r="S143" i="33"/>
  <c r="Y143" i="33" s="1"/>
  <c r="S144" i="33"/>
  <c r="Y144" i="33" s="1"/>
  <c r="S145" i="33"/>
  <c r="Y145" i="33" s="1"/>
  <c r="S146" i="33"/>
  <c r="Y146" i="33" s="1"/>
  <c r="S147" i="33"/>
  <c r="Y147" i="33" s="1"/>
  <c r="S148" i="33"/>
  <c r="Y148" i="33" s="1"/>
  <c r="S149" i="33"/>
  <c r="Y149" i="33" s="1"/>
  <c r="S150" i="33"/>
  <c r="Y150" i="33" s="1"/>
  <c r="S151" i="33"/>
  <c r="Y151" i="33" s="1"/>
  <c r="S152" i="33"/>
  <c r="Y152" i="33" s="1"/>
  <c r="S153" i="33"/>
  <c r="Y153" i="33" s="1"/>
  <c r="S154" i="33"/>
  <c r="Y154" i="33" s="1"/>
  <c r="S155" i="33"/>
  <c r="Y155" i="33" s="1"/>
  <c r="S156" i="33"/>
  <c r="Y156" i="33" s="1"/>
  <c r="S157" i="33"/>
  <c r="Y157" i="33" s="1"/>
  <c r="M15" i="33"/>
  <c r="M16" i="33"/>
  <c r="M17" i="33"/>
  <c r="M18" i="33"/>
  <c r="M19" i="33"/>
  <c r="M20" i="33"/>
  <c r="M21" i="33"/>
  <c r="M22" i="33"/>
  <c r="M23" i="33"/>
  <c r="M24" i="33"/>
  <c r="M25" i="33"/>
  <c r="M26" i="33"/>
  <c r="M27" i="33"/>
  <c r="M28" i="33"/>
  <c r="M29" i="33"/>
  <c r="M30" i="33"/>
  <c r="M31" i="33"/>
  <c r="M32" i="33"/>
  <c r="M33" i="33"/>
  <c r="M34" i="33"/>
  <c r="M35" i="33"/>
  <c r="M36" i="33"/>
  <c r="M37" i="33"/>
  <c r="M38" i="33"/>
  <c r="M39" i="33"/>
  <c r="M40" i="33"/>
  <c r="I15" i="33"/>
  <c r="L15" i="33" s="1"/>
  <c r="I16" i="33"/>
  <c r="L16" i="33" s="1"/>
  <c r="I17" i="33"/>
  <c r="L17" i="33" s="1"/>
  <c r="I18" i="33"/>
  <c r="L18" i="33" s="1"/>
  <c r="I19" i="33"/>
  <c r="L19" i="33" s="1"/>
  <c r="I20" i="33"/>
  <c r="L20" i="33" s="1"/>
  <c r="I21" i="33"/>
  <c r="L21" i="33" s="1"/>
  <c r="I22" i="33"/>
  <c r="L22" i="33" s="1"/>
  <c r="I23" i="33"/>
  <c r="L23" i="33" s="1"/>
  <c r="I24" i="33"/>
  <c r="L24" i="33" s="1"/>
  <c r="I25" i="33"/>
  <c r="L25" i="33" s="1"/>
  <c r="I26" i="33"/>
  <c r="L26" i="33" s="1"/>
  <c r="I27" i="33"/>
  <c r="L27" i="33" s="1"/>
  <c r="I28" i="33"/>
  <c r="L28" i="33" s="1"/>
  <c r="I29" i="33"/>
  <c r="L29" i="33" s="1"/>
  <c r="I30" i="33"/>
  <c r="L30" i="33" s="1"/>
  <c r="I31" i="33"/>
  <c r="L31" i="33" s="1"/>
  <c r="I32" i="33"/>
  <c r="L32" i="33" s="1"/>
  <c r="I33" i="33"/>
  <c r="L33" i="33" s="1"/>
  <c r="I34" i="33"/>
  <c r="L34" i="33" s="1"/>
  <c r="I35" i="33"/>
  <c r="L35" i="33" s="1"/>
  <c r="I36" i="33"/>
  <c r="L36" i="33" s="1"/>
  <c r="I37" i="33"/>
  <c r="L37" i="33" s="1"/>
  <c r="I38" i="33"/>
  <c r="L38" i="33" s="1"/>
  <c r="I39" i="33"/>
  <c r="L39" i="33" s="1"/>
  <c r="I40" i="33"/>
  <c r="L40" i="33" s="1"/>
  <c r="I41" i="33"/>
  <c r="L41" i="33" s="1"/>
  <c r="I42" i="33"/>
  <c r="L42" i="33" s="1"/>
  <c r="I43" i="33"/>
  <c r="L43" i="33" s="1"/>
  <c r="I44" i="33"/>
  <c r="L44" i="33" s="1"/>
  <c r="I45" i="33"/>
  <c r="L45" i="33" s="1"/>
  <c r="I46" i="33"/>
  <c r="L46" i="33" s="1"/>
  <c r="I47" i="33"/>
  <c r="L47" i="33" s="1"/>
  <c r="I48" i="33"/>
  <c r="L48" i="33" s="1"/>
  <c r="I49" i="33"/>
  <c r="L49" i="33" s="1"/>
  <c r="I50" i="33"/>
  <c r="L50" i="33" s="1"/>
  <c r="I51" i="33"/>
  <c r="L51" i="33" s="1"/>
  <c r="I52" i="33"/>
  <c r="L52" i="33" s="1"/>
  <c r="I53" i="33"/>
  <c r="L53" i="33" s="1"/>
  <c r="I54" i="33"/>
  <c r="L54" i="33" s="1"/>
  <c r="I55" i="33"/>
  <c r="L55" i="33" s="1"/>
  <c r="I56" i="33"/>
  <c r="L56" i="33" s="1"/>
  <c r="I57" i="33"/>
  <c r="L57" i="33" s="1"/>
  <c r="I58" i="33"/>
  <c r="L58" i="33" s="1"/>
  <c r="I59" i="33"/>
  <c r="L59" i="33" s="1"/>
  <c r="I60" i="33"/>
  <c r="L60" i="33" s="1"/>
  <c r="I61" i="33"/>
  <c r="L61" i="33" s="1"/>
  <c r="I62" i="33"/>
  <c r="L62" i="33" s="1"/>
  <c r="I63" i="33"/>
  <c r="L63" i="33" s="1"/>
  <c r="I64" i="33"/>
  <c r="L64" i="33" s="1"/>
  <c r="I65" i="33"/>
  <c r="L65" i="33" s="1"/>
  <c r="I66" i="33"/>
  <c r="L66" i="33" s="1"/>
  <c r="I67" i="33"/>
  <c r="L67" i="33" s="1"/>
  <c r="I68" i="33"/>
  <c r="L68" i="33" s="1"/>
  <c r="I69" i="33"/>
  <c r="L69" i="33" s="1"/>
  <c r="I70" i="33"/>
  <c r="L70" i="33" s="1"/>
  <c r="I71" i="33"/>
  <c r="L71" i="33" s="1"/>
  <c r="I72" i="33"/>
  <c r="L72" i="33" s="1"/>
  <c r="I73" i="33"/>
  <c r="L73" i="33" s="1"/>
  <c r="I74" i="33"/>
  <c r="L74" i="33" s="1"/>
  <c r="I75" i="33"/>
  <c r="L75" i="33" s="1"/>
  <c r="I76" i="33"/>
  <c r="L76" i="33" s="1"/>
  <c r="I77" i="33"/>
  <c r="L77" i="33" s="1"/>
  <c r="I78" i="33"/>
  <c r="L78" i="33" s="1"/>
  <c r="I79" i="33"/>
  <c r="L79" i="33" s="1"/>
  <c r="I80" i="33"/>
  <c r="L80" i="33" s="1"/>
  <c r="I81" i="33"/>
  <c r="L81" i="33" s="1"/>
  <c r="I82" i="33"/>
  <c r="L82" i="33" s="1"/>
  <c r="I83" i="33"/>
  <c r="L83" i="33" s="1"/>
  <c r="I84" i="33"/>
  <c r="L84" i="33" s="1"/>
  <c r="I85" i="33"/>
  <c r="L85" i="33" s="1"/>
  <c r="I86" i="33"/>
  <c r="L86" i="33" s="1"/>
  <c r="I87" i="33"/>
  <c r="L87" i="33" s="1"/>
  <c r="I88" i="33"/>
  <c r="L88" i="33" s="1"/>
  <c r="I89" i="33"/>
  <c r="L89" i="33" s="1"/>
  <c r="I90" i="33"/>
  <c r="L90" i="33" s="1"/>
  <c r="I91" i="33"/>
  <c r="L91" i="33" s="1"/>
  <c r="I92" i="33"/>
  <c r="L92" i="33" s="1"/>
  <c r="I93" i="33"/>
  <c r="L93" i="33" s="1"/>
  <c r="I94" i="33"/>
  <c r="L94" i="33" s="1"/>
  <c r="I95" i="33"/>
  <c r="L95" i="33" s="1"/>
  <c r="I96" i="33"/>
  <c r="L96" i="33" s="1"/>
  <c r="I97" i="33"/>
  <c r="L97" i="33" s="1"/>
  <c r="I98" i="33"/>
  <c r="L98" i="33" s="1"/>
  <c r="I99" i="33"/>
  <c r="L99" i="33" s="1"/>
  <c r="I100" i="33"/>
  <c r="L100" i="33" s="1"/>
  <c r="I101" i="33"/>
  <c r="L101" i="33" s="1"/>
  <c r="I102" i="33"/>
  <c r="L102" i="33" s="1"/>
  <c r="I103" i="33"/>
  <c r="L103" i="33" s="1"/>
  <c r="I104" i="33"/>
  <c r="L104" i="33" s="1"/>
  <c r="I105" i="33"/>
  <c r="L105" i="33" s="1"/>
  <c r="I106" i="33"/>
  <c r="L106" i="33" s="1"/>
  <c r="I107" i="33"/>
  <c r="L107" i="33" s="1"/>
  <c r="I108" i="33"/>
  <c r="L108" i="33" s="1"/>
  <c r="I109" i="33"/>
  <c r="L109" i="33" s="1"/>
  <c r="I110" i="33"/>
  <c r="L110" i="33" s="1"/>
  <c r="I111" i="33"/>
  <c r="L111" i="33" s="1"/>
  <c r="I112" i="33"/>
  <c r="L112" i="33" s="1"/>
  <c r="I113" i="33"/>
  <c r="L113" i="33" s="1"/>
  <c r="I114" i="33"/>
  <c r="L114" i="33" s="1"/>
  <c r="I115" i="33"/>
  <c r="L115" i="33" s="1"/>
  <c r="I116" i="33"/>
  <c r="L116" i="33" s="1"/>
  <c r="I117" i="33"/>
  <c r="L117" i="33" s="1"/>
  <c r="I118" i="33"/>
  <c r="L118" i="33" s="1"/>
  <c r="I119" i="33"/>
  <c r="L119" i="33" s="1"/>
  <c r="I120" i="33"/>
  <c r="L120" i="33" s="1"/>
  <c r="I121" i="33"/>
  <c r="L121" i="33" s="1"/>
  <c r="I122" i="33"/>
  <c r="L122" i="33" s="1"/>
  <c r="I123" i="33"/>
  <c r="L123" i="33" s="1"/>
  <c r="I124" i="33"/>
  <c r="L124" i="33" s="1"/>
  <c r="I125" i="33"/>
  <c r="L125" i="33" s="1"/>
  <c r="I126" i="33"/>
  <c r="L126" i="33" s="1"/>
  <c r="I127" i="33"/>
  <c r="L127" i="33" s="1"/>
  <c r="I128" i="33"/>
  <c r="L128" i="33" s="1"/>
  <c r="I129" i="33"/>
  <c r="L129" i="33" s="1"/>
  <c r="I130" i="33"/>
  <c r="L130" i="33" s="1"/>
  <c r="I131" i="33"/>
  <c r="L131" i="33" s="1"/>
  <c r="I132" i="33"/>
  <c r="L132" i="33" s="1"/>
  <c r="I133" i="33"/>
  <c r="L133" i="33" s="1"/>
  <c r="I134" i="33"/>
  <c r="L134" i="33" s="1"/>
  <c r="I135" i="33"/>
  <c r="L135" i="33" s="1"/>
  <c r="I136" i="33"/>
  <c r="L136" i="33" s="1"/>
  <c r="I137" i="33"/>
  <c r="L137" i="33" s="1"/>
  <c r="I138" i="33"/>
  <c r="L138" i="33" s="1"/>
  <c r="I139" i="33"/>
  <c r="L139" i="33" s="1"/>
  <c r="I140" i="33"/>
  <c r="L140" i="33" s="1"/>
  <c r="I141" i="33"/>
  <c r="L141" i="33" s="1"/>
  <c r="I142" i="33"/>
  <c r="L142" i="33" s="1"/>
  <c r="I143" i="33"/>
  <c r="L143" i="33" s="1"/>
  <c r="I144" i="33"/>
  <c r="L144" i="33" s="1"/>
  <c r="I145" i="33"/>
  <c r="L145" i="33" s="1"/>
  <c r="I146" i="33"/>
  <c r="L146" i="33" s="1"/>
  <c r="I147" i="33"/>
  <c r="L147" i="33" s="1"/>
  <c r="I148" i="33"/>
  <c r="L148" i="33" s="1"/>
  <c r="I149" i="33"/>
  <c r="L149" i="33" s="1"/>
  <c r="I150" i="33"/>
  <c r="L150" i="33" s="1"/>
  <c r="I151" i="33"/>
  <c r="L151" i="33" s="1"/>
  <c r="I152" i="33"/>
  <c r="L152" i="33" s="1"/>
  <c r="I153" i="33"/>
  <c r="L153" i="33" s="1"/>
  <c r="I154" i="33"/>
  <c r="L154" i="33" s="1"/>
  <c r="I155" i="33"/>
  <c r="L155" i="33" s="1"/>
  <c r="I156" i="33"/>
  <c r="L156" i="33" s="1"/>
  <c r="I157" i="33"/>
  <c r="L157" i="33" s="1"/>
  <c r="H151" i="33"/>
  <c r="H152" i="33"/>
  <c r="H153" i="33"/>
  <c r="H154" i="33"/>
  <c r="H155" i="33"/>
  <c r="H156" i="33"/>
  <c r="H157" i="33"/>
  <c r="H15" i="33"/>
  <c r="H16" i="33"/>
  <c r="H17" i="33"/>
  <c r="H18" i="33"/>
  <c r="H19" i="33"/>
  <c r="H20" i="33"/>
  <c r="H21" i="33"/>
  <c r="H22" i="33"/>
  <c r="H23" i="33"/>
  <c r="H24" i="33"/>
  <c r="H25" i="33"/>
  <c r="H26" i="33"/>
  <c r="H27" i="33"/>
  <c r="H28" i="33"/>
  <c r="H29" i="33"/>
  <c r="H30" i="33"/>
  <c r="H31" i="33"/>
  <c r="H32" i="33"/>
  <c r="H33" i="33"/>
  <c r="H34" i="33"/>
  <c r="H35" i="33"/>
  <c r="H36" i="33"/>
  <c r="H37" i="33"/>
  <c r="H38" i="33"/>
  <c r="H39" i="33"/>
  <c r="H40" i="33"/>
  <c r="H41" i="33"/>
  <c r="H42" i="33"/>
  <c r="H43" i="33"/>
  <c r="H44" i="33"/>
  <c r="H45" i="33"/>
  <c r="H46" i="33"/>
  <c r="H47" i="33"/>
  <c r="H48" i="33"/>
  <c r="H49" i="33"/>
  <c r="H50" i="33"/>
  <c r="H51" i="33"/>
  <c r="H52" i="33"/>
  <c r="H53" i="33"/>
  <c r="H54" i="33"/>
  <c r="H55" i="33"/>
  <c r="H56" i="33"/>
  <c r="H57" i="33"/>
  <c r="H58" i="33"/>
  <c r="H59" i="33"/>
  <c r="H60" i="33"/>
  <c r="H61" i="33"/>
  <c r="H62" i="33"/>
  <c r="H63" i="33"/>
  <c r="H64" i="33"/>
  <c r="H65" i="33"/>
  <c r="H66" i="33"/>
  <c r="H67" i="33"/>
  <c r="H68" i="33"/>
  <c r="H69" i="33"/>
  <c r="H70" i="33"/>
  <c r="H71" i="33"/>
  <c r="H72" i="33"/>
  <c r="H73" i="33"/>
  <c r="H74" i="33"/>
  <c r="H75" i="33"/>
  <c r="H76" i="33"/>
  <c r="H77" i="33"/>
  <c r="H78" i="33"/>
  <c r="H79" i="33"/>
  <c r="H80" i="33"/>
  <c r="H81" i="33"/>
  <c r="H82" i="33"/>
  <c r="H83" i="33"/>
  <c r="H84" i="33"/>
  <c r="H85" i="33"/>
  <c r="H86" i="33"/>
  <c r="H87" i="33"/>
  <c r="H88" i="33"/>
  <c r="H89" i="33"/>
  <c r="H90" i="33"/>
  <c r="H91" i="33"/>
  <c r="H92" i="33"/>
  <c r="H93" i="33"/>
  <c r="H94" i="33"/>
  <c r="H95" i="33"/>
  <c r="H96" i="33"/>
  <c r="H97" i="33"/>
  <c r="H98" i="33"/>
  <c r="H99" i="33"/>
  <c r="H100" i="33"/>
  <c r="H101" i="33"/>
  <c r="H102" i="33"/>
  <c r="H103" i="33"/>
  <c r="H104" i="33"/>
  <c r="H105" i="33"/>
  <c r="H106" i="33"/>
  <c r="H107" i="33"/>
  <c r="H108" i="33"/>
  <c r="H109" i="33"/>
  <c r="H110" i="33"/>
  <c r="H111" i="33"/>
  <c r="H112" i="33"/>
  <c r="H113" i="33"/>
  <c r="H114" i="33"/>
  <c r="H115" i="33"/>
  <c r="H116" i="33"/>
  <c r="H117" i="33"/>
  <c r="H118" i="33"/>
  <c r="H119" i="33"/>
  <c r="H120" i="33"/>
  <c r="H121" i="33"/>
  <c r="H122" i="33"/>
  <c r="H123" i="33"/>
  <c r="H124" i="33"/>
  <c r="H125" i="33"/>
  <c r="H126" i="33"/>
  <c r="H127" i="33"/>
  <c r="H128" i="33"/>
  <c r="H129" i="33"/>
  <c r="H130" i="33"/>
  <c r="H131" i="33"/>
  <c r="H132" i="33"/>
  <c r="H133" i="33"/>
  <c r="H134" i="33"/>
  <c r="H135" i="33"/>
  <c r="H136" i="33"/>
  <c r="H137" i="33"/>
  <c r="H138" i="33"/>
  <c r="H139" i="33"/>
  <c r="H140" i="33"/>
  <c r="H141" i="33"/>
  <c r="H142" i="33"/>
  <c r="H143" i="33"/>
  <c r="H144" i="33"/>
  <c r="H145" i="33"/>
  <c r="H146" i="33"/>
  <c r="H147" i="33"/>
  <c r="H148" i="33"/>
  <c r="H149" i="33"/>
  <c r="H150" i="33"/>
  <c r="B151" i="33"/>
  <c r="G151" i="33" s="1"/>
  <c r="E151" i="33"/>
  <c r="B152" i="33"/>
  <c r="G152" i="33" s="1"/>
  <c r="E152" i="33"/>
  <c r="B153" i="33"/>
  <c r="G153" i="33" s="1"/>
  <c r="E153" i="33"/>
  <c r="B154" i="33"/>
  <c r="G154" i="33" s="1"/>
  <c r="E154" i="33"/>
  <c r="B155" i="33"/>
  <c r="G155" i="33" s="1"/>
  <c r="E155" i="33"/>
  <c r="B156" i="33"/>
  <c r="G156" i="33" s="1"/>
  <c r="E156" i="33"/>
  <c r="B157" i="33"/>
  <c r="G157" i="33" s="1"/>
  <c r="E157" i="33"/>
  <c r="E15" i="33"/>
  <c r="E16" i="33"/>
  <c r="E17" i="33"/>
  <c r="E18" i="33"/>
  <c r="E19" i="33"/>
  <c r="E20" i="33"/>
  <c r="E21" i="33"/>
  <c r="E22" i="33"/>
  <c r="E23" i="33"/>
  <c r="E24" i="33"/>
  <c r="E25" i="33"/>
  <c r="E26" i="33"/>
  <c r="E27" i="33"/>
  <c r="E28" i="33"/>
  <c r="E29" i="33"/>
  <c r="E30" i="33"/>
  <c r="E31" i="33"/>
  <c r="E32" i="33"/>
  <c r="E33" i="33"/>
  <c r="E34" i="33"/>
  <c r="E35" i="33"/>
  <c r="E36" i="33"/>
  <c r="E37" i="33"/>
  <c r="E38" i="33"/>
  <c r="E39" i="33"/>
  <c r="E40" i="33"/>
  <c r="E41" i="33"/>
  <c r="E42" i="33"/>
  <c r="E43" i="33"/>
  <c r="E44" i="33"/>
  <c r="E45" i="33"/>
  <c r="E46" i="33"/>
  <c r="E47" i="33"/>
  <c r="E48" i="33"/>
  <c r="E49" i="33"/>
  <c r="E50" i="33"/>
  <c r="E51" i="33"/>
  <c r="E52" i="33"/>
  <c r="E53" i="33"/>
  <c r="E54" i="33"/>
  <c r="E55" i="33"/>
  <c r="E56" i="33"/>
  <c r="E57" i="33"/>
  <c r="E58" i="33"/>
  <c r="E59" i="33"/>
  <c r="E60" i="33"/>
  <c r="E61" i="33"/>
  <c r="E62" i="33"/>
  <c r="E63" i="33"/>
  <c r="E64" i="33"/>
  <c r="E65" i="33"/>
  <c r="E66" i="33"/>
  <c r="E67" i="33"/>
  <c r="E68" i="33"/>
  <c r="E69" i="33"/>
  <c r="E70" i="33"/>
  <c r="E71" i="33"/>
  <c r="E72" i="33"/>
  <c r="E73" i="33"/>
  <c r="E74" i="33"/>
  <c r="E75" i="33"/>
  <c r="E76" i="33"/>
  <c r="E77" i="33"/>
  <c r="E78" i="33"/>
  <c r="E79" i="33"/>
  <c r="E80" i="33"/>
  <c r="E81" i="33"/>
  <c r="E82" i="33"/>
  <c r="E83" i="33"/>
  <c r="E84" i="33"/>
  <c r="E85" i="33"/>
  <c r="E86" i="33"/>
  <c r="E87" i="33"/>
  <c r="E88" i="33"/>
  <c r="E89" i="33"/>
  <c r="E90" i="33"/>
  <c r="E91" i="33"/>
  <c r="E92" i="33"/>
  <c r="E93" i="33"/>
  <c r="E94" i="33"/>
  <c r="E95" i="33"/>
  <c r="E96" i="33"/>
  <c r="E97" i="33"/>
  <c r="E98" i="33"/>
  <c r="E99" i="33"/>
  <c r="E100" i="33"/>
  <c r="E101" i="33"/>
  <c r="E102" i="33"/>
  <c r="E103" i="33"/>
  <c r="E104" i="33"/>
  <c r="E105" i="33"/>
  <c r="E106" i="33"/>
  <c r="E107" i="33"/>
  <c r="E108" i="33"/>
  <c r="E109" i="33"/>
  <c r="E110" i="33"/>
  <c r="E111" i="33"/>
  <c r="E112" i="33"/>
  <c r="E113" i="33"/>
  <c r="E114" i="33"/>
  <c r="E115" i="33"/>
  <c r="E116" i="33"/>
  <c r="E117" i="33"/>
  <c r="E118" i="33"/>
  <c r="E119" i="33"/>
  <c r="E120" i="33"/>
  <c r="E121" i="33"/>
  <c r="E122" i="33"/>
  <c r="E123" i="33"/>
  <c r="E124" i="33"/>
  <c r="E125" i="33"/>
  <c r="E126" i="33"/>
  <c r="E127" i="33"/>
  <c r="E128" i="33"/>
  <c r="E129" i="33"/>
  <c r="E130" i="33"/>
  <c r="E131" i="33"/>
  <c r="E132" i="33"/>
  <c r="E133" i="33"/>
  <c r="E134" i="33"/>
  <c r="E135" i="33"/>
  <c r="E136" i="33"/>
  <c r="E137" i="33"/>
  <c r="E138" i="33"/>
  <c r="E139" i="33"/>
  <c r="E140" i="33"/>
  <c r="E141" i="33"/>
  <c r="E142" i="33"/>
  <c r="E143" i="33"/>
  <c r="E144" i="33"/>
  <c r="E145" i="33"/>
  <c r="E146" i="33"/>
  <c r="E147" i="33"/>
  <c r="E148" i="33"/>
  <c r="E149" i="33"/>
  <c r="E150" i="33"/>
  <c r="A15" i="33"/>
  <c r="A16" i="33" s="1"/>
  <c r="A17" i="33" s="1"/>
  <c r="A18" i="33" s="1"/>
  <c r="A19" i="33" s="1"/>
  <c r="A20" i="33" s="1"/>
  <c r="A21" i="33" s="1"/>
  <c r="A22" i="33" s="1"/>
  <c r="A23" i="33" s="1"/>
  <c r="A24" i="33" s="1"/>
  <c r="A25" i="33" s="1"/>
  <c r="A26" i="33" s="1"/>
  <c r="A27" i="33" s="1"/>
  <c r="A28" i="33" s="1"/>
  <c r="A29" i="33" s="1"/>
  <c r="A30" i="33" s="1"/>
  <c r="A31" i="33" s="1"/>
  <c r="A32" i="33" s="1"/>
  <c r="A33" i="33" s="1"/>
  <c r="A34" i="33" s="1"/>
  <c r="A35" i="33" s="1"/>
  <c r="A36" i="33" s="1"/>
  <c r="A37" i="33" s="1"/>
  <c r="A38" i="33" s="1"/>
  <c r="A39" i="33" s="1"/>
  <c r="A40" i="33" s="1"/>
  <c r="A41" i="33" s="1"/>
  <c r="A42" i="33" s="1"/>
  <c r="A43" i="33" s="1"/>
  <c r="A44" i="33" s="1"/>
  <c r="A45" i="33" s="1"/>
  <c r="A46" i="33" s="1"/>
  <c r="A47" i="33" s="1"/>
  <c r="A48" i="33" s="1"/>
  <c r="A49" i="33" s="1"/>
  <c r="A50" i="33" s="1"/>
  <c r="A51" i="33" s="1"/>
  <c r="A52" i="33" s="1"/>
  <c r="A53" i="33" s="1"/>
  <c r="A54" i="33" s="1"/>
  <c r="A55" i="33" s="1"/>
  <c r="A56" i="33" s="1"/>
  <c r="A57" i="33" s="1"/>
  <c r="A58" i="33" s="1"/>
  <c r="A59" i="33" s="1"/>
  <c r="A60" i="33" s="1"/>
  <c r="A61" i="33" s="1"/>
  <c r="A62" i="33" s="1"/>
  <c r="A63" i="33" s="1"/>
  <c r="A64" i="33" s="1"/>
  <c r="A65" i="33" s="1"/>
  <c r="A66" i="33" s="1"/>
  <c r="A67" i="33" s="1"/>
  <c r="A68" i="33" s="1"/>
  <c r="A69" i="33" s="1"/>
  <c r="A70" i="33" s="1"/>
  <c r="A71" i="33" s="1"/>
  <c r="A72" i="33" s="1"/>
  <c r="A73" i="33" s="1"/>
  <c r="A74" i="33" s="1"/>
  <c r="A75" i="33" s="1"/>
  <c r="A76" i="33" s="1"/>
  <c r="A77" i="33" s="1"/>
  <c r="A78" i="33" s="1"/>
  <c r="A79" i="33" s="1"/>
  <c r="A80" i="33" s="1"/>
  <c r="A81" i="33" s="1"/>
  <c r="A82" i="33" s="1"/>
  <c r="A83" i="33" s="1"/>
  <c r="A84" i="33" s="1"/>
  <c r="A85" i="33" s="1"/>
  <c r="A86" i="33" s="1"/>
  <c r="A87" i="33" s="1"/>
  <c r="A88" i="33" s="1"/>
  <c r="A89" i="33" s="1"/>
  <c r="A90" i="33" s="1"/>
  <c r="A91" i="33" s="1"/>
  <c r="A92" i="33" s="1"/>
  <c r="A93" i="33" s="1"/>
  <c r="A94" i="33" s="1"/>
  <c r="A95" i="33" s="1"/>
  <c r="A96" i="33" s="1"/>
  <c r="A97" i="33" s="1"/>
  <c r="A98" i="33" s="1"/>
  <c r="A99" i="33" s="1"/>
  <c r="A100" i="33" s="1"/>
  <c r="A101" i="33" s="1"/>
  <c r="A102" i="33" s="1"/>
  <c r="A103" i="33" s="1"/>
  <c r="A104" i="33" s="1"/>
  <c r="A105" i="33" s="1"/>
  <c r="A106" i="33" s="1"/>
  <c r="A107" i="33" s="1"/>
  <c r="A108" i="33" s="1"/>
  <c r="A109" i="33" s="1"/>
  <c r="A110" i="33" s="1"/>
  <c r="A111" i="33" s="1"/>
  <c r="A112" i="33" s="1"/>
  <c r="A113" i="33" s="1"/>
  <c r="A114" i="33" s="1"/>
  <c r="A115" i="33" s="1"/>
  <c r="A116" i="33" s="1"/>
  <c r="A117" i="33" s="1"/>
  <c r="A118" i="33" s="1"/>
  <c r="A119" i="33" s="1"/>
  <c r="A120" i="33" s="1"/>
  <c r="A121" i="33" s="1"/>
  <c r="A122" i="33" s="1"/>
  <c r="A123" i="33" s="1"/>
  <c r="A124" i="33" s="1"/>
  <c r="A125" i="33" s="1"/>
  <c r="A126" i="33" s="1"/>
  <c r="A127" i="33" s="1"/>
  <c r="A128" i="33" s="1"/>
  <c r="A129" i="33" s="1"/>
  <c r="A130" i="33" s="1"/>
  <c r="A131" i="33" s="1"/>
  <c r="A132" i="33" s="1"/>
  <c r="A133" i="33" s="1"/>
  <c r="A134" i="33" s="1"/>
  <c r="A135" i="33" s="1"/>
  <c r="A136" i="33" s="1"/>
  <c r="A137" i="33" s="1"/>
  <c r="A138" i="33" s="1"/>
  <c r="A139" i="33" s="1"/>
  <c r="A140" i="33" s="1"/>
  <c r="A141" i="33" s="1"/>
  <c r="A142" i="33" s="1"/>
  <c r="A143" i="33" s="1"/>
  <c r="A144" i="33" s="1"/>
  <c r="A145" i="33" s="1"/>
  <c r="A146" i="33" s="1"/>
  <c r="A147" i="33" s="1"/>
  <c r="A148" i="33" s="1"/>
  <c r="A149" i="33" s="1"/>
  <c r="A150" i="33" s="1"/>
  <c r="A151" i="33" s="1"/>
  <c r="A152" i="33" s="1"/>
  <c r="A153" i="33" s="1"/>
  <c r="A154" i="33" s="1"/>
  <c r="A155" i="33" s="1"/>
  <c r="A156" i="33" s="1"/>
  <c r="A157" i="33" s="1"/>
  <c r="B15" i="33"/>
  <c r="G15" i="33" s="1"/>
  <c r="B16" i="33"/>
  <c r="G16" i="33" s="1"/>
  <c r="B17" i="33"/>
  <c r="G17" i="33" s="1"/>
  <c r="B18" i="33"/>
  <c r="G18" i="33" s="1"/>
  <c r="B19" i="33"/>
  <c r="G19" i="33" s="1"/>
  <c r="B20" i="33"/>
  <c r="G20" i="33" s="1"/>
  <c r="B21" i="33"/>
  <c r="G21" i="33" s="1"/>
  <c r="B22" i="33"/>
  <c r="G22" i="33" s="1"/>
  <c r="B23" i="33"/>
  <c r="G23" i="33" s="1"/>
  <c r="B24" i="33"/>
  <c r="G24" i="33" s="1"/>
  <c r="B25" i="33"/>
  <c r="G25" i="33" s="1"/>
  <c r="B26" i="33"/>
  <c r="G26" i="33" s="1"/>
  <c r="B27" i="33"/>
  <c r="G27" i="33" s="1"/>
  <c r="B28" i="33"/>
  <c r="G28" i="33" s="1"/>
  <c r="B29" i="33"/>
  <c r="G29" i="33" s="1"/>
  <c r="B30" i="33"/>
  <c r="G30" i="33" s="1"/>
  <c r="B31" i="33"/>
  <c r="G31" i="33" s="1"/>
  <c r="B32" i="33"/>
  <c r="G32" i="33" s="1"/>
  <c r="B33" i="33"/>
  <c r="G33" i="33" s="1"/>
  <c r="B34" i="33"/>
  <c r="G34" i="33" s="1"/>
  <c r="B35" i="33"/>
  <c r="G35" i="33" s="1"/>
  <c r="B36" i="33"/>
  <c r="G36" i="33" s="1"/>
  <c r="B37" i="33"/>
  <c r="G37" i="33" s="1"/>
  <c r="B38" i="33"/>
  <c r="G38" i="33" s="1"/>
  <c r="B39" i="33"/>
  <c r="G39" i="33" s="1"/>
  <c r="B40" i="33"/>
  <c r="G40" i="33" s="1"/>
  <c r="B41" i="33"/>
  <c r="G41" i="33" s="1"/>
  <c r="B42" i="33"/>
  <c r="G42" i="33" s="1"/>
  <c r="B43" i="33"/>
  <c r="G43" i="33" s="1"/>
  <c r="B44" i="33"/>
  <c r="G44" i="33" s="1"/>
  <c r="B45" i="33"/>
  <c r="G45" i="33" s="1"/>
  <c r="B46" i="33"/>
  <c r="G46" i="33" s="1"/>
  <c r="B47" i="33"/>
  <c r="G47" i="33" s="1"/>
  <c r="B48" i="33"/>
  <c r="G48" i="33" s="1"/>
  <c r="B49" i="33"/>
  <c r="G49" i="33" s="1"/>
  <c r="B50" i="33"/>
  <c r="G50" i="33" s="1"/>
  <c r="B51" i="33"/>
  <c r="G51" i="33" s="1"/>
  <c r="B52" i="33"/>
  <c r="G52" i="33" s="1"/>
  <c r="B53" i="33"/>
  <c r="G53" i="33" s="1"/>
  <c r="B54" i="33"/>
  <c r="G54" i="33" s="1"/>
  <c r="B55" i="33"/>
  <c r="G55" i="33" s="1"/>
  <c r="B56" i="33"/>
  <c r="G56" i="33" s="1"/>
  <c r="B57" i="33"/>
  <c r="G57" i="33" s="1"/>
  <c r="B58" i="33"/>
  <c r="G58" i="33" s="1"/>
  <c r="B59" i="33"/>
  <c r="G59" i="33" s="1"/>
  <c r="B60" i="33"/>
  <c r="G60" i="33" s="1"/>
  <c r="B61" i="33"/>
  <c r="G61" i="33" s="1"/>
  <c r="B62" i="33"/>
  <c r="G62" i="33" s="1"/>
  <c r="B63" i="33"/>
  <c r="G63" i="33" s="1"/>
  <c r="B64" i="33"/>
  <c r="G64" i="33" s="1"/>
  <c r="B65" i="33"/>
  <c r="G65" i="33" s="1"/>
  <c r="B66" i="33"/>
  <c r="G66" i="33" s="1"/>
  <c r="B67" i="33"/>
  <c r="G67" i="33" s="1"/>
  <c r="B68" i="33"/>
  <c r="G68" i="33" s="1"/>
  <c r="B69" i="33"/>
  <c r="G69" i="33" s="1"/>
  <c r="B70" i="33"/>
  <c r="G70" i="33" s="1"/>
  <c r="B71" i="33"/>
  <c r="G71" i="33" s="1"/>
  <c r="B72" i="33"/>
  <c r="G72" i="33" s="1"/>
  <c r="B73" i="33"/>
  <c r="G73" i="33" s="1"/>
  <c r="B74" i="33"/>
  <c r="G74" i="33" s="1"/>
  <c r="B75" i="33"/>
  <c r="G75" i="33" s="1"/>
  <c r="B76" i="33"/>
  <c r="G76" i="33" s="1"/>
  <c r="B77" i="33"/>
  <c r="G77" i="33" s="1"/>
  <c r="B78" i="33"/>
  <c r="G78" i="33" s="1"/>
  <c r="B79" i="33"/>
  <c r="G79" i="33" s="1"/>
  <c r="B80" i="33"/>
  <c r="G80" i="33" s="1"/>
  <c r="B81" i="33"/>
  <c r="G81" i="33" s="1"/>
  <c r="B82" i="33"/>
  <c r="G82" i="33" s="1"/>
  <c r="B83" i="33"/>
  <c r="G83" i="33" s="1"/>
  <c r="B84" i="33"/>
  <c r="G84" i="33" s="1"/>
  <c r="B85" i="33"/>
  <c r="G85" i="33" s="1"/>
  <c r="B86" i="33"/>
  <c r="G86" i="33" s="1"/>
  <c r="B87" i="33"/>
  <c r="G87" i="33" s="1"/>
  <c r="B88" i="33"/>
  <c r="G88" i="33" s="1"/>
  <c r="B89" i="33"/>
  <c r="G89" i="33" s="1"/>
  <c r="B90" i="33"/>
  <c r="G90" i="33" s="1"/>
  <c r="B91" i="33"/>
  <c r="G91" i="33" s="1"/>
  <c r="B92" i="33"/>
  <c r="G92" i="33" s="1"/>
  <c r="B93" i="33"/>
  <c r="G93" i="33" s="1"/>
  <c r="B94" i="33"/>
  <c r="G94" i="33" s="1"/>
  <c r="B95" i="33"/>
  <c r="G95" i="33" s="1"/>
  <c r="B96" i="33"/>
  <c r="G96" i="33" s="1"/>
  <c r="B97" i="33"/>
  <c r="G97" i="33" s="1"/>
  <c r="B98" i="33"/>
  <c r="G98" i="33" s="1"/>
  <c r="B99" i="33"/>
  <c r="G99" i="33" s="1"/>
  <c r="B100" i="33"/>
  <c r="G100" i="33" s="1"/>
  <c r="B101" i="33"/>
  <c r="G101" i="33" s="1"/>
  <c r="B102" i="33"/>
  <c r="G102" i="33" s="1"/>
  <c r="B103" i="33"/>
  <c r="G103" i="33" s="1"/>
  <c r="B104" i="33"/>
  <c r="G104" i="33" s="1"/>
  <c r="B105" i="33"/>
  <c r="G105" i="33" s="1"/>
  <c r="B106" i="33"/>
  <c r="G106" i="33" s="1"/>
  <c r="B107" i="33"/>
  <c r="G107" i="33" s="1"/>
  <c r="B108" i="33"/>
  <c r="G108" i="33" s="1"/>
  <c r="B109" i="33"/>
  <c r="G109" i="33" s="1"/>
  <c r="B110" i="33"/>
  <c r="G110" i="33" s="1"/>
  <c r="B111" i="33"/>
  <c r="G111" i="33" s="1"/>
  <c r="B112" i="33"/>
  <c r="G112" i="33" s="1"/>
  <c r="B113" i="33"/>
  <c r="G113" i="33" s="1"/>
  <c r="B114" i="33"/>
  <c r="G114" i="33" s="1"/>
  <c r="B115" i="33"/>
  <c r="G115" i="33" s="1"/>
  <c r="B116" i="33"/>
  <c r="G116" i="33" s="1"/>
  <c r="B117" i="33"/>
  <c r="G117" i="33" s="1"/>
  <c r="B118" i="33"/>
  <c r="G118" i="33" s="1"/>
  <c r="B119" i="33"/>
  <c r="G119" i="33" s="1"/>
  <c r="B120" i="33"/>
  <c r="G120" i="33" s="1"/>
  <c r="B121" i="33"/>
  <c r="G121" i="33" s="1"/>
  <c r="B122" i="33"/>
  <c r="G122" i="33" s="1"/>
  <c r="B123" i="33"/>
  <c r="G123" i="33" s="1"/>
  <c r="B124" i="33"/>
  <c r="G124" i="33" s="1"/>
  <c r="B125" i="33"/>
  <c r="G125" i="33" s="1"/>
  <c r="B126" i="33"/>
  <c r="G126" i="33" s="1"/>
  <c r="B127" i="33"/>
  <c r="G127" i="33" s="1"/>
  <c r="B128" i="33"/>
  <c r="G128" i="33" s="1"/>
  <c r="B129" i="33"/>
  <c r="G129" i="33" s="1"/>
  <c r="B130" i="33"/>
  <c r="G130" i="33" s="1"/>
  <c r="B131" i="33"/>
  <c r="G131" i="33" s="1"/>
  <c r="B132" i="33"/>
  <c r="G132" i="33" s="1"/>
  <c r="B133" i="33"/>
  <c r="G133" i="33" s="1"/>
  <c r="B134" i="33"/>
  <c r="G134" i="33" s="1"/>
  <c r="B135" i="33"/>
  <c r="G135" i="33" s="1"/>
  <c r="B136" i="33"/>
  <c r="G136" i="33" s="1"/>
  <c r="B137" i="33"/>
  <c r="G137" i="33" s="1"/>
  <c r="B138" i="33"/>
  <c r="G138" i="33" s="1"/>
  <c r="B139" i="33"/>
  <c r="G139" i="33" s="1"/>
  <c r="B140" i="33"/>
  <c r="G140" i="33" s="1"/>
  <c r="B141" i="33"/>
  <c r="G141" i="33" s="1"/>
  <c r="B142" i="33"/>
  <c r="G142" i="33" s="1"/>
  <c r="B143" i="33"/>
  <c r="G143" i="33" s="1"/>
  <c r="B144" i="33"/>
  <c r="G144" i="33" s="1"/>
  <c r="B145" i="33"/>
  <c r="G145" i="33" s="1"/>
  <c r="B146" i="33"/>
  <c r="G146" i="33" s="1"/>
  <c r="B147" i="33"/>
  <c r="G147" i="33" s="1"/>
  <c r="B148" i="33"/>
  <c r="G148" i="33" s="1"/>
  <c r="B149" i="33"/>
  <c r="G149" i="33" s="1"/>
  <c r="B150" i="33"/>
  <c r="G150" i="33" s="1"/>
  <c r="F15" i="33"/>
  <c r="F16" i="33"/>
  <c r="F17" i="33"/>
  <c r="F18" i="33"/>
  <c r="F19" i="33"/>
  <c r="F20" i="33"/>
  <c r="F21" i="33"/>
  <c r="F22" i="33"/>
  <c r="F23" i="33"/>
  <c r="F24" i="33"/>
  <c r="F25" i="33"/>
  <c r="F26" i="33"/>
  <c r="F27" i="33"/>
  <c r="F28" i="33"/>
  <c r="F29" i="33"/>
  <c r="F30" i="33"/>
  <c r="F31" i="33"/>
  <c r="F32" i="33"/>
  <c r="F33" i="33"/>
  <c r="F34" i="33"/>
  <c r="F35" i="33"/>
  <c r="F36" i="33"/>
  <c r="F37" i="33"/>
  <c r="F38" i="33"/>
  <c r="F39" i="33"/>
  <c r="F40" i="33"/>
  <c r="F41" i="33"/>
  <c r="F42" i="33"/>
  <c r="F43" i="33"/>
  <c r="F44" i="33"/>
  <c r="F45" i="33"/>
  <c r="F46" i="33"/>
  <c r="F47" i="33"/>
  <c r="F48" i="33"/>
  <c r="F49" i="33"/>
  <c r="F50" i="33"/>
  <c r="F51" i="33"/>
  <c r="F52" i="33"/>
  <c r="F53" i="33"/>
  <c r="F54" i="33"/>
  <c r="F55" i="33"/>
  <c r="F56" i="33"/>
  <c r="F57" i="33"/>
  <c r="F58" i="33"/>
  <c r="F59" i="33"/>
  <c r="F60" i="33"/>
  <c r="F61" i="33"/>
  <c r="F62" i="33"/>
  <c r="F63" i="33"/>
  <c r="F64" i="33"/>
  <c r="F65" i="33"/>
  <c r="F66" i="33"/>
  <c r="F67" i="33"/>
  <c r="F68" i="33"/>
  <c r="F69" i="33"/>
  <c r="F70" i="33"/>
  <c r="F71" i="33"/>
  <c r="F72" i="33"/>
  <c r="F73" i="33"/>
  <c r="F74" i="33"/>
  <c r="F75" i="33"/>
  <c r="F76" i="33"/>
  <c r="F77" i="33"/>
  <c r="F78" i="33"/>
  <c r="F79" i="33"/>
  <c r="F80" i="33"/>
  <c r="F81" i="33"/>
  <c r="F82" i="33"/>
  <c r="F83" i="33"/>
  <c r="F84" i="33"/>
  <c r="F85" i="33"/>
  <c r="F86" i="33"/>
  <c r="F87" i="33"/>
  <c r="F88" i="33"/>
  <c r="F89" i="33"/>
  <c r="F90" i="33"/>
  <c r="F91" i="33"/>
  <c r="F92" i="33"/>
  <c r="F93" i="33"/>
  <c r="F94" i="33"/>
  <c r="F95" i="33"/>
  <c r="F96" i="33"/>
  <c r="F97" i="33"/>
  <c r="F98" i="33"/>
  <c r="F99" i="33"/>
  <c r="F100" i="33"/>
  <c r="F101" i="33"/>
  <c r="F102" i="33"/>
  <c r="F103" i="33"/>
  <c r="F104" i="33"/>
  <c r="F105" i="33"/>
  <c r="F106" i="33"/>
  <c r="F107" i="33"/>
  <c r="F108" i="33"/>
  <c r="F109" i="33"/>
  <c r="F110" i="33"/>
  <c r="F111" i="33"/>
  <c r="F112" i="33"/>
  <c r="F113" i="33"/>
  <c r="F114" i="33"/>
  <c r="F115" i="33"/>
  <c r="F116" i="33"/>
  <c r="F117" i="33"/>
  <c r="F118" i="33"/>
  <c r="F119" i="33"/>
  <c r="F120" i="33"/>
  <c r="F121" i="33"/>
  <c r="F122" i="33"/>
  <c r="F123" i="33"/>
  <c r="F124" i="33"/>
  <c r="F125" i="33"/>
  <c r="F126" i="33"/>
  <c r="F127" i="33"/>
  <c r="F128" i="33"/>
  <c r="F129" i="33"/>
  <c r="F130" i="33"/>
  <c r="F131" i="33"/>
  <c r="F132" i="33"/>
  <c r="F133" i="33"/>
  <c r="F134" i="33"/>
  <c r="F135" i="33"/>
  <c r="F136" i="33"/>
  <c r="F137" i="33"/>
  <c r="F138" i="33"/>
  <c r="F139" i="33"/>
  <c r="F140" i="33"/>
  <c r="F141" i="33"/>
  <c r="F142" i="33"/>
  <c r="F143" i="33"/>
  <c r="F144" i="33"/>
  <c r="F145" i="33"/>
  <c r="F146" i="33"/>
  <c r="F147" i="33"/>
  <c r="F148" i="33"/>
  <c r="F149" i="33"/>
  <c r="F150" i="33"/>
  <c r="F151" i="33"/>
  <c r="F152" i="33"/>
  <c r="F153" i="33"/>
  <c r="F154" i="33"/>
  <c r="F155" i="33"/>
  <c r="F156" i="33"/>
  <c r="F157" i="33"/>
  <c r="O15" i="48" l="1"/>
  <c r="P15" i="48" s="1"/>
  <c r="S17" i="48" l="1"/>
  <c r="AE17" i="48" s="1"/>
  <c r="S16" i="48"/>
  <c r="AE16" i="48" s="1"/>
  <c r="S15" i="48"/>
  <c r="AE15" i="48" s="1"/>
  <c r="S14" i="48"/>
  <c r="CA20" i="48"/>
  <c r="S20" i="48"/>
  <c r="AE20" i="48" s="1"/>
  <c r="CA19" i="48"/>
  <c r="S19" i="48"/>
  <c r="AE19" i="48" s="1"/>
  <c r="CA18" i="48"/>
  <c r="S18" i="48"/>
  <c r="AE18" i="48" s="1"/>
  <c r="CA17" i="48"/>
  <c r="CA16" i="48"/>
  <c r="CA15" i="48"/>
  <c r="B15" i="48"/>
  <c r="B16" i="48" s="1"/>
  <c r="B17" i="48" s="1"/>
  <c r="B18" i="48" s="1"/>
  <c r="B19" i="48" s="1"/>
  <c r="B20" i="48" s="1"/>
  <c r="A15" i="48"/>
  <c r="A16" i="48" s="1"/>
  <c r="A17" i="48" s="1"/>
  <c r="A18" i="48" s="1"/>
  <c r="A19" i="48" s="1"/>
  <c r="A20" i="48" s="1"/>
  <c r="CA14" i="48"/>
  <c r="M21" i="48"/>
  <c r="Y21" i="48" s="1"/>
  <c r="Q21" i="48"/>
  <c r="R21" i="48"/>
  <c r="CA21" i="48"/>
  <c r="B22" i="48"/>
  <c r="B23" i="48" s="1"/>
  <c r="B24" i="48" s="1"/>
  <c r="B25" i="48" s="1"/>
  <c r="B26" i="48" s="1"/>
  <c r="B27" i="48" s="1"/>
  <c r="M22" i="48"/>
  <c r="V22" i="48" s="1"/>
  <c r="Q22" i="48"/>
  <c r="R22" i="48"/>
  <c r="CA22" i="48"/>
  <c r="M23" i="48"/>
  <c r="Z23" i="48" s="1"/>
  <c r="Q23" i="48"/>
  <c r="R23" i="48"/>
  <c r="CA23" i="48"/>
  <c r="M24" i="48"/>
  <c r="V24" i="48" s="1"/>
  <c r="Q24" i="48"/>
  <c r="R24" i="48"/>
  <c r="CA24" i="48"/>
  <c r="M25" i="48"/>
  <c r="V25" i="48" s="1"/>
  <c r="Q25" i="48"/>
  <c r="R25" i="48"/>
  <c r="CA25" i="48"/>
  <c r="M26" i="48"/>
  <c r="V26" i="48" s="1"/>
  <c r="Q26" i="48"/>
  <c r="R26" i="48"/>
  <c r="CA26" i="48"/>
  <c r="M27" i="48"/>
  <c r="V27" i="48" s="1"/>
  <c r="Q27" i="48"/>
  <c r="R27" i="48"/>
  <c r="CA27" i="48"/>
  <c r="M14" i="33"/>
  <c r="B14" i="33"/>
  <c r="CA13" i="48"/>
  <c r="BW14" i="48" l="1"/>
  <c r="W21" i="33" s="1"/>
  <c r="CB14" i="48"/>
  <c r="BW19" i="48"/>
  <c r="W26" i="33" s="1"/>
  <c r="CB19" i="48"/>
  <c r="BW13" i="48"/>
  <c r="W20" i="33" s="1"/>
  <c r="CB13" i="48"/>
  <c r="BW15" i="48"/>
  <c r="W22" i="33" s="1"/>
  <c r="CB15" i="48"/>
  <c r="BW20" i="48"/>
  <c r="W27" i="33" s="1"/>
  <c r="CB20" i="48"/>
  <c r="BW27" i="48"/>
  <c r="W34" i="33" s="1"/>
  <c r="CB27" i="48"/>
  <c r="BW21" i="48"/>
  <c r="W28" i="33" s="1"/>
  <c r="CB21" i="48"/>
  <c r="BW16" i="48"/>
  <c r="W23" i="33" s="1"/>
  <c r="CB16" i="48"/>
  <c r="BW25" i="48"/>
  <c r="W32" i="33" s="1"/>
  <c r="CB25" i="48"/>
  <c r="BW17" i="48"/>
  <c r="W24" i="33" s="1"/>
  <c r="CB17" i="48"/>
  <c r="BW23" i="48"/>
  <c r="W30" i="33" s="1"/>
  <c r="CB23" i="48"/>
  <c r="BW26" i="48"/>
  <c r="W33" i="33" s="1"/>
  <c r="CB26" i="48"/>
  <c r="BW24" i="48"/>
  <c r="W31" i="33" s="1"/>
  <c r="CB24" i="48"/>
  <c r="BW22" i="48"/>
  <c r="W29" i="33" s="1"/>
  <c r="CB22" i="48"/>
  <c r="BW18" i="48"/>
  <c r="W25" i="33" s="1"/>
  <c r="CB18" i="48"/>
  <c r="S26" i="48"/>
  <c r="X26" i="48" s="1"/>
  <c r="AC26" i="48" s="1"/>
  <c r="AE26" i="48" s="1"/>
  <c r="S21" i="48"/>
  <c r="X21" i="48" s="1"/>
  <c r="V23" i="48"/>
  <c r="AG20" i="48"/>
  <c r="AI20" i="48" s="1"/>
  <c r="AG19" i="48"/>
  <c r="AI19" i="48" s="1"/>
  <c r="AG18" i="48"/>
  <c r="AI18" i="48" s="1"/>
  <c r="AG16" i="48"/>
  <c r="AI16" i="48" s="1"/>
  <c r="AG15" i="48"/>
  <c r="AI15" i="48" s="1"/>
  <c r="AG17" i="48"/>
  <c r="AI17" i="48" s="1"/>
  <c r="S27" i="48"/>
  <c r="X27" i="48" s="1"/>
  <c r="S23" i="48"/>
  <c r="X23" i="48" s="1"/>
  <c r="Z25" i="48"/>
  <c r="Y25" i="48"/>
  <c r="S25" i="48"/>
  <c r="X25" i="48" s="1"/>
  <c r="S24" i="48"/>
  <c r="X24" i="48" s="1"/>
  <c r="S22" i="48"/>
  <c r="X22" i="48" s="1"/>
  <c r="V21" i="48"/>
  <c r="Z22" i="48"/>
  <c r="Y27" i="48"/>
  <c r="Z24" i="48"/>
  <c r="Z21" i="48"/>
  <c r="S13" i="48"/>
  <c r="AE13" i="48" s="1"/>
  <c r="AG13" i="48" s="1"/>
  <c r="CA7" i="48"/>
  <c r="W11" i="33" s="1"/>
  <c r="C40" i="4" s="1"/>
  <c r="E29" i="5" s="1"/>
  <c r="CB7" i="48" l="1"/>
  <c r="BW7" i="48"/>
  <c r="AC23" i="48"/>
  <c r="AE23" i="48" s="1"/>
  <c r="AF23" i="48" s="1"/>
  <c r="AG23" i="48" s="1"/>
  <c r="AC27" i="48"/>
  <c r="AE27" i="48" s="1"/>
  <c r="AF27" i="48" s="1"/>
  <c r="AG27" i="48" s="1"/>
  <c r="AJ15" i="48"/>
  <c r="AJ18" i="48"/>
  <c r="AJ17" i="48"/>
  <c r="AJ16" i="48"/>
  <c r="AJ19" i="48"/>
  <c r="AJ20" i="48"/>
  <c r="AC21" i="48"/>
  <c r="AE21" i="48" s="1"/>
  <c r="AC25" i="48"/>
  <c r="AE25" i="48" s="1"/>
  <c r="AF25" i="48" s="1"/>
  <c r="AG25" i="48" s="1"/>
  <c r="AC24" i="48"/>
  <c r="AE24" i="48" s="1"/>
  <c r="AF24" i="48" s="1"/>
  <c r="AG24" i="48" s="1"/>
  <c r="AC22" i="48"/>
  <c r="AE22" i="48" s="1"/>
  <c r="AF22" i="48" s="1"/>
  <c r="AG22" i="48" s="1"/>
  <c r="AF26" i="48"/>
  <c r="AG26" i="48" s="1"/>
  <c r="AI13" i="48"/>
  <c r="AF21" i="48" l="1"/>
  <c r="AK16" i="48"/>
  <c r="AL16" i="48" s="1"/>
  <c r="AM16" i="48" s="1"/>
  <c r="AJ13" i="48"/>
  <c r="AK13" i="48" s="1"/>
  <c r="AK17" i="48"/>
  <c r="AK20" i="48"/>
  <c r="AK18" i="48"/>
  <c r="AK19" i="48"/>
  <c r="AL19" i="48" s="1"/>
  <c r="AM19" i="48" s="1"/>
  <c r="AK15" i="48"/>
  <c r="AL15" i="48" s="1"/>
  <c r="AM15" i="48" s="1"/>
  <c r="AH23" i="48"/>
  <c r="AI23" i="48" s="1"/>
  <c r="AH26" i="48"/>
  <c r="AI26" i="48" s="1"/>
  <c r="AH27" i="48"/>
  <c r="AI27" i="48" s="1"/>
  <c r="AH22" i="48"/>
  <c r="AI22" i="48" s="1"/>
  <c r="AH25" i="48"/>
  <c r="AI25" i="48" s="1"/>
  <c r="AH24" i="48"/>
  <c r="AI24" i="48" s="1"/>
  <c r="AG21" i="48" l="1"/>
  <c r="AH21" i="48" s="1"/>
  <c r="AN15" i="48"/>
  <c r="AO15" i="48" s="1"/>
  <c r="AP15" i="48" s="1"/>
  <c r="AN19" i="48"/>
  <c r="AO19" i="48" s="1"/>
  <c r="AP19" i="48" s="1"/>
  <c r="AN16" i="48"/>
  <c r="AO16" i="48" s="1"/>
  <c r="AP16" i="48" s="1"/>
  <c r="AL18" i="48"/>
  <c r="AM18" i="48" s="1"/>
  <c r="AL20" i="48"/>
  <c r="AM20" i="48" s="1"/>
  <c r="AL17" i="48"/>
  <c r="AM17" i="48" s="1"/>
  <c r="AL13" i="48"/>
  <c r="AM13" i="48" s="1"/>
  <c r="AJ26" i="48"/>
  <c r="AK26" i="48" s="1"/>
  <c r="AJ23" i="48"/>
  <c r="AK23" i="48" s="1"/>
  <c r="AJ22" i="48"/>
  <c r="AK22" i="48" s="1"/>
  <c r="AJ27" i="48"/>
  <c r="AK27" i="48" s="1"/>
  <c r="AJ25" i="48"/>
  <c r="AK25" i="48" s="1"/>
  <c r="AJ24" i="48"/>
  <c r="AK24" i="48" s="1"/>
  <c r="CA150" i="48"/>
  <c r="CA149" i="48"/>
  <c r="CA148" i="48"/>
  <c r="CA147" i="48"/>
  <c r="CA146" i="48"/>
  <c r="CA145" i="48"/>
  <c r="CA144" i="48"/>
  <c r="CA143" i="48"/>
  <c r="CA142" i="48"/>
  <c r="CA141" i="48"/>
  <c r="CA140" i="48"/>
  <c r="CA139" i="48"/>
  <c r="CA138" i="48"/>
  <c r="CA137" i="48"/>
  <c r="CA136" i="48"/>
  <c r="CA135" i="48"/>
  <c r="CA134" i="48"/>
  <c r="CA133" i="48"/>
  <c r="CA132" i="48"/>
  <c r="CA131" i="48"/>
  <c r="CA130" i="48"/>
  <c r="CA129" i="48"/>
  <c r="CA128" i="48"/>
  <c r="CA127" i="48"/>
  <c r="CA126" i="48"/>
  <c r="CA125" i="48"/>
  <c r="CA124" i="48"/>
  <c r="CA123" i="48"/>
  <c r="CA122" i="48"/>
  <c r="CA121" i="48"/>
  <c r="CA120" i="48"/>
  <c r="CA119" i="48"/>
  <c r="CA118" i="48"/>
  <c r="CA117" i="48"/>
  <c r="CA116" i="48"/>
  <c r="CA115" i="48"/>
  <c r="CA114" i="48"/>
  <c r="CA113" i="48"/>
  <c r="CA112" i="48"/>
  <c r="CA111" i="48"/>
  <c r="CA110" i="48"/>
  <c r="CA109" i="48"/>
  <c r="CA108" i="48"/>
  <c r="CA107" i="48"/>
  <c r="CA106" i="48"/>
  <c r="CA105" i="48"/>
  <c r="CA104" i="48"/>
  <c r="CA103" i="48"/>
  <c r="CA102" i="48"/>
  <c r="CA101" i="48"/>
  <c r="CA100" i="48"/>
  <c r="CA99" i="48"/>
  <c r="CA98" i="48"/>
  <c r="CA97" i="48"/>
  <c r="CA96" i="48"/>
  <c r="CA95" i="48"/>
  <c r="CA94" i="48"/>
  <c r="CA93" i="48"/>
  <c r="CA92" i="48"/>
  <c r="CA91" i="48"/>
  <c r="CA90" i="48"/>
  <c r="CA89" i="48"/>
  <c r="CA88" i="48"/>
  <c r="CA87" i="48"/>
  <c r="CA86" i="48"/>
  <c r="CA85" i="48"/>
  <c r="CA84" i="48"/>
  <c r="CA83" i="48"/>
  <c r="CA82" i="48"/>
  <c r="CA81" i="48"/>
  <c r="CA80" i="48"/>
  <c r="CA79" i="48"/>
  <c r="CA78" i="48"/>
  <c r="CA77" i="48"/>
  <c r="CA76" i="48"/>
  <c r="CA75" i="48"/>
  <c r="CA74" i="48"/>
  <c r="CA73" i="48"/>
  <c r="CA72" i="48"/>
  <c r="CA71" i="48"/>
  <c r="CA70" i="48"/>
  <c r="CA69" i="48"/>
  <c r="CA68" i="48"/>
  <c r="CA67" i="48"/>
  <c r="CA66" i="48"/>
  <c r="CA65" i="48"/>
  <c r="CA64" i="48"/>
  <c r="CA63" i="48"/>
  <c r="CA62" i="48"/>
  <c r="CA61" i="48"/>
  <c r="CA60" i="48"/>
  <c r="CA59" i="48"/>
  <c r="CA58" i="48"/>
  <c r="CA57" i="48"/>
  <c r="CA56" i="48"/>
  <c r="CA55" i="48"/>
  <c r="CA54" i="48"/>
  <c r="CA53" i="48"/>
  <c r="CA52" i="48"/>
  <c r="CA51" i="48"/>
  <c r="CA50" i="48"/>
  <c r="CA49" i="48"/>
  <c r="CA48" i="48"/>
  <c r="CA47" i="48"/>
  <c r="CA46" i="48"/>
  <c r="CA45" i="48"/>
  <c r="CA44" i="48"/>
  <c r="CA43" i="48"/>
  <c r="CA42" i="48"/>
  <c r="CA41" i="48"/>
  <c r="CA40" i="48"/>
  <c r="CA39" i="48"/>
  <c r="CA38" i="48"/>
  <c r="CA37" i="48"/>
  <c r="CA36" i="48"/>
  <c r="CA35" i="48"/>
  <c r="CA34" i="48"/>
  <c r="CA33" i="48"/>
  <c r="CA32" i="48"/>
  <c r="CA31" i="48"/>
  <c r="CA30" i="48"/>
  <c r="CA29" i="48"/>
  <c r="CA28" i="48"/>
  <c r="CA12" i="48"/>
  <c r="CA11" i="48"/>
  <c r="CA10" i="48"/>
  <c r="CA9" i="48"/>
  <c r="CA8" i="48"/>
  <c r="AI21" i="48" l="1"/>
  <c r="AJ21" i="48" s="1"/>
  <c r="AK21" i="48" s="1"/>
  <c r="AL21" i="48" s="1"/>
  <c r="AM21" i="48" s="1"/>
  <c r="AQ16" i="48"/>
  <c r="AQ19" i="48"/>
  <c r="AQ15" i="48"/>
  <c r="BW37" i="48"/>
  <c r="W44" i="33" s="1"/>
  <c r="CB37" i="48"/>
  <c r="BW45" i="48"/>
  <c r="W52" i="33" s="1"/>
  <c r="CB45" i="48"/>
  <c r="BW53" i="48"/>
  <c r="W60" i="33" s="1"/>
  <c r="CB53" i="48"/>
  <c r="BW61" i="48"/>
  <c r="W68" i="33" s="1"/>
  <c r="CB61" i="48"/>
  <c r="BW69" i="48"/>
  <c r="W76" i="33" s="1"/>
  <c r="CB69" i="48"/>
  <c r="BW77" i="48"/>
  <c r="W84" i="33" s="1"/>
  <c r="CB77" i="48"/>
  <c r="BW85" i="48"/>
  <c r="W92" i="33" s="1"/>
  <c r="CB85" i="48"/>
  <c r="BW93" i="48"/>
  <c r="W100" i="33" s="1"/>
  <c r="CB93" i="48"/>
  <c r="BW101" i="48"/>
  <c r="W108" i="33" s="1"/>
  <c r="CB101" i="48"/>
  <c r="BW109" i="48"/>
  <c r="W116" i="33" s="1"/>
  <c r="CB109" i="48"/>
  <c r="BW117" i="48"/>
  <c r="W124" i="33" s="1"/>
  <c r="CB117" i="48"/>
  <c r="BW125" i="48"/>
  <c r="W132" i="33" s="1"/>
  <c r="CB125" i="48"/>
  <c r="BW133" i="48"/>
  <c r="W140" i="33" s="1"/>
  <c r="CB133" i="48"/>
  <c r="BW141" i="48"/>
  <c r="W148" i="33" s="1"/>
  <c r="CB141" i="48"/>
  <c r="BW149" i="48"/>
  <c r="W156" i="33" s="1"/>
  <c r="CB149" i="48"/>
  <c r="AN20" i="48"/>
  <c r="AO20" i="48" s="1"/>
  <c r="AP20" i="48" s="1"/>
  <c r="BW38" i="48"/>
  <c r="W45" i="33" s="1"/>
  <c r="CB38" i="48"/>
  <c r="BW46" i="48"/>
  <c r="W53" i="33" s="1"/>
  <c r="CB46" i="48"/>
  <c r="BW54" i="48"/>
  <c r="W61" i="33" s="1"/>
  <c r="CB54" i="48"/>
  <c r="BW62" i="48"/>
  <c r="W69" i="33" s="1"/>
  <c r="CB62" i="48"/>
  <c r="BW70" i="48"/>
  <c r="W77" i="33" s="1"/>
  <c r="CB70" i="48"/>
  <c r="BW78" i="48"/>
  <c r="W85" i="33" s="1"/>
  <c r="CB78" i="48"/>
  <c r="BW86" i="48"/>
  <c r="W93" i="33" s="1"/>
  <c r="CB86" i="48"/>
  <c r="BW94" i="48"/>
  <c r="W101" i="33" s="1"/>
  <c r="CB94" i="48"/>
  <c r="BW102" i="48"/>
  <c r="W109" i="33" s="1"/>
  <c r="CB102" i="48"/>
  <c r="BW110" i="48"/>
  <c r="W117" i="33" s="1"/>
  <c r="CB110" i="48"/>
  <c r="BW118" i="48"/>
  <c r="W125" i="33" s="1"/>
  <c r="CB118" i="48"/>
  <c r="BW126" i="48"/>
  <c r="W133" i="33" s="1"/>
  <c r="CB126" i="48"/>
  <c r="BW134" i="48"/>
  <c r="W141" i="33" s="1"/>
  <c r="CB134" i="48"/>
  <c r="BW142" i="48"/>
  <c r="W149" i="33" s="1"/>
  <c r="CB142" i="48"/>
  <c r="BW150" i="48"/>
  <c r="W157" i="33" s="1"/>
  <c r="CB150" i="48"/>
  <c r="AN18" i="48"/>
  <c r="AO18" i="48" s="1"/>
  <c r="AP18" i="48" s="1"/>
  <c r="BW29" i="48"/>
  <c r="W36" i="33" s="1"/>
  <c r="CB29" i="48"/>
  <c r="BW39" i="48"/>
  <c r="W46" i="33" s="1"/>
  <c r="CB39" i="48"/>
  <c r="BW47" i="48"/>
  <c r="W54" i="33" s="1"/>
  <c r="CB47" i="48"/>
  <c r="BW55" i="48"/>
  <c r="W62" i="33" s="1"/>
  <c r="CB55" i="48"/>
  <c r="BW63" i="48"/>
  <c r="W70" i="33" s="1"/>
  <c r="CB63" i="48"/>
  <c r="BW71" i="48"/>
  <c r="W78" i="33" s="1"/>
  <c r="CB71" i="48"/>
  <c r="BW79" i="48"/>
  <c r="W86" i="33" s="1"/>
  <c r="CB79" i="48"/>
  <c r="BW87" i="48"/>
  <c r="W94" i="33" s="1"/>
  <c r="CB87" i="48"/>
  <c r="BW95" i="48"/>
  <c r="W102" i="33" s="1"/>
  <c r="CB95" i="48"/>
  <c r="BW103" i="48"/>
  <c r="W110" i="33" s="1"/>
  <c r="CB103" i="48"/>
  <c r="BW111" i="48"/>
  <c r="W118" i="33" s="1"/>
  <c r="CB111" i="48"/>
  <c r="BW119" i="48"/>
  <c r="W126" i="33" s="1"/>
  <c r="CB119" i="48"/>
  <c r="BW127" i="48"/>
  <c r="W134" i="33" s="1"/>
  <c r="CB127" i="48"/>
  <c r="BW135" i="48"/>
  <c r="W142" i="33" s="1"/>
  <c r="CB135" i="48"/>
  <c r="BW143" i="48"/>
  <c r="W150" i="33" s="1"/>
  <c r="CB143" i="48"/>
  <c r="BW9" i="48"/>
  <c r="W16" i="33" s="1"/>
  <c r="CB9" i="48"/>
  <c r="BW48" i="48"/>
  <c r="W55" i="33" s="1"/>
  <c r="CB48" i="48"/>
  <c r="BW56" i="48"/>
  <c r="W63" i="33" s="1"/>
  <c r="CB56" i="48"/>
  <c r="BW64" i="48"/>
  <c r="W71" i="33" s="1"/>
  <c r="CB64" i="48"/>
  <c r="BW72" i="48"/>
  <c r="W79" i="33" s="1"/>
  <c r="CB72" i="48"/>
  <c r="BW80" i="48"/>
  <c r="W87" i="33" s="1"/>
  <c r="CB80" i="48"/>
  <c r="BW88" i="48"/>
  <c r="W95" i="33" s="1"/>
  <c r="CB88" i="48"/>
  <c r="BW96" i="48"/>
  <c r="W103" i="33" s="1"/>
  <c r="CB96" i="48"/>
  <c r="BW104" i="48"/>
  <c r="W111" i="33" s="1"/>
  <c r="CB104" i="48"/>
  <c r="BW112" i="48"/>
  <c r="W119" i="33" s="1"/>
  <c r="CB112" i="48"/>
  <c r="BW120" i="48"/>
  <c r="W127" i="33" s="1"/>
  <c r="CB120" i="48"/>
  <c r="BW128" i="48"/>
  <c r="W135" i="33" s="1"/>
  <c r="CB128" i="48"/>
  <c r="BW136" i="48"/>
  <c r="W143" i="33" s="1"/>
  <c r="CB136" i="48"/>
  <c r="BW144" i="48"/>
  <c r="W151" i="33" s="1"/>
  <c r="CB144" i="48"/>
  <c r="BW40" i="48"/>
  <c r="W47" i="33" s="1"/>
  <c r="CB40" i="48"/>
  <c r="BW33" i="48"/>
  <c r="W40" i="33" s="1"/>
  <c r="CB33" i="48"/>
  <c r="BW49" i="48"/>
  <c r="W56" i="33" s="1"/>
  <c r="CB49" i="48"/>
  <c r="BW57" i="48"/>
  <c r="W64" i="33" s="1"/>
  <c r="CB57" i="48"/>
  <c r="BW65" i="48"/>
  <c r="W72" i="33" s="1"/>
  <c r="CB65" i="48"/>
  <c r="BW73" i="48"/>
  <c r="W80" i="33" s="1"/>
  <c r="CB73" i="48"/>
  <c r="BW81" i="48"/>
  <c r="W88" i="33" s="1"/>
  <c r="CB81" i="48"/>
  <c r="BW89" i="48"/>
  <c r="W96" i="33" s="1"/>
  <c r="CB89" i="48"/>
  <c r="BW97" i="48"/>
  <c r="W104" i="33" s="1"/>
  <c r="CB97" i="48"/>
  <c r="BW105" i="48"/>
  <c r="W112" i="33" s="1"/>
  <c r="CB105" i="48"/>
  <c r="BW113" i="48"/>
  <c r="W120" i="33" s="1"/>
  <c r="CB113" i="48"/>
  <c r="BW121" i="48"/>
  <c r="W128" i="33" s="1"/>
  <c r="CB121" i="48"/>
  <c r="BW129" i="48"/>
  <c r="W136" i="33" s="1"/>
  <c r="CB129" i="48"/>
  <c r="BW137" i="48"/>
  <c r="W144" i="33" s="1"/>
  <c r="CB137" i="48"/>
  <c r="BW145" i="48"/>
  <c r="W152" i="33" s="1"/>
  <c r="CB145" i="48"/>
  <c r="BW8" i="48"/>
  <c r="CB8" i="48"/>
  <c r="BW10" i="48"/>
  <c r="W17" i="33" s="1"/>
  <c r="CB10" i="48"/>
  <c r="BW41" i="48"/>
  <c r="W48" i="33" s="1"/>
  <c r="CB41" i="48"/>
  <c r="BW11" i="48"/>
  <c r="W18" i="33" s="1"/>
  <c r="CB11" i="48"/>
  <c r="BW34" i="48"/>
  <c r="W41" i="33" s="1"/>
  <c r="CB34" i="48"/>
  <c r="BW42" i="48"/>
  <c r="W49" i="33" s="1"/>
  <c r="CB42" i="48"/>
  <c r="BW50" i="48"/>
  <c r="W57" i="33" s="1"/>
  <c r="CB50" i="48"/>
  <c r="BW58" i="48"/>
  <c r="W65" i="33" s="1"/>
  <c r="CB58" i="48"/>
  <c r="BW66" i="48"/>
  <c r="W73" i="33" s="1"/>
  <c r="CB66" i="48"/>
  <c r="BW74" i="48"/>
  <c r="W81" i="33" s="1"/>
  <c r="CB74" i="48"/>
  <c r="BW82" i="48"/>
  <c r="W89" i="33" s="1"/>
  <c r="CB82" i="48"/>
  <c r="BW90" i="48"/>
  <c r="W97" i="33" s="1"/>
  <c r="CB90" i="48"/>
  <c r="BW98" i="48"/>
  <c r="W105" i="33" s="1"/>
  <c r="CB98" i="48"/>
  <c r="BW106" i="48"/>
  <c r="W113" i="33" s="1"/>
  <c r="CB106" i="48"/>
  <c r="BW114" i="48"/>
  <c r="W121" i="33" s="1"/>
  <c r="CB114" i="48"/>
  <c r="BW122" i="48"/>
  <c r="W129" i="33" s="1"/>
  <c r="CB122" i="48"/>
  <c r="BW130" i="48"/>
  <c r="W137" i="33" s="1"/>
  <c r="CB130" i="48"/>
  <c r="BW138" i="48"/>
  <c r="W145" i="33" s="1"/>
  <c r="CB138" i="48"/>
  <c r="BW146" i="48"/>
  <c r="W153" i="33" s="1"/>
  <c r="CB146" i="48"/>
  <c r="BW30" i="48"/>
  <c r="W37" i="33" s="1"/>
  <c r="CB30" i="48"/>
  <c r="BW32" i="48"/>
  <c r="W39" i="33" s="1"/>
  <c r="CB32" i="48"/>
  <c r="BW35" i="48"/>
  <c r="W42" i="33" s="1"/>
  <c r="CB35" i="48"/>
  <c r="BW51" i="48"/>
  <c r="W58" i="33" s="1"/>
  <c r="CB51" i="48"/>
  <c r="BW59" i="48"/>
  <c r="W66" i="33" s="1"/>
  <c r="CB59" i="48"/>
  <c r="BW67" i="48"/>
  <c r="W74" i="33" s="1"/>
  <c r="CB67" i="48"/>
  <c r="BW75" i="48"/>
  <c r="W82" i="33" s="1"/>
  <c r="CB75" i="48"/>
  <c r="BW83" i="48"/>
  <c r="W90" i="33" s="1"/>
  <c r="CB83" i="48"/>
  <c r="BW91" i="48"/>
  <c r="W98" i="33" s="1"/>
  <c r="CB91" i="48"/>
  <c r="BW99" i="48"/>
  <c r="W106" i="33" s="1"/>
  <c r="CB99" i="48"/>
  <c r="BW107" i="48"/>
  <c r="W114" i="33" s="1"/>
  <c r="CB107" i="48"/>
  <c r="BW115" i="48"/>
  <c r="W122" i="33" s="1"/>
  <c r="CB115" i="48"/>
  <c r="BW123" i="48"/>
  <c r="W130" i="33" s="1"/>
  <c r="CB123" i="48"/>
  <c r="BW131" i="48"/>
  <c r="W138" i="33" s="1"/>
  <c r="CB131" i="48"/>
  <c r="BW139" i="48"/>
  <c r="W146" i="33" s="1"/>
  <c r="CB139" i="48"/>
  <c r="BW147" i="48"/>
  <c r="W154" i="33" s="1"/>
  <c r="CB147" i="48"/>
  <c r="AN13" i="48"/>
  <c r="AO13" i="48" s="1"/>
  <c r="AP13" i="48" s="1"/>
  <c r="BW31" i="48"/>
  <c r="W38" i="33" s="1"/>
  <c r="CB31" i="48"/>
  <c r="BW12" i="48"/>
  <c r="W19" i="33" s="1"/>
  <c r="CB12" i="48"/>
  <c r="BW43" i="48"/>
  <c r="W50" i="33" s="1"/>
  <c r="CB43" i="48"/>
  <c r="BW28" i="48"/>
  <c r="W35" i="33" s="1"/>
  <c r="CB28" i="48"/>
  <c r="BW36" i="48"/>
  <c r="W43" i="33" s="1"/>
  <c r="CB36" i="48"/>
  <c r="BW44" i="48"/>
  <c r="W51" i="33" s="1"/>
  <c r="CB44" i="48"/>
  <c r="BW52" i="48"/>
  <c r="W59" i="33" s="1"/>
  <c r="CB52" i="48"/>
  <c r="BW60" i="48"/>
  <c r="W67" i="33" s="1"/>
  <c r="CB60" i="48"/>
  <c r="BW68" i="48"/>
  <c r="W75" i="33" s="1"/>
  <c r="CB68" i="48"/>
  <c r="BW76" i="48"/>
  <c r="W83" i="33" s="1"/>
  <c r="CB76" i="48"/>
  <c r="BW84" i="48"/>
  <c r="W91" i="33" s="1"/>
  <c r="CB84" i="48"/>
  <c r="BW92" i="48"/>
  <c r="W99" i="33" s="1"/>
  <c r="CB92" i="48"/>
  <c r="BW100" i="48"/>
  <c r="W107" i="33" s="1"/>
  <c r="CB100" i="48"/>
  <c r="BW108" i="48"/>
  <c r="W115" i="33" s="1"/>
  <c r="CB108" i="48"/>
  <c r="BW116" i="48"/>
  <c r="W123" i="33" s="1"/>
  <c r="CB116" i="48"/>
  <c r="BW124" i="48"/>
  <c r="W131" i="33" s="1"/>
  <c r="CB124" i="48"/>
  <c r="BW132" i="48"/>
  <c r="W139" i="33" s="1"/>
  <c r="CB132" i="48"/>
  <c r="BW140" i="48"/>
  <c r="W147" i="33" s="1"/>
  <c r="CB140" i="48"/>
  <c r="BW148" i="48"/>
  <c r="W155" i="33" s="1"/>
  <c r="CB148" i="48"/>
  <c r="AN17" i="48"/>
  <c r="AO17" i="48" s="1"/>
  <c r="AP17" i="48" s="1"/>
  <c r="AL25" i="48"/>
  <c r="AM25" i="48" s="1"/>
  <c r="AL27" i="48"/>
  <c r="AM27" i="48" s="1"/>
  <c r="AL24" i="48"/>
  <c r="AM24" i="48" s="1"/>
  <c r="AL22" i="48"/>
  <c r="AM22" i="48" s="1"/>
  <c r="AL23" i="48"/>
  <c r="AM23" i="48" s="1"/>
  <c r="AL26" i="48"/>
  <c r="AM26" i="48" s="1"/>
  <c r="K151" i="48"/>
  <c r="W15" i="33" l="1"/>
  <c r="BW151" i="48"/>
  <c r="AR15" i="48"/>
  <c r="AS15" i="48" s="1"/>
  <c r="AR19" i="48"/>
  <c r="AS19" i="48" s="1"/>
  <c r="AR16" i="48"/>
  <c r="AS16" i="48" s="1"/>
  <c r="AQ17" i="48"/>
  <c r="AQ13" i="48"/>
  <c r="AQ20" i="48"/>
  <c r="AQ18" i="48"/>
  <c r="AN21" i="48"/>
  <c r="AO21" i="48" s="1"/>
  <c r="AP21" i="48" s="1"/>
  <c r="AN25" i="48"/>
  <c r="AO25" i="48" s="1"/>
  <c r="AP25" i="48" s="1"/>
  <c r="AN26" i="48"/>
  <c r="AO26" i="48" s="1"/>
  <c r="AP26" i="48" s="1"/>
  <c r="AN23" i="48"/>
  <c r="AO23" i="48" s="1"/>
  <c r="AP23" i="48" s="1"/>
  <c r="AN24" i="48"/>
  <c r="AO24" i="48" s="1"/>
  <c r="AP24" i="48" s="1"/>
  <c r="AN27" i="48"/>
  <c r="AO27" i="48" s="1"/>
  <c r="AP27" i="48" s="1"/>
  <c r="AN22" i="48"/>
  <c r="AO22" i="48" s="1"/>
  <c r="AP22" i="48" s="1"/>
  <c r="Q28" i="48"/>
  <c r="R28" i="48"/>
  <c r="Q29" i="48"/>
  <c r="R29" i="48"/>
  <c r="Q30" i="48"/>
  <c r="R30" i="48"/>
  <c r="Q31" i="48"/>
  <c r="R31" i="48"/>
  <c r="Q32" i="48"/>
  <c r="R32" i="48"/>
  <c r="Q33" i="48"/>
  <c r="R33" i="48"/>
  <c r="Q34" i="48"/>
  <c r="R34" i="48"/>
  <c r="Q35" i="48"/>
  <c r="R35" i="48"/>
  <c r="Q36" i="48"/>
  <c r="R36" i="48"/>
  <c r="Q37" i="48"/>
  <c r="R37" i="48"/>
  <c r="Q38" i="48"/>
  <c r="R38" i="48"/>
  <c r="Q39" i="48"/>
  <c r="R39" i="48"/>
  <c r="Q40" i="48"/>
  <c r="R40" i="48"/>
  <c r="Q41" i="48"/>
  <c r="R41" i="48"/>
  <c r="Q42" i="48"/>
  <c r="R42" i="48"/>
  <c r="Q43" i="48"/>
  <c r="R43" i="48"/>
  <c r="Q44" i="48"/>
  <c r="R44" i="48"/>
  <c r="Q45" i="48"/>
  <c r="R45" i="48"/>
  <c r="Q46" i="48"/>
  <c r="R46" i="48"/>
  <c r="Q47" i="48"/>
  <c r="R47" i="48"/>
  <c r="Q48" i="48"/>
  <c r="R48" i="48"/>
  <c r="Q49" i="48"/>
  <c r="R49" i="48"/>
  <c r="Q50" i="48"/>
  <c r="R50" i="48"/>
  <c r="Q51" i="48"/>
  <c r="R51" i="48"/>
  <c r="Q52" i="48"/>
  <c r="R52" i="48"/>
  <c r="Q53" i="48"/>
  <c r="R53" i="48"/>
  <c r="Q54" i="48"/>
  <c r="R54" i="48"/>
  <c r="Q55" i="48"/>
  <c r="R55" i="48"/>
  <c r="Q56" i="48"/>
  <c r="R56" i="48"/>
  <c r="Q57" i="48"/>
  <c r="R57" i="48"/>
  <c r="Q58" i="48"/>
  <c r="R58" i="48"/>
  <c r="Q59" i="48"/>
  <c r="R59" i="48"/>
  <c r="Q60" i="48"/>
  <c r="R60" i="48"/>
  <c r="Q61" i="48"/>
  <c r="R61" i="48"/>
  <c r="Q62" i="48"/>
  <c r="R62" i="48"/>
  <c r="Q63" i="48"/>
  <c r="R63" i="48"/>
  <c r="Q64" i="48"/>
  <c r="R64" i="48"/>
  <c r="Q65" i="48"/>
  <c r="R65" i="48"/>
  <c r="Q66" i="48"/>
  <c r="R66" i="48"/>
  <c r="Q67" i="48"/>
  <c r="R67" i="48"/>
  <c r="Q68" i="48"/>
  <c r="R68" i="48"/>
  <c r="Q69" i="48"/>
  <c r="R69" i="48"/>
  <c r="Q71" i="48"/>
  <c r="R71" i="48"/>
  <c r="Q72" i="48"/>
  <c r="R72" i="48"/>
  <c r="Q73" i="48"/>
  <c r="R73" i="48"/>
  <c r="Q74" i="48"/>
  <c r="R74" i="48"/>
  <c r="Q75" i="48"/>
  <c r="R75" i="48"/>
  <c r="Q76" i="48"/>
  <c r="R76" i="48"/>
  <c r="Q77" i="48"/>
  <c r="R77" i="48"/>
  <c r="Q78" i="48"/>
  <c r="R78" i="48"/>
  <c r="Q79" i="48"/>
  <c r="R79" i="48"/>
  <c r="Q80" i="48"/>
  <c r="R80" i="48"/>
  <c r="Q81" i="48"/>
  <c r="R81" i="48"/>
  <c r="Q82" i="48"/>
  <c r="R82" i="48"/>
  <c r="Q83" i="48"/>
  <c r="R83" i="48"/>
  <c r="Q84" i="48"/>
  <c r="R84" i="48"/>
  <c r="Q85" i="48"/>
  <c r="R85" i="48"/>
  <c r="Q86" i="48"/>
  <c r="R86" i="48"/>
  <c r="Q87" i="48"/>
  <c r="R87" i="48"/>
  <c r="Q88" i="48"/>
  <c r="R88" i="48"/>
  <c r="Q89" i="48"/>
  <c r="R89" i="48"/>
  <c r="Q90" i="48"/>
  <c r="R90" i="48"/>
  <c r="Q91" i="48"/>
  <c r="R91" i="48"/>
  <c r="Q92" i="48"/>
  <c r="R92" i="48"/>
  <c r="Q93" i="48"/>
  <c r="R93" i="48"/>
  <c r="Q94" i="48"/>
  <c r="R94" i="48"/>
  <c r="Q95" i="48"/>
  <c r="R95" i="48"/>
  <c r="Q96" i="48"/>
  <c r="R96" i="48"/>
  <c r="Q97" i="48"/>
  <c r="R97" i="48"/>
  <c r="Q98" i="48"/>
  <c r="R98" i="48"/>
  <c r="Q99" i="48"/>
  <c r="R99" i="48"/>
  <c r="Q100" i="48"/>
  <c r="R100" i="48"/>
  <c r="Q101" i="48"/>
  <c r="R101" i="48"/>
  <c r="Q102" i="48"/>
  <c r="R102" i="48"/>
  <c r="Q103" i="48"/>
  <c r="R103" i="48"/>
  <c r="Q104" i="48"/>
  <c r="R104" i="48"/>
  <c r="Q105" i="48"/>
  <c r="R105" i="48"/>
  <c r="Q106" i="48"/>
  <c r="R106" i="48"/>
  <c r="Q107" i="48"/>
  <c r="R107" i="48"/>
  <c r="Q108" i="48"/>
  <c r="R108" i="48"/>
  <c r="Q109" i="48"/>
  <c r="R109" i="48"/>
  <c r="Q110" i="48"/>
  <c r="R110" i="48"/>
  <c r="Q111" i="48"/>
  <c r="R111" i="48"/>
  <c r="Q112" i="48"/>
  <c r="R112" i="48"/>
  <c r="Q113" i="48"/>
  <c r="R113" i="48"/>
  <c r="Q114" i="48"/>
  <c r="R114" i="48"/>
  <c r="Q115" i="48"/>
  <c r="R115" i="48"/>
  <c r="Q116" i="48"/>
  <c r="R116" i="48"/>
  <c r="Q117" i="48"/>
  <c r="R117" i="48"/>
  <c r="Q118" i="48"/>
  <c r="R118" i="48"/>
  <c r="Q119" i="48"/>
  <c r="R119" i="48"/>
  <c r="Q120" i="48"/>
  <c r="R120" i="48"/>
  <c r="Q121" i="48"/>
  <c r="R121" i="48"/>
  <c r="Q122" i="48"/>
  <c r="R122" i="48"/>
  <c r="Q123" i="48"/>
  <c r="R123" i="48"/>
  <c r="Q124" i="48"/>
  <c r="R124" i="48"/>
  <c r="Q125" i="48"/>
  <c r="R125" i="48"/>
  <c r="Q126" i="48"/>
  <c r="R126" i="48"/>
  <c r="Q127" i="48"/>
  <c r="R127" i="48"/>
  <c r="Q128" i="48"/>
  <c r="R128" i="48"/>
  <c r="Q129" i="48"/>
  <c r="R129" i="48"/>
  <c r="Q130" i="48"/>
  <c r="R130" i="48"/>
  <c r="Q131" i="48"/>
  <c r="R131" i="48"/>
  <c r="Q132" i="48"/>
  <c r="R132" i="48"/>
  <c r="Q133" i="48"/>
  <c r="R133" i="48"/>
  <c r="Q134" i="48"/>
  <c r="R134" i="48"/>
  <c r="Q135" i="48"/>
  <c r="R135" i="48"/>
  <c r="Q136" i="48"/>
  <c r="R136" i="48"/>
  <c r="Q137" i="48"/>
  <c r="R137" i="48"/>
  <c r="Q138" i="48"/>
  <c r="R138" i="48"/>
  <c r="Q139" i="48"/>
  <c r="R139" i="48"/>
  <c r="Q140" i="48"/>
  <c r="R140" i="48"/>
  <c r="Q141" i="48"/>
  <c r="R141" i="48"/>
  <c r="Q142" i="48"/>
  <c r="R142" i="48"/>
  <c r="Q143" i="48"/>
  <c r="R143" i="48"/>
  <c r="Q144" i="48"/>
  <c r="R144" i="48"/>
  <c r="Q145" i="48"/>
  <c r="R145" i="48"/>
  <c r="Q146" i="48"/>
  <c r="R146" i="48"/>
  <c r="Q147" i="48"/>
  <c r="R147" i="48"/>
  <c r="Q148" i="48"/>
  <c r="R148" i="48"/>
  <c r="Q149" i="48"/>
  <c r="R149" i="48"/>
  <c r="Q150" i="48"/>
  <c r="R150" i="48"/>
  <c r="AT16" i="48" l="1"/>
  <c r="AT15" i="48"/>
  <c r="AU19" i="48"/>
  <c r="AW19" i="48" s="1"/>
  <c r="AT19" i="48"/>
  <c r="AU16" i="48"/>
  <c r="AW16" i="48" s="1"/>
  <c r="AU15" i="48"/>
  <c r="AW15" i="48" s="1"/>
  <c r="AR17" i="48"/>
  <c r="AS17" i="48" s="1"/>
  <c r="AR13" i="48"/>
  <c r="AS13" i="48" s="1"/>
  <c r="AR18" i="48"/>
  <c r="AS18" i="48" s="1"/>
  <c r="AR20" i="48"/>
  <c r="AS20" i="48" s="1"/>
  <c r="AQ21" i="48"/>
  <c r="AQ25" i="48"/>
  <c r="AQ22" i="48"/>
  <c r="AQ27" i="48"/>
  <c r="AQ24" i="48"/>
  <c r="AQ23" i="48"/>
  <c r="AQ26" i="48"/>
  <c r="S143" i="48"/>
  <c r="S127" i="48"/>
  <c r="S119" i="48"/>
  <c r="S111" i="48"/>
  <c r="S105" i="48"/>
  <c r="S103" i="48"/>
  <c r="S97" i="48"/>
  <c r="S95" i="48"/>
  <c r="S89" i="48"/>
  <c r="S87" i="48"/>
  <c r="S79" i="48"/>
  <c r="S71" i="48"/>
  <c r="S63" i="48"/>
  <c r="S55" i="48"/>
  <c r="S47" i="48"/>
  <c r="S39" i="48"/>
  <c r="S31" i="48"/>
  <c r="S81" i="48"/>
  <c r="S73" i="48"/>
  <c r="S137" i="48"/>
  <c r="S113" i="48"/>
  <c r="S65" i="48"/>
  <c r="S57" i="48"/>
  <c r="S49" i="48"/>
  <c r="S41" i="48"/>
  <c r="S33" i="48"/>
  <c r="S129" i="48"/>
  <c r="S145" i="48"/>
  <c r="S135" i="48"/>
  <c r="S28" i="48"/>
  <c r="S121" i="48"/>
  <c r="S149" i="48"/>
  <c r="S141" i="48"/>
  <c r="S133" i="48"/>
  <c r="S125" i="48"/>
  <c r="S117" i="48"/>
  <c r="S109" i="48"/>
  <c r="S101" i="48"/>
  <c r="S93" i="48"/>
  <c r="S85" i="48"/>
  <c r="S116" i="48"/>
  <c r="S84" i="48"/>
  <c r="S36" i="48"/>
  <c r="S147" i="48"/>
  <c r="S131" i="48"/>
  <c r="S115" i="48"/>
  <c r="S99" i="48"/>
  <c r="S91" i="48"/>
  <c r="S83" i="48"/>
  <c r="S75" i="48"/>
  <c r="S59" i="48"/>
  <c r="S51" i="48"/>
  <c r="S43" i="48"/>
  <c r="S35" i="48"/>
  <c r="S146" i="48"/>
  <c r="S138" i="48"/>
  <c r="S130" i="48"/>
  <c r="S122" i="48"/>
  <c r="S114" i="48"/>
  <c r="S98" i="48"/>
  <c r="S90" i="48"/>
  <c r="S82" i="48"/>
  <c r="S74" i="48"/>
  <c r="S66" i="48"/>
  <c r="S58" i="48"/>
  <c r="S50" i="48"/>
  <c r="S42" i="48"/>
  <c r="S34" i="48"/>
  <c r="S148" i="48"/>
  <c r="S139" i="48"/>
  <c r="S123" i="48"/>
  <c r="S107" i="48"/>
  <c r="S67" i="48"/>
  <c r="S132" i="48"/>
  <c r="S100" i="48"/>
  <c r="S76" i="48"/>
  <c r="S52" i="48"/>
  <c r="S124" i="48"/>
  <c r="S92" i="48"/>
  <c r="S60" i="48"/>
  <c r="S140" i="48"/>
  <c r="S108" i="48"/>
  <c r="S68" i="48"/>
  <c r="S44" i="48"/>
  <c r="S150" i="48"/>
  <c r="S142" i="48"/>
  <c r="S134" i="48"/>
  <c r="S126" i="48"/>
  <c r="S118" i="48"/>
  <c r="S110" i="48"/>
  <c r="S102" i="48"/>
  <c r="S94" i="48"/>
  <c r="S86" i="48"/>
  <c r="S78" i="48"/>
  <c r="S70" i="48"/>
  <c r="S62" i="48"/>
  <c r="S54" i="48"/>
  <c r="S46" i="48"/>
  <c r="S38" i="48"/>
  <c r="S30" i="48"/>
  <c r="S136" i="48"/>
  <c r="S96" i="48"/>
  <c r="S88" i="48"/>
  <c r="S80" i="48"/>
  <c r="S72" i="48"/>
  <c r="S64" i="48"/>
  <c r="S56" i="48"/>
  <c r="S48" i="48"/>
  <c r="S40" i="48"/>
  <c r="S32" i="48"/>
  <c r="S144" i="48"/>
  <c r="S77" i="48"/>
  <c r="S69" i="48"/>
  <c r="S61" i="48"/>
  <c r="S53" i="48"/>
  <c r="S45" i="48"/>
  <c r="S37" i="48"/>
  <c r="S29" i="48"/>
  <c r="S104" i="48"/>
  <c r="S120" i="48"/>
  <c r="S112" i="48"/>
  <c r="S106" i="48"/>
  <c r="S128" i="48"/>
  <c r="AX15" i="48" l="1"/>
  <c r="AX16" i="48"/>
  <c r="AX19" i="48"/>
  <c r="AT17" i="48"/>
  <c r="AT13" i="48"/>
  <c r="AU20" i="48"/>
  <c r="AW20" i="48" s="1"/>
  <c r="AT20" i="48"/>
  <c r="AU18" i="48"/>
  <c r="AW18" i="48" s="1"/>
  <c r="AT18" i="48"/>
  <c r="AU17" i="48"/>
  <c r="AW17" i="48" s="1"/>
  <c r="AU13" i="48"/>
  <c r="AW13" i="48" s="1"/>
  <c r="AR25" i="48"/>
  <c r="AS25" i="48" s="1"/>
  <c r="AY19" i="48"/>
  <c r="BA19" i="48" s="1"/>
  <c r="BB19" i="48" s="1"/>
  <c r="AR27" i="48"/>
  <c r="AS27" i="48" s="1"/>
  <c r="AR21" i="48"/>
  <c r="AS21" i="48" s="1"/>
  <c r="AY15" i="48"/>
  <c r="BA15" i="48" s="1"/>
  <c r="BB15" i="48" s="1"/>
  <c r="AY16" i="48"/>
  <c r="BA16" i="48" s="1"/>
  <c r="BB16" i="48" s="1"/>
  <c r="AR26" i="48"/>
  <c r="AS26" i="48" s="1"/>
  <c r="AR24" i="48"/>
  <c r="AS24" i="48" s="1"/>
  <c r="AR22" i="48"/>
  <c r="AS22" i="48" s="1"/>
  <c r="AR23" i="48"/>
  <c r="AS23" i="48" s="1"/>
  <c r="C163" i="33"/>
  <c r="C161" i="33"/>
  <c r="C162" i="33"/>
  <c r="C160" i="33"/>
  <c r="E14" i="33"/>
  <c r="W14" i="33"/>
  <c r="S14" i="33"/>
  <c r="Y14" i="33" s="1"/>
  <c r="B139" i="48"/>
  <c r="B140" i="48" s="1"/>
  <c r="B141" i="48" s="1"/>
  <c r="B142" i="48" s="1"/>
  <c r="B143" i="48" s="1"/>
  <c r="B144" i="48" s="1"/>
  <c r="B145" i="48" s="1"/>
  <c r="B146" i="48" s="1"/>
  <c r="B147" i="48" s="1"/>
  <c r="B148" i="48" s="1"/>
  <c r="B149" i="48" s="1"/>
  <c r="B150" i="48" s="1"/>
  <c r="B126" i="48"/>
  <c r="B127" i="48" s="1"/>
  <c r="B128" i="48" s="1"/>
  <c r="B129" i="48" s="1"/>
  <c r="B130" i="48" s="1"/>
  <c r="B131" i="48" s="1"/>
  <c r="B132" i="48" s="1"/>
  <c r="B133" i="48" s="1"/>
  <c r="B134" i="48" s="1"/>
  <c r="B135" i="48" s="1"/>
  <c r="B136" i="48" s="1"/>
  <c r="B137" i="48" s="1"/>
  <c r="B113" i="48"/>
  <c r="B114" i="48" s="1"/>
  <c r="B115" i="48" s="1"/>
  <c r="B116" i="48" s="1"/>
  <c r="B117" i="48" s="1"/>
  <c r="B118" i="48" s="1"/>
  <c r="B119" i="48" s="1"/>
  <c r="B120" i="48" s="1"/>
  <c r="B121" i="48" s="1"/>
  <c r="B122" i="48" s="1"/>
  <c r="B123" i="48" s="1"/>
  <c r="B124" i="48" s="1"/>
  <c r="B100" i="48"/>
  <c r="B101" i="48" s="1"/>
  <c r="B102" i="48" s="1"/>
  <c r="B103" i="48" s="1"/>
  <c r="B104" i="48" s="1"/>
  <c r="B105" i="48" s="1"/>
  <c r="B106" i="48" s="1"/>
  <c r="B107" i="48" s="1"/>
  <c r="B108" i="48" s="1"/>
  <c r="B109" i="48" s="1"/>
  <c r="B110" i="48" s="1"/>
  <c r="B111" i="48" s="1"/>
  <c r="B87" i="48"/>
  <c r="B88" i="48" s="1"/>
  <c r="B89" i="48" s="1"/>
  <c r="B90" i="48" s="1"/>
  <c r="B91" i="48" s="1"/>
  <c r="B92" i="48" s="1"/>
  <c r="B93" i="48" s="1"/>
  <c r="B94" i="48" s="1"/>
  <c r="B95" i="48" s="1"/>
  <c r="B96" i="48" s="1"/>
  <c r="B97" i="48" s="1"/>
  <c r="B98" i="48" s="1"/>
  <c r="B74" i="48"/>
  <c r="B75" i="48" s="1"/>
  <c r="B76" i="48" s="1"/>
  <c r="B77" i="48" s="1"/>
  <c r="B78" i="48" s="1"/>
  <c r="B79" i="48" s="1"/>
  <c r="B80" i="48" s="1"/>
  <c r="B81" i="48" s="1"/>
  <c r="B82" i="48" s="1"/>
  <c r="B83" i="48" s="1"/>
  <c r="B84" i="48" s="1"/>
  <c r="B85" i="48" s="1"/>
  <c r="B61" i="48"/>
  <c r="B62" i="48" s="1"/>
  <c r="B63" i="48" s="1"/>
  <c r="B64" i="48" s="1"/>
  <c r="B65" i="48" s="1"/>
  <c r="B66" i="48" s="1"/>
  <c r="B67" i="48" s="1"/>
  <c r="B68" i="48" s="1"/>
  <c r="B69" i="48" s="1"/>
  <c r="B70" i="48" s="1"/>
  <c r="B71" i="48" s="1"/>
  <c r="B72" i="48" s="1"/>
  <c r="B48" i="48"/>
  <c r="B49" i="48" s="1"/>
  <c r="B50" i="48" s="1"/>
  <c r="B51" i="48" s="1"/>
  <c r="B52" i="48" s="1"/>
  <c r="B53" i="48" s="1"/>
  <c r="B54" i="48" s="1"/>
  <c r="B55" i="48" s="1"/>
  <c r="B56" i="48" s="1"/>
  <c r="B57" i="48" s="1"/>
  <c r="B58" i="48" s="1"/>
  <c r="B59" i="48" s="1"/>
  <c r="B35" i="48"/>
  <c r="B36" i="48" s="1"/>
  <c r="B37" i="48" s="1"/>
  <c r="B38" i="48" s="1"/>
  <c r="B39" i="48" s="1"/>
  <c r="B40" i="48" s="1"/>
  <c r="B41" i="48" s="1"/>
  <c r="B42" i="48" s="1"/>
  <c r="B43" i="48" s="1"/>
  <c r="B44" i="48" s="1"/>
  <c r="B45" i="48" s="1"/>
  <c r="B46" i="48" s="1"/>
  <c r="B28" i="48"/>
  <c r="B29" i="48" s="1"/>
  <c r="B30" i="48" s="1"/>
  <c r="B31" i="48" s="1"/>
  <c r="B32" i="48" s="1"/>
  <c r="B33" i="48" s="1"/>
  <c r="B8" i="48"/>
  <c r="B9" i="48" s="1"/>
  <c r="B10" i="48" s="1"/>
  <c r="B11" i="48" s="1"/>
  <c r="B12" i="48" s="1"/>
  <c r="B13" i="48" s="1"/>
  <c r="A21" i="48"/>
  <c r="A22" i="48" s="1"/>
  <c r="A23" i="48" s="1"/>
  <c r="A24" i="48" s="1"/>
  <c r="A25" i="48" s="1"/>
  <c r="A26" i="48" s="1"/>
  <c r="A27" i="48" s="1"/>
  <c r="T151" i="48"/>
  <c r="AB151" i="48"/>
  <c r="AX17" i="48" l="1"/>
  <c r="AX18" i="48"/>
  <c r="AX13" i="48"/>
  <c r="AX20" i="48"/>
  <c r="AT21" i="48"/>
  <c r="AT23" i="48"/>
  <c r="AT26" i="48"/>
  <c r="AT27" i="48"/>
  <c r="AT25" i="48"/>
  <c r="AU22" i="48"/>
  <c r="AW22" i="48" s="1"/>
  <c r="AT22" i="48"/>
  <c r="AU24" i="48"/>
  <c r="AW24" i="48" s="1"/>
  <c r="AT24" i="48"/>
  <c r="AY13" i="48"/>
  <c r="BA13" i="48" s="1"/>
  <c r="BB13" i="48" s="1"/>
  <c r="AY17" i="48"/>
  <c r="BA17" i="48" s="1"/>
  <c r="BB17" i="48" s="1"/>
  <c r="AU21" i="48"/>
  <c r="AW21" i="48" s="1"/>
  <c r="AU26" i="48"/>
  <c r="AW26" i="48" s="1"/>
  <c r="AU25" i="48"/>
  <c r="AW25" i="48" s="1"/>
  <c r="AU27" i="48"/>
  <c r="AW27" i="48" s="1"/>
  <c r="BC15" i="48"/>
  <c r="BE15" i="48" s="1"/>
  <c r="BF15" i="48" s="1"/>
  <c r="AU23" i="48"/>
  <c r="AW23" i="48" s="1"/>
  <c r="BC16" i="48"/>
  <c r="BE16" i="48" s="1"/>
  <c r="BF16" i="48" s="1"/>
  <c r="AY20" i="48"/>
  <c r="BA20" i="48" s="1"/>
  <c r="BB20" i="48" s="1"/>
  <c r="AY18" i="48"/>
  <c r="BA18" i="48" s="1"/>
  <c r="BB18" i="48" s="1"/>
  <c r="BC19" i="48"/>
  <c r="BE19" i="48" s="1"/>
  <c r="BF19" i="48" s="1"/>
  <c r="A28" i="48"/>
  <c r="A29" i="48" s="1"/>
  <c r="A30" i="48" s="1"/>
  <c r="A31" i="48" s="1"/>
  <c r="A32" i="48" s="1"/>
  <c r="A33" i="48" s="1"/>
  <c r="A34" i="48" s="1"/>
  <c r="A35" i="48" s="1"/>
  <c r="A36" i="48" s="1"/>
  <c r="A37" i="48" s="1"/>
  <c r="A38" i="48" s="1"/>
  <c r="A39" i="48" s="1"/>
  <c r="A40" i="48" s="1"/>
  <c r="A41" i="48" s="1"/>
  <c r="A42" i="48" s="1"/>
  <c r="A43" i="48" s="1"/>
  <c r="A44" i="48" s="1"/>
  <c r="A45" i="48" s="1"/>
  <c r="A46" i="48" s="1"/>
  <c r="A47" i="48" s="1"/>
  <c r="A48" i="48" s="1"/>
  <c r="A49" i="48" s="1"/>
  <c r="A50" i="48" s="1"/>
  <c r="A51" i="48" s="1"/>
  <c r="A52" i="48" s="1"/>
  <c r="A53" i="48" s="1"/>
  <c r="A54" i="48" s="1"/>
  <c r="A55" i="48" s="1"/>
  <c r="A56" i="48" s="1"/>
  <c r="A57" i="48" s="1"/>
  <c r="A58" i="48" s="1"/>
  <c r="A59" i="48" s="1"/>
  <c r="A60" i="48" s="1"/>
  <c r="A61" i="48" s="1"/>
  <c r="A62" i="48" s="1"/>
  <c r="A63" i="48" s="1"/>
  <c r="A64" i="48" s="1"/>
  <c r="A65" i="48" s="1"/>
  <c r="A66" i="48" s="1"/>
  <c r="A67" i="48" s="1"/>
  <c r="A68" i="48" s="1"/>
  <c r="A69" i="48" s="1"/>
  <c r="A70" i="48" s="1"/>
  <c r="A71" i="48" s="1"/>
  <c r="A72" i="48" s="1"/>
  <c r="A73" i="48" s="1"/>
  <c r="A74" i="48" s="1"/>
  <c r="A75" i="48" s="1"/>
  <c r="A76" i="48" s="1"/>
  <c r="A77" i="48" s="1"/>
  <c r="A78" i="48" s="1"/>
  <c r="A79" i="48" s="1"/>
  <c r="A80" i="48" s="1"/>
  <c r="A81" i="48" s="1"/>
  <c r="A82" i="48" s="1"/>
  <c r="A83" i="48" s="1"/>
  <c r="A84" i="48" s="1"/>
  <c r="A85" i="48" s="1"/>
  <c r="A86" i="48" s="1"/>
  <c r="A87" i="48" s="1"/>
  <c r="A88" i="48" s="1"/>
  <c r="A89" i="48" s="1"/>
  <c r="A90" i="48" s="1"/>
  <c r="A91" i="48" s="1"/>
  <c r="A92" i="48" s="1"/>
  <c r="A93" i="48" s="1"/>
  <c r="A94" i="48" s="1"/>
  <c r="A95" i="48" s="1"/>
  <c r="A96" i="48" s="1"/>
  <c r="A97" i="48" s="1"/>
  <c r="A98" i="48" s="1"/>
  <c r="A99" i="48" s="1"/>
  <c r="A100" i="48" s="1"/>
  <c r="A101" i="48" s="1"/>
  <c r="A102" i="48" s="1"/>
  <c r="A103" i="48" s="1"/>
  <c r="A104" i="48" s="1"/>
  <c r="A105" i="48" s="1"/>
  <c r="A106" i="48" s="1"/>
  <c r="A107" i="48" s="1"/>
  <c r="A108" i="48" s="1"/>
  <c r="A109" i="48" s="1"/>
  <c r="A110" i="48" s="1"/>
  <c r="A111" i="48" s="1"/>
  <c r="A112" i="48" s="1"/>
  <c r="A113" i="48" s="1"/>
  <c r="A114" i="48" s="1"/>
  <c r="A115" i="48" s="1"/>
  <c r="A116" i="48" s="1"/>
  <c r="A117" i="48" s="1"/>
  <c r="A118" i="48" s="1"/>
  <c r="A119" i="48" s="1"/>
  <c r="A120" i="48" s="1"/>
  <c r="A121" i="48" s="1"/>
  <c r="A122" i="48" s="1"/>
  <c r="A123" i="48" s="1"/>
  <c r="A124" i="48" s="1"/>
  <c r="A125" i="48" s="1"/>
  <c r="A126" i="48" s="1"/>
  <c r="A127" i="48" s="1"/>
  <c r="A128" i="48" s="1"/>
  <c r="A129" i="48" s="1"/>
  <c r="A130" i="48" s="1"/>
  <c r="A131" i="48" s="1"/>
  <c r="A132" i="48" s="1"/>
  <c r="A133" i="48" s="1"/>
  <c r="A134" i="48" s="1"/>
  <c r="A135" i="48" s="1"/>
  <c r="A136" i="48" s="1"/>
  <c r="A137" i="48" s="1"/>
  <c r="A138" i="48" s="1"/>
  <c r="A139" i="48" s="1"/>
  <c r="A140" i="48" s="1"/>
  <c r="A141" i="48" s="1"/>
  <c r="A142" i="48" s="1"/>
  <c r="A143" i="48" s="1"/>
  <c r="A144" i="48" s="1"/>
  <c r="A145" i="48" s="1"/>
  <c r="A146" i="48" s="1"/>
  <c r="A147" i="48" s="1"/>
  <c r="A148" i="48" s="1"/>
  <c r="A149" i="48" s="1"/>
  <c r="A150" i="48" s="1"/>
  <c r="B4" i="48" s="1"/>
  <c r="W315" i="50"/>
  <c r="CE314" i="50"/>
  <c r="AI314" i="50" s="1"/>
  <c r="CD313" i="50"/>
  <c r="CC313" i="50"/>
  <c r="CB313" i="50"/>
  <c r="CA313" i="50"/>
  <c r="BZ313" i="50"/>
  <c r="BY313" i="50"/>
  <c r="BX313" i="50"/>
  <c r="BW313" i="50"/>
  <c r="BV313" i="50"/>
  <c r="BU313" i="50"/>
  <c r="BT313" i="50"/>
  <c r="BS313" i="50"/>
  <c r="BR313" i="50"/>
  <c r="BQ313" i="50"/>
  <c r="BP313" i="50"/>
  <c r="BO313" i="50"/>
  <c r="BN313" i="50"/>
  <c r="BM313" i="50"/>
  <c r="BL313" i="50"/>
  <c r="BK313" i="50"/>
  <c r="BJ313" i="50"/>
  <c r="BI313" i="50"/>
  <c r="BH313" i="50"/>
  <c r="BG313" i="50"/>
  <c r="BF313" i="50"/>
  <c r="BE313" i="50"/>
  <c r="BD313" i="50"/>
  <c r="BC313" i="50"/>
  <c r="BB313" i="50"/>
  <c r="BA313" i="50"/>
  <c r="AZ313" i="50"/>
  <c r="AY313" i="50"/>
  <c r="AX313" i="50"/>
  <c r="AW313" i="50"/>
  <c r="AV313" i="50"/>
  <c r="AU313" i="50"/>
  <c r="AT313" i="50"/>
  <c r="AS313" i="50"/>
  <c r="AR313" i="50"/>
  <c r="AQ313" i="50"/>
  <c r="AP313" i="50"/>
  <c r="BG312" i="50"/>
  <c r="BD312" i="50"/>
  <c r="BA312" i="50"/>
  <c r="AX312" i="50"/>
  <c r="AU312" i="50"/>
  <c r="AR312" i="50"/>
  <c r="AO312" i="50"/>
  <c r="ES311" i="50"/>
  <c r="ER311" i="50"/>
  <c r="EQ311" i="50"/>
  <c r="EP311" i="50"/>
  <c r="EO311" i="50"/>
  <c r="EN311" i="50"/>
  <c r="EM311" i="50"/>
  <c r="EL311" i="50"/>
  <c r="EK311" i="50"/>
  <c r="EJ311" i="50"/>
  <c r="EI311" i="50"/>
  <c r="EH311" i="50"/>
  <c r="EG311" i="50"/>
  <c r="EF311" i="50"/>
  <c r="EE311" i="50"/>
  <c r="ED311" i="50"/>
  <c r="EC311" i="50"/>
  <c r="EB311" i="50"/>
  <c r="EA311" i="50"/>
  <c r="DZ311" i="50"/>
  <c r="DY311" i="50"/>
  <c r="DX311" i="50"/>
  <c r="DW311" i="50"/>
  <c r="DV311" i="50"/>
  <c r="DU311" i="50"/>
  <c r="DT311" i="50"/>
  <c r="DS311" i="50"/>
  <c r="DR311" i="50"/>
  <c r="DQ311" i="50"/>
  <c r="DP311" i="50"/>
  <c r="DO311" i="50"/>
  <c r="DN311" i="50"/>
  <c r="DM311" i="50"/>
  <c r="DL311" i="50"/>
  <c r="DK311" i="50"/>
  <c r="DJ311" i="50"/>
  <c r="DI311" i="50"/>
  <c r="DH311" i="50"/>
  <c r="DG311" i="50"/>
  <c r="DF311" i="50"/>
  <c r="DE311" i="50"/>
  <c r="DD311" i="50"/>
  <c r="DC311" i="50"/>
  <c r="DB311" i="50"/>
  <c r="DA311" i="50"/>
  <c r="CZ311" i="50"/>
  <c r="CY311" i="50"/>
  <c r="CX311" i="50"/>
  <c r="CW311" i="50"/>
  <c r="CV311" i="50"/>
  <c r="CU311" i="50"/>
  <c r="CT311" i="50"/>
  <c r="CS311" i="50"/>
  <c r="CR311" i="50"/>
  <c r="CQ311" i="50"/>
  <c r="CP311" i="50"/>
  <c r="CO311" i="50"/>
  <c r="CN311" i="50"/>
  <c r="CM311" i="50"/>
  <c r="CL311" i="50"/>
  <c r="CK311" i="50"/>
  <c r="CJ311" i="50"/>
  <c r="CI311" i="50"/>
  <c r="CH311" i="50"/>
  <c r="CG311" i="50"/>
  <c r="CF311" i="50"/>
  <c r="CE311" i="50"/>
  <c r="CD311" i="50"/>
  <c r="CC311" i="50"/>
  <c r="CB311" i="50"/>
  <c r="CA311" i="50"/>
  <c r="BZ311" i="50"/>
  <c r="BY311" i="50"/>
  <c r="BX311" i="50"/>
  <c r="BW311" i="50"/>
  <c r="BV311" i="50"/>
  <c r="BU311" i="50"/>
  <c r="BT311" i="50"/>
  <c r="BS311" i="50"/>
  <c r="BR311" i="50"/>
  <c r="BQ311" i="50"/>
  <c r="BP311" i="50"/>
  <c r="BO311" i="50"/>
  <c r="BN311" i="50"/>
  <c r="BM311" i="50"/>
  <c r="BL311" i="50"/>
  <c r="BK311" i="50"/>
  <c r="BJ311" i="50"/>
  <c r="BI311" i="50"/>
  <c r="BH311" i="50"/>
  <c r="BG311" i="50"/>
  <c r="BF311" i="50"/>
  <c r="BE311" i="50"/>
  <c r="BD311" i="50"/>
  <c r="BC311" i="50"/>
  <c r="BB311" i="50"/>
  <c r="BA311" i="50"/>
  <c r="AZ311" i="50"/>
  <c r="AY311" i="50"/>
  <c r="AX311" i="50"/>
  <c r="AW311" i="50"/>
  <c r="AV311" i="50"/>
  <c r="AU311" i="50"/>
  <c r="AT311" i="50"/>
  <c r="AS311" i="50"/>
  <c r="AR311" i="50"/>
  <c r="AQ311" i="50"/>
  <c r="AP311" i="50"/>
  <c r="AO311" i="50"/>
  <c r="AN311" i="50"/>
  <c r="AK311" i="50"/>
  <c r="AE311" i="50"/>
  <c r="AI310" i="50"/>
  <c r="L310" i="50"/>
  <c r="W310" i="50" s="1"/>
  <c r="I310" i="50"/>
  <c r="K310" i="50" s="1"/>
  <c r="AI309" i="50"/>
  <c r="L309" i="50"/>
  <c r="W309" i="50" s="1"/>
  <c r="Z309" i="50" s="1"/>
  <c r="I309" i="50"/>
  <c r="K309" i="50" s="1"/>
  <c r="G309" i="50"/>
  <c r="AI308" i="50"/>
  <c r="L308" i="50"/>
  <c r="W308" i="50" s="1"/>
  <c r="X308" i="50" s="1"/>
  <c r="I308" i="50"/>
  <c r="K308" i="50" s="1"/>
  <c r="G308" i="50"/>
  <c r="AI307" i="50"/>
  <c r="L307" i="50"/>
  <c r="W307" i="50" s="1"/>
  <c r="X307" i="50" s="1"/>
  <c r="I307" i="50"/>
  <c r="K307" i="50" s="1"/>
  <c r="G307" i="50"/>
  <c r="AI306" i="50"/>
  <c r="L306" i="50"/>
  <c r="W306" i="50" s="1"/>
  <c r="I306" i="50"/>
  <c r="K306" i="50" s="1"/>
  <c r="G306" i="50"/>
  <c r="AI305" i="50"/>
  <c r="L305" i="50"/>
  <c r="W305" i="50" s="1"/>
  <c r="Y305" i="50" s="1"/>
  <c r="I305" i="50"/>
  <c r="K305" i="50" s="1"/>
  <c r="G305" i="50"/>
  <c r="AI304" i="50"/>
  <c r="L304" i="50"/>
  <c r="W304" i="50" s="1"/>
  <c r="I304" i="50"/>
  <c r="K304" i="50" s="1"/>
  <c r="G304" i="50"/>
  <c r="AI303" i="50"/>
  <c r="L303" i="50"/>
  <c r="W303" i="50" s="1"/>
  <c r="X303" i="50" s="1"/>
  <c r="I303" i="50"/>
  <c r="K303" i="50" s="1"/>
  <c r="G303" i="50"/>
  <c r="AI300" i="50"/>
  <c r="AI299" i="50"/>
  <c r="AI298" i="50"/>
  <c r="AI297" i="50"/>
  <c r="AG296" i="50"/>
  <c r="V296" i="50"/>
  <c r="AI295" i="50"/>
  <c r="AH295" i="50"/>
  <c r="AI294" i="50"/>
  <c r="AH294" i="50"/>
  <c r="AI293" i="50"/>
  <c r="AH293" i="50"/>
  <c r="AI292" i="50"/>
  <c r="AH292" i="50"/>
  <c r="AI291" i="50"/>
  <c r="AH291" i="50"/>
  <c r="AI290" i="50"/>
  <c r="AH290" i="50"/>
  <c r="AI289" i="50"/>
  <c r="AH289" i="50"/>
  <c r="AI288" i="50"/>
  <c r="AH288" i="50"/>
  <c r="AE288" i="50"/>
  <c r="AE289" i="50" s="1"/>
  <c r="AE290" i="50" s="1"/>
  <c r="AE291" i="50" s="1"/>
  <c r="AE292" i="50" s="1"/>
  <c r="AE293" i="50" s="1"/>
  <c r="AE294" i="50" s="1"/>
  <c r="AE295" i="50" s="1"/>
  <c r="L288" i="50"/>
  <c r="L294" i="50" s="1"/>
  <c r="W294" i="50" s="1"/>
  <c r="X294" i="50" s="1"/>
  <c r="AI287" i="50"/>
  <c r="AH287" i="50"/>
  <c r="L287" i="50"/>
  <c r="W287" i="50" s="1"/>
  <c r="AI286" i="50"/>
  <c r="AH286" i="50"/>
  <c r="L286" i="50"/>
  <c r="W286" i="50" s="1"/>
  <c r="AI285" i="50"/>
  <c r="AH285" i="50"/>
  <c r="L285" i="50"/>
  <c r="W285" i="50" s="1"/>
  <c r="AI284" i="50"/>
  <c r="AH284" i="50"/>
  <c r="L284" i="50"/>
  <c r="W284" i="50" s="1"/>
  <c r="Y284" i="50" s="1"/>
  <c r="AI283" i="50"/>
  <c r="AH283" i="50"/>
  <c r="L283" i="50"/>
  <c r="W283" i="50" s="1"/>
  <c r="AI282" i="50"/>
  <c r="AH282" i="50"/>
  <c r="AE282" i="50"/>
  <c r="L282" i="50"/>
  <c r="W282" i="50" s="1"/>
  <c r="AI281" i="50"/>
  <c r="AH281" i="50"/>
  <c r="L281" i="50"/>
  <c r="W281" i="50" s="1"/>
  <c r="AI280" i="50"/>
  <c r="AH280" i="50"/>
  <c r="L280" i="50"/>
  <c r="W280" i="50" s="1"/>
  <c r="AI279" i="50"/>
  <c r="AH279" i="50"/>
  <c r="L279" i="50"/>
  <c r="W279" i="50" s="1"/>
  <c r="AI278" i="50"/>
  <c r="AH278" i="50"/>
  <c r="L278" i="50"/>
  <c r="W278" i="50" s="1"/>
  <c r="AI277" i="50"/>
  <c r="AH277" i="50"/>
  <c r="L277" i="50"/>
  <c r="W277" i="50" s="1"/>
  <c r="AI276" i="50"/>
  <c r="AH276" i="50"/>
  <c r="L276" i="50"/>
  <c r="W276" i="50" s="1"/>
  <c r="AI275" i="50"/>
  <c r="AH275" i="50"/>
  <c r="L275" i="50"/>
  <c r="W275" i="50" s="1"/>
  <c r="AI274" i="50"/>
  <c r="AH274" i="50"/>
  <c r="L274" i="50"/>
  <c r="W274" i="50" s="1"/>
  <c r="AI273" i="50"/>
  <c r="AH273" i="50"/>
  <c r="L273" i="50"/>
  <c r="W273" i="50" s="1"/>
  <c r="AI272" i="50"/>
  <c r="AH272" i="50"/>
  <c r="L272" i="50"/>
  <c r="W272" i="50" s="1"/>
  <c r="AI271" i="50"/>
  <c r="AH271" i="50"/>
  <c r="L271" i="50"/>
  <c r="W271" i="50" s="1"/>
  <c r="AI270" i="50"/>
  <c r="AH270" i="50"/>
  <c r="AE270" i="50"/>
  <c r="AE271" i="50" s="1"/>
  <c r="AE272" i="50" s="1"/>
  <c r="AE273" i="50" s="1"/>
  <c r="AE274" i="50" s="1"/>
  <c r="AE275" i="50" s="1"/>
  <c r="AE276" i="50" s="1"/>
  <c r="AE277" i="50" s="1"/>
  <c r="AE278" i="50" s="1"/>
  <c r="AE279" i="50" s="1"/>
  <c r="AE280" i="50" s="1"/>
  <c r="AE281" i="50" s="1"/>
  <c r="L270" i="50"/>
  <c r="W270" i="50" s="1"/>
  <c r="AI269" i="50"/>
  <c r="AH269" i="50"/>
  <c r="L269" i="50"/>
  <c r="W269" i="50" s="1"/>
  <c r="AI268" i="50"/>
  <c r="AH268" i="50"/>
  <c r="L268" i="50"/>
  <c r="W268" i="50" s="1"/>
  <c r="AI267" i="50"/>
  <c r="AH267" i="50"/>
  <c r="L267" i="50"/>
  <c r="W267" i="50" s="1"/>
  <c r="AI266" i="50"/>
  <c r="AH266" i="50"/>
  <c r="L266" i="50"/>
  <c r="W266" i="50" s="1"/>
  <c r="AI265" i="50"/>
  <c r="AH265" i="50"/>
  <c r="L265" i="50"/>
  <c r="W265" i="50" s="1"/>
  <c r="AI264" i="50"/>
  <c r="AH264" i="50"/>
  <c r="L264" i="50"/>
  <c r="W264" i="50" s="1"/>
  <c r="AI263" i="50"/>
  <c r="AH263" i="50"/>
  <c r="L263" i="50"/>
  <c r="W263" i="50" s="1"/>
  <c r="AI262" i="50"/>
  <c r="AH262" i="50"/>
  <c r="L262" i="50"/>
  <c r="W262" i="50" s="1"/>
  <c r="Z262" i="50" s="1"/>
  <c r="AI261" i="50"/>
  <c r="AH261" i="50"/>
  <c r="L261" i="50"/>
  <c r="W261" i="50" s="1"/>
  <c r="AI260" i="50"/>
  <c r="AH260" i="50"/>
  <c r="L260" i="50"/>
  <c r="W260" i="50" s="1"/>
  <c r="AI259" i="50"/>
  <c r="AH259" i="50"/>
  <c r="L259" i="50"/>
  <c r="W259" i="50" s="1"/>
  <c r="AI258" i="50"/>
  <c r="AH258" i="50"/>
  <c r="L258" i="50"/>
  <c r="W258" i="50" s="1"/>
  <c r="X258" i="50" s="1"/>
  <c r="AI257" i="50"/>
  <c r="AH257" i="50"/>
  <c r="L257" i="50"/>
  <c r="W257" i="50" s="1"/>
  <c r="AI256" i="50"/>
  <c r="AH256" i="50"/>
  <c r="L256" i="50"/>
  <c r="W256" i="50" s="1"/>
  <c r="AI255" i="50"/>
  <c r="AH255" i="50"/>
  <c r="L255" i="50"/>
  <c r="W255" i="50" s="1"/>
  <c r="AI254" i="50"/>
  <c r="AH254" i="50"/>
  <c r="L254" i="50"/>
  <c r="W254" i="50" s="1"/>
  <c r="AI253" i="50"/>
  <c r="AH253" i="50"/>
  <c r="L253" i="50"/>
  <c r="W253" i="50" s="1"/>
  <c r="AI252" i="50"/>
  <c r="AH252" i="50"/>
  <c r="L252" i="50"/>
  <c r="W252" i="50" s="1"/>
  <c r="AI251" i="50"/>
  <c r="AH251" i="50"/>
  <c r="L251" i="50"/>
  <c r="W251" i="50" s="1"/>
  <c r="Z251" i="50" s="1"/>
  <c r="AI250" i="50"/>
  <c r="AH250" i="50"/>
  <c r="L250" i="50"/>
  <c r="W250" i="50" s="1"/>
  <c r="D250" i="50"/>
  <c r="D260" i="50" s="1"/>
  <c r="AI249" i="50"/>
  <c r="AH249" i="50"/>
  <c r="L249" i="50"/>
  <c r="W249" i="50" s="1"/>
  <c r="E249" i="50"/>
  <c r="D249" i="50"/>
  <c r="AI248" i="50"/>
  <c r="AH248" i="50"/>
  <c r="AE248" i="50"/>
  <c r="AE249" i="50" s="1"/>
  <c r="AE250" i="50" s="1"/>
  <c r="AE251" i="50" s="1"/>
  <c r="AE252" i="50" s="1"/>
  <c r="AE253" i="50" s="1"/>
  <c r="AE254" i="50" s="1"/>
  <c r="AE255" i="50" s="1"/>
  <c r="AE256" i="50" s="1"/>
  <c r="AE257" i="50" s="1"/>
  <c r="AE258" i="50" s="1"/>
  <c r="AE259" i="50" s="1"/>
  <c r="AE260" i="50" s="1"/>
  <c r="AE261" i="50" s="1"/>
  <c r="AE262" i="50" s="1"/>
  <c r="AE263" i="50" s="1"/>
  <c r="AE264" i="50" s="1"/>
  <c r="AE265" i="50" s="1"/>
  <c r="AE266" i="50" s="1"/>
  <c r="AE267" i="50" s="1"/>
  <c r="AE268" i="50" s="1"/>
  <c r="AE269" i="50" s="1"/>
  <c r="L248" i="50"/>
  <c r="W248" i="50" s="1"/>
  <c r="E248" i="50"/>
  <c r="D248" i="50"/>
  <c r="AI247" i="50"/>
  <c r="AH247" i="50"/>
  <c r="L247" i="50"/>
  <c r="W247" i="50" s="1"/>
  <c r="E247" i="50"/>
  <c r="D247" i="50"/>
  <c r="AI246" i="50"/>
  <c r="AH246" i="50"/>
  <c r="L246" i="50"/>
  <c r="W246" i="50" s="1"/>
  <c r="Z246" i="50" s="1"/>
  <c r="E246" i="50"/>
  <c r="D246" i="50"/>
  <c r="AI245" i="50"/>
  <c r="AH245" i="50"/>
  <c r="L245" i="50"/>
  <c r="W245" i="50" s="1"/>
  <c r="E245" i="50"/>
  <c r="D245" i="50"/>
  <c r="AI244" i="50"/>
  <c r="AH244" i="50"/>
  <c r="L244" i="50"/>
  <c r="W244" i="50" s="1"/>
  <c r="Y244" i="50" s="1"/>
  <c r="E244" i="50"/>
  <c r="D244" i="50"/>
  <c r="AI243" i="50"/>
  <c r="AH243" i="50"/>
  <c r="L243" i="50"/>
  <c r="W243" i="50" s="1"/>
  <c r="E243" i="50"/>
  <c r="D243" i="50"/>
  <c r="AI242" i="50"/>
  <c r="AH242" i="50"/>
  <c r="L242" i="50"/>
  <c r="W242" i="50" s="1"/>
  <c r="Z242" i="50" s="1"/>
  <c r="E242" i="50"/>
  <c r="D242" i="50"/>
  <c r="AI241" i="50"/>
  <c r="AH241" i="50"/>
  <c r="L241" i="50"/>
  <c r="W241" i="50" s="1"/>
  <c r="X241" i="50" s="1"/>
  <c r="E241" i="50"/>
  <c r="D241" i="50"/>
  <c r="AI240" i="50"/>
  <c r="AH240" i="50"/>
  <c r="L240" i="50"/>
  <c r="W240" i="50" s="1"/>
  <c r="X240" i="50" s="1"/>
  <c r="E240" i="50"/>
  <c r="D240" i="50"/>
  <c r="AI239" i="50"/>
  <c r="AH239" i="50"/>
  <c r="L239" i="50"/>
  <c r="W239" i="50" s="1"/>
  <c r="E239" i="50"/>
  <c r="D239" i="50"/>
  <c r="AI238" i="50"/>
  <c r="AH238" i="50"/>
  <c r="L238" i="50"/>
  <c r="W238" i="50" s="1"/>
  <c r="E238" i="50"/>
  <c r="AI237" i="50"/>
  <c r="AH237" i="50"/>
  <c r="L237" i="50"/>
  <c r="W237" i="50" s="1"/>
  <c r="AI236" i="50"/>
  <c r="AH236" i="50"/>
  <c r="L236" i="50"/>
  <c r="W236" i="50" s="1"/>
  <c r="AI235" i="50"/>
  <c r="AH235" i="50"/>
  <c r="L235" i="50"/>
  <c r="W235" i="50" s="1"/>
  <c r="Y235" i="50" s="1"/>
  <c r="AI234" i="50"/>
  <c r="AH234" i="50"/>
  <c r="L234" i="50"/>
  <c r="W234" i="50" s="1"/>
  <c r="AI233" i="50"/>
  <c r="AH233" i="50"/>
  <c r="L233" i="50"/>
  <c r="W233" i="50" s="1"/>
  <c r="Z233" i="50" s="1"/>
  <c r="AI232" i="50"/>
  <c r="AH232" i="50"/>
  <c r="L232" i="50"/>
  <c r="W232" i="50" s="1"/>
  <c r="AI231" i="50"/>
  <c r="AH231" i="50"/>
  <c r="L231" i="50"/>
  <c r="W231" i="50" s="1"/>
  <c r="AI230" i="50"/>
  <c r="AH230" i="50"/>
  <c r="L230" i="50"/>
  <c r="W230" i="50" s="1"/>
  <c r="AI229" i="50"/>
  <c r="AH229" i="50"/>
  <c r="L229" i="50"/>
  <c r="W229" i="50" s="1"/>
  <c r="E229" i="50"/>
  <c r="D229" i="50"/>
  <c r="D235" i="50" s="1"/>
  <c r="AI228" i="50"/>
  <c r="AH228" i="50"/>
  <c r="L228" i="50"/>
  <c r="W228" i="50" s="1"/>
  <c r="E228" i="50"/>
  <c r="D228" i="50"/>
  <c r="AI227" i="50"/>
  <c r="AH227" i="50"/>
  <c r="L227" i="50"/>
  <c r="W227" i="50" s="1"/>
  <c r="Y227" i="50" s="1"/>
  <c r="E227" i="50"/>
  <c r="D227" i="50"/>
  <c r="AI226" i="50"/>
  <c r="AH226" i="50"/>
  <c r="L226" i="50"/>
  <c r="W226" i="50" s="1"/>
  <c r="E226" i="50"/>
  <c r="D226" i="50"/>
  <c r="AI225" i="50"/>
  <c r="AH225" i="50"/>
  <c r="L225" i="50"/>
  <c r="W225" i="50" s="1"/>
  <c r="E225" i="50"/>
  <c r="AI224" i="50"/>
  <c r="AH224" i="50"/>
  <c r="L224" i="50"/>
  <c r="W224" i="50" s="1"/>
  <c r="E224" i="50"/>
  <c r="AI223" i="50"/>
  <c r="AH223" i="50"/>
  <c r="L223" i="50"/>
  <c r="W223" i="50" s="1"/>
  <c r="E223" i="50"/>
  <c r="AI222" i="50"/>
  <c r="AH222" i="50"/>
  <c r="L222" i="50"/>
  <c r="W222" i="50" s="1"/>
  <c r="E222" i="50"/>
  <c r="AI221" i="50"/>
  <c r="AH221" i="50"/>
  <c r="L221" i="50"/>
  <c r="W221" i="50" s="1"/>
  <c r="E221" i="50"/>
  <c r="AI220" i="50"/>
  <c r="AH220" i="50"/>
  <c r="L220" i="50"/>
  <c r="W220" i="50" s="1"/>
  <c r="Z220" i="50" s="1"/>
  <c r="E220" i="50"/>
  <c r="AI219" i="50"/>
  <c r="AH219" i="50"/>
  <c r="L219" i="50"/>
  <c r="W219" i="50" s="1"/>
  <c r="E219" i="50"/>
  <c r="AI218" i="50"/>
  <c r="AH218" i="50"/>
  <c r="L218" i="50"/>
  <c r="W218" i="50" s="1"/>
  <c r="AI217" i="50"/>
  <c r="AH217" i="50"/>
  <c r="L217" i="50"/>
  <c r="W217" i="50" s="1"/>
  <c r="AI216" i="50"/>
  <c r="AH216" i="50"/>
  <c r="L216" i="50"/>
  <c r="W216" i="50" s="1"/>
  <c r="X216" i="50" s="1"/>
  <c r="E216" i="50"/>
  <c r="AI215" i="50"/>
  <c r="AH215" i="50"/>
  <c r="L215" i="50"/>
  <c r="W215" i="50" s="1"/>
  <c r="X215" i="50" s="1"/>
  <c r="E215" i="50"/>
  <c r="AI214" i="50"/>
  <c r="AH214" i="50"/>
  <c r="L214" i="50"/>
  <c r="W214" i="50" s="1"/>
  <c r="E214" i="50"/>
  <c r="AI213" i="50"/>
  <c r="AH213" i="50"/>
  <c r="L213" i="50"/>
  <c r="W213" i="50" s="1"/>
  <c r="E213" i="50"/>
  <c r="D213" i="50"/>
  <c r="AI212" i="50"/>
  <c r="AH212" i="50"/>
  <c r="L212" i="50"/>
  <c r="W212" i="50" s="1"/>
  <c r="X212" i="50" s="1"/>
  <c r="E212" i="50"/>
  <c r="D212" i="50"/>
  <c r="AI211" i="50"/>
  <c r="AH211" i="50"/>
  <c r="L211" i="50"/>
  <c r="W211" i="50" s="1"/>
  <c r="E211" i="50"/>
  <c r="D211" i="50"/>
  <c r="AI210" i="50"/>
  <c r="AH210" i="50"/>
  <c r="L210" i="50"/>
  <c r="W210" i="50" s="1"/>
  <c r="E210" i="50"/>
  <c r="D210" i="50"/>
  <c r="AI209" i="50"/>
  <c r="AH209" i="50"/>
  <c r="L209" i="50"/>
  <c r="W209" i="50" s="1"/>
  <c r="E209" i="50"/>
  <c r="D209" i="50"/>
  <c r="AI208" i="50"/>
  <c r="AH208" i="50"/>
  <c r="L208" i="50"/>
  <c r="W208" i="50" s="1"/>
  <c r="X208" i="50" s="1"/>
  <c r="E208" i="50"/>
  <c r="D208" i="50"/>
  <c r="AI207" i="50"/>
  <c r="AH207" i="50"/>
  <c r="L207" i="50"/>
  <c r="W207" i="50" s="1"/>
  <c r="E207" i="50"/>
  <c r="D207" i="50"/>
  <c r="AI206" i="50"/>
  <c r="AH206" i="50"/>
  <c r="L206" i="50"/>
  <c r="W206" i="50" s="1"/>
  <c r="AI205" i="50"/>
  <c r="AH205" i="50"/>
  <c r="L205" i="50"/>
  <c r="W205" i="50" s="1"/>
  <c r="AI204" i="50"/>
  <c r="AH204" i="50"/>
  <c r="L204" i="50"/>
  <c r="W204" i="50" s="1"/>
  <c r="AI203" i="50"/>
  <c r="AH203" i="50"/>
  <c r="L203" i="50"/>
  <c r="W203" i="50" s="1"/>
  <c r="X203" i="50" s="1"/>
  <c r="AI202" i="50"/>
  <c r="AH202" i="50"/>
  <c r="L202" i="50"/>
  <c r="W202" i="50" s="1"/>
  <c r="Z202" i="50" s="1"/>
  <c r="AI201" i="50"/>
  <c r="AH201" i="50"/>
  <c r="L201" i="50"/>
  <c r="W201" i="50" s="1"/>
  <c r="X201" i="50" s="1"/>
  <c r="AI200" i="50"/>
  <c r="AH200" i="50"/>
  <c r="L200" i="50"/>
  <c r="W200" i="50" s="1"/>
  <c r="AI199" i="50"/>
  <c r="AH199" i="50"/>
  <c r="L199" i="50"/>
  <c r="W199" i="50" s="1"/>
  <c r="X199" i="50" s="1"/>
  <c r="AI198" i="50"/>
  <c r="AH198" i="50"/>
  <c r="L198" i="50"/>
  <c r="W198" i="50" s="1"/>
  <c r="AI197" i="50"/>
  <c r="AH197" i="50"/>
  <c r="L197" i="50"/>
  <c r="W197" i="50" s="1"/>
  <c r="AI196" i="50"/>
  <c r="AH196" i="50"/>
  <c r="L196" i="50"/>
  <c r="W196" i="50" s="1"/>
  <c r="AI195" i="50"/>
  <c r="AH195" i="50"/>
  <c r="L195" i="50"/>
  <c r="W195" i="50" s="1"/>
  <c r="X195" i="50" s="1"/>
  <c r="AI194" i="50"/>
  <c r="AH194" i="50"/>
  <c r="L194" i="50"/>
  <c r="W194" i="50" s="1"/>
  <c r="Z194" i="50" s="1"/>
  <c r="AI193" i="50"/>
  <c r="AH193" i="50"/>
  <c r="L193" i="50"/>
  <c r="W193" i="50" s="1"/>
  <c r="X193" i="50" s="1"/>
  <c r="AI192" i="50"/>
  <c r="AH192" i="50"/>
  <c r="L192" i="50"/>
  <c r="W192" i="50" s="1"/>
  <c r="AI191" i="50"/>
  <c r="AH191" i="50"/>
  <c r="L191" i="50"/>
  <c r="W191" i="50" s="1"/>
  <c r="X191" i="50" s="1"/>
  <c r="AI190" i="50"/>
  <c r="AH190" i="50"/>
  <c r="L190" i="50"/>
  <c r="W190" i="50" s="1"/>
  <c r="AI189" i="50"/>
  <c r="AH189" i="50"/>
  <c r="L189" i="50"/>
  <c r="W189" i="50" s="1"/>
  <c r="AI188" i="50"/>
  <c r="AH188" i="50"/>
  <c r="L188" i="50"/>
  <c r="W188" i="50" s="1"/>
  <c r="AI187" i="50"/>
  <c r="AH187" i="50"/>
  <c r="L187" i="50"/>
  <c r="W187" i="50" s="1"/>
  <c r="AI186" i="50"/>
  <c r="AH186" i="50"/>
  <c r="L186" i="50"/>
  <c r="W186" i="50" s="1"/>
  <c r="AI185" i="50"/>
  <c r="AH185" i="50"/>
  <c r="L185" i="50"/>
  <c r="W185" i="50" s="1"/>
  <c r="AI184" i="50"/>
  <c r="AH184" i="50"/>
  <c r="L184" i="50"/>
  <c r="W184" i="50" s="1"/>
  <c r="AI183" i="50"/>
  <c r="AH183" i="50"/>
  <c r="L183" i="50"/>
  <c r="W183" i="50" s="1"/>
  <c r="AI182" i="50"/>
  <c r="AH182" i="50"/>
  <c r="L182" i="50"/>
  <c r="W182" i="50" s="1"/>
  <c r="AI181" i="50"/>
  <c r="AH181" i="50"/>
  <c r="L181" i="50"/>
  <c r="W181" i="50" s="1"/>
  <c r="AI180" i="50"/>
  <c r="AH180" i="50"/>
  <c r="L180" i="50"/>
  <c r="W180" i="50" s="1"/>
  <c r="AI179" i="50"/>
  <c r="AH179" i="50"/>
  <c r="L179" i="50"/>
  <c r="W179" i="50" s="1"/>
  <c r="X179" i="50" s="1"/>
  <c r="AI178" i="50"/>
  <c r="AH178" i="50"/>
  <c r="L178" i="50"/>
  <c r="W178" i="50" s="1"/>
  <c r="AI177" i="50"/>
  <c r="AH177" i="50"/>
  <c r="L177" i="50"/>
  <c r="W177" i="50" s="1"/>
  <c r="AI176" i="50"/>
  <c r="AH176" i="50"/>
  <c r="L176" i="50"/>
  <c r="W176" i="50" s="1"/>
  <c r="Y176" i="50" s="1"/>
  <c r="AI175" i="50"/>
  <c r="AH175" i="50"/>
  <c r="L175" i="50"/>
  <c r="W175" i="50" s="1"/>
  <c r="AI174" i="50"/>
  <c r="AH174" i="50"/>
  <c r="L174" i="50"/>
  <c r="W174" i="50" s="1"/>
  <c r="AI173" i="50"/>
  <c r="AH173" i="50"/>
  <c r="L173" i="50"/>
  <c r="W173" i="50" s="1"/>
  <c r="AI172" i="50"/>
  <c r="AH172" i="50"/>
  <c r="L172" i="50"/>
  <c r="W172" i="50" s="1"/>
  <c r="Y172" i="50" s="1"/>
  <c r="AI171" i="50"/>
  <c r="AH171" i="50"/>
  <c r="L171" i="50"/>
  <c r="W171" i="50" s="1"/>
  <c r="Y171" i="50" s="1"/>
  <c r="AI170" i="50"/>
  <c r="AH170" i="50"/>
  <c r="L170" i="50"/>
  <c r="W170" i="50" s="1"/>
  <c r="AI169" i="50"/>
  <c r="AH169" i="50"/>
  <c r="L169" i="50"/>
  <c r="W169" i="50" s="1"/>
  <c r="X169" i="50" s="1"/>
  <c r="AI168" i="50"/>
  <c r="AH168" i="50"/>
  <c r="L168" i="50"/>
  <c r="W168" i="50" s="1"/>
  <c r="AI167" i="50"/>
  <c r="AH167" i="50"/>
  <c r="L167" i="50"/>
  <c r="W167" i="50" s="1"/>
  <c r="AI166" i="50"/>
  <c r="AH166" i="50"/>
  <c r="L166" i="50"/>
  <c r="W166" i="50" s="1"/>
  <c r="AI165" i="50"/>
  <c r="AH165" i="50"/>
  <c r="L165" i="50"/>
  <c r="W165" i="50" s="1"/>
  <c r="X165" i="50" s="1"/>
  <c r="AI164" i="50"/>
  <c r="AH164" i="50"/>
  <c r="L164" i="50"/>
  <c r="W164" i="50" s="1"/>
  <c r="Z164" i="50" s="1"/>
  <c r="AI163" i="50"/>
  <c r="AH163" i="50"/>
  <c r="L163" i="50"/>
  <c r="W163" i="50" s="1"/>
  <c r="X163" i="50" s="1"/>
  <c r="AI162" i="50"/>
  <c r="AH162" i="50"/>
  <c r="L162" i="50"/>
  <c r="W162" i="50" s="1"/>
  <c r="AI161" i="50"/>
  <c r="AH161" i="50"/>
  <c r="L161" i="50"/>
  <c r="W161" i="50" s="1"/>
  <c r="X161" i="50" s="1"/>
  <c r="AI160" i="50"/>
  <c r="AH160" i="50"/>
  <c r="L160" i="50"/>
  <c r="W160" i="50" s="1"/>
  <c r="AI159" i="50"/>
  <c r="AH159" i="50"/>
  <c r="L159" i="50"/>
  <c r="W159" i="50" s="1"/>
  <c r="AI158" i="50"/>
  <c r="AH158" i="50"/>
  <c r="L158" i="50"/>
  <c r="W158" i="50" s="1"/>
  <c r="AI157" i="50"/>
  <c r="AH157" i="50"/>
  <c r="L157" i="50"/>
  <c r="W157" i="50" s="1"/>
  <c r="X157" i="50" s="1"/>
  <c r="AI156" i="50"/>
  <c r="AH156" i="50"/>
  <c r="L156" i="50"/>
  <c r="W156" i="50" s="1"/>
  <c r="Z156" i="50" s="1"/>
  <c r="AI155" i="50"/>
  <c r="AH155" i="50"/>
  <c r="L155" i="50"/>
  <c r="W155" i="50" s="1"/>
  <c r="X155" i="50" s="1"/>
  <c r="AI154" i="50"/>
  <c r="AH154" i="50"/>
  <c r="AE154" i="50"/>
  <c r="AE155" i="50" s="1"/>
  <c r="AE156" i="50" s="1"/>
  <c r="AE157" i="50" s="1"/>
  <c r="AE158" i="50" s="1"/>
  <c r="AE159" i="50" s="1"/>
  <c r="AE160" i="50" s="1"/>
  <c r="AE161" i="50" s="1"/>
  <c r="AE162" i="50" s="1"/>
  <c r="AE163" i="50" s="1"/>
  <c r="AE164" i="50" s="1"/>
  <c r="L154" i="50"/>
  <c r="W154" i="50" s="1"/>
  <c r="AI153" i="50"/>
  <c r="AH153" i="50"/>
  <c r="L153" i="50"/>
  <c r="W153" i="50" s="1"/>
  <c r="Z153" i="50" s="1"/>
  <c r="AI152" i="50"/>
  <c r="AH152" i="50"/>
  <c r="L152" i="50"/>
  <c r="W152" i="50" s="1"/>
  <c r="X152" i="50" s="1"/>
  <c r="AI151" i="50"/>
  <c r="AH151" i="50"/>
  <c r="L151" i="50"/>
  <c r="W151" i="50" s="1"/>
  <c r="AI150" i="50"/>
  <c r="AH150" i="50"/>
  <c r="L150" i="50"/>
  <c r="W150" i="50" s="1"/>
  <c r="X150" i="50" s="1"/>
  <c r="AI149" i="50"/>
  <c r="AH149" i="50"/>
  <c r="L149" i="50"/>
  <c r="W149" i="50" s="1"/>
  <c r="Y149" i="50" s="1"/>
  <c r="AI148" i="50"/>
  <c r="AH148" i="50"/>
  <c r="L148" i="50"/>
  <c r="W148" i="50" s="1"/>
  <c r="Z148" i="50" s="1"/>
  <c r="AI147" i="50"/>
  <c r="AH147" i="50"/>
  <c r="L147" i="50"/>
  <c r="W147" i="50" s="1"/>
  <c r="AI146" i="50"/>
  <c r="AH146" i="50"/>
  <c r="L146" i="50"/>
  <c r="W146" i="50" s="1"/>
  <c r="AI145" i="50"/>
  <c r="AH145" i="50"/>
  <c r="L145" i="50"/>
  <c r="W145" i="50" s="1"/>
  <c r="Z145" i="50" s="1"/>
  <c r="AI144" i="50"/>
  <c r="AH144" i="50"/>
  <c r="L144" i="50"/>
  <c r="W144" i="50" s="1"/>
  <c r="Z144" i="50" s="1"/>
  <c r="AI143" i="50"/>
  <c r="AH143" i="50"/>
  <c r="L143" i="50"/>
  <c r="W143" i="50" s="1"/>
  <c r="Y143" i="50" s="1"/>
  <c r="AI142" i="50"/>
  <c r="AH142" i="50"/>
  <c r="L142" i="50"/>
  <c r="W142" i="50" s="1"/>
  <c r="X142" i="50" s="1"/>
  <c r="AI141" i="50"/>
  <c r="AH141" i="50"/>
  <c r="L141" i="50"/>
  <c r="W141" i="50" s="1"/>
  <c r="Y141" i="50" s="1"/>
  <c r="AI137" i="50"/>
  <c r="AI136" i="50"/>
  <c r="AI135" i="50"/>
  <c r="AI134" i="50"/>
  <c r="AG133" i="50"/>
  <c r="AG134" i="50" s="1"/>
  <c r="AC133" i="50"/>
  <c r="AC134" i="50" s="1"/>
  <c r="M133" i="50"/>
  <c r="AI132" i="50"/>
  <c r="T132" i="50"/>
  <c r="N132" i="50"/>
  <c r="J132" i="50"/>
  <c r="I132" i="50"/>
  <c r="AI131" i="50"/>
  <c r="T131" i="50"/>
  <c r="N131" i="50"/>
  <c r="J131" i="50"/>
  <c r="I131" i="50"/>
  <c r="S131" i="50" s="1"/>
  <c r="AI130" i="50"/>
  <c r="T130" i="50"/>
  <c r="N130" i="50"/>
  <c r="J130" i="50"/>
  <c r="I130" i="50"/>
  <c r="AI129" i="50"/>
  <c r="T129" i="50"/>
  <c r="N129" i="50"/>
  <c r="J129" i="50"/>
  <c r="I129" i="50"/>
  <c r="AI128" i="50"/>
  <c r="T128" i="50"/>
  <c r="N128" i="50"/>
  <c r="J128" i="50"/>
  <c r="I128" i="50"/>
  <c r="AI127" i="50"/>
  <c r="T127" i="50"/>
  <c r="N127" i="50"/>
  <c r="J127" i="50"/>
  <c r="I127" i="50"/>
  <c r="AI126" i="50"/>
  <c r="T126" i="50"/>
  <c r="N126" i="50"/>
  <c r="J126" i="50"/>
  <c r="I126" i="50"/>
  <c r="AI125" i="50"/>
  <c r="T125" i="50"/>
  <c r="N125" i="50"/>
  <c r="J125" i="50"/>
  <c r="I125" i="50"/>
  <c r="AI124" i="50"/>
  <c r="T124" i="50"/>
  <c r="N124" i="50"/>
  <c r="J124" i="50"/>
  <c r="I124" i="50"/>
  <c r="S124" i="50" s="1"/>
  <c r="AI123" i="50"/>
  <c r="T123" i="50"/>
  <c r="N123" i="50"/>
  <c r="J123" i="50"/>
  <c r="I123" i="50"/>
  <c r="S123" i="50" s="1"/>
  <c r="AI122" i="50"/>
  <c r="T122" i="50"/>
  <c r="N122" i="50"/>
  <c r="J122" i="50"/>
  <c r="I122" i="50"/>
  <c r="AI121" i="50"/>
  <c r="T121" i="50"/>
  <c r="N121" i="50"/>
  <c r="J121" i="50"/>
  <c r="I121" i="50"/>
  <c r="S121" i="50" s="1"/>
  <c r="AI120" i="50"/>
  <c r="T120" i="50"/>
  <c r="J120" i="50"/>
  <c r="I120" i="50"/>
  <c r="AI119" i="50"/>
  <c r="T119" i="50"/>
  <c r="N119" i="50"/>
  <c r="J119" i="50"/>
  <c r="I119" i="50"/>
  <c r="AI118" i="50"/>
  <c r="T118" i="50"/>
  <c r="N118" i="50"/>
  <c r="J118" i="50"/>
  <c r="I118" i="50"/>
  <c r="AI117" i="50"/>
  <c r="T117" i="50"/>
  <c r="N117" i="50"/>
  <c r="J117" i="50"/>
  <c r="I117" i="50"/>
  <c r="AI116" i="50"/>
  <c r="T116" i="50"/>
  <c r="N116" i="50"/>
  <c r="J116" i="50"/>
  <c r="I116" i="50"/>
  <c r="AI115" i="50"/>
  <c r="T115" i="50"/>
  <c r="N115" i="50"/>
  <c r="J115" i="50"/>
  <c r="I115" i="50"/>
  <c r="AI114" i="50"/>
  <c r="T114" i="50"/>
  <c r="N114" i="50"/>
  <c r="J114" i="50"/>
  <c r="I114" i="50"/>
  <c r="AI113" i="50"/>
  <c r="T113" i="50"/>
  <c r="N113" i="50"/>
  <c r="J113" i="50"/>
  <c r="I113" i="50"/>
  <c r="R113" i="50" s="1"/>
  <c r="AI112" i="50"/>
  <c r="T112" i="50"/>
  <c r="N112" i="50"/>
  <c r="J112" i="50"/>
  <c r="I112" i="50"/>
  <c r="AI111" i="50"/>
  <c r="T111" i="50"/>
  <c r="N111" i="50"/>
  <c r="J111" i="50"/>
  <c r="I111" i="50"/>
  <c r="R111" i="50" s="1"/>
  <c r="AI110" i="50"/>
  <c r="T110" i="50"/>
  <c r="N110" i="50"/>
  <c r="J110" i="50"/>
  <c r="I110" i="50"/>
  <c r="S110" i="50" s="1"/>
  <c r="AI109" i="50"/>
  <c r="T109" i="50"/>
  <c r="N109" i="50"/>
  <c r="J109" i="50"/>
  <c r="I109" i="50"/>
  <c r="AI108" i="50"/>
  <c r="T108" i="50"/>
  <c r="N108" i="50"/>
  <c r="J108" i="50"/>
  <c r="I108" i="50"/>
  <c r="S108" i="50" s="1"/>
  <c r="AI107" i="50"/>
  <c r="T107" i="50"/>
  <c r="J107" i="50"/>
  <c r="I107" i="50"/>
  <c r="R107" i="50" s="1"/>
  <c r="AI106" i="50"/>
  <c r="T106" i="50"/>
  <c r="J106" i="50"/>
  <c r="I106" i="50"/>
  <c r="O106" i="50" s="1"/>
  <c r="AI105" i="50"/>
  <c r="T105" i="50"/>
  <c r="J105" i="50"/>
  <c r="I105" i="50"/>
  <c r="S105" i="50" s="1"/>
  <c r="AI104" i="50"/>
  <c r="T104" i="50"/>
  <c r="J104" i="50"/>
  <c r="I104" i="50"/>
  <c r="O104" i="50" s="1"/>
  <c r="AI103" i="50"/>
  <c r="T103" i="50"/>
  <c r="J103" i="50"/>
  <c r="I103" i="50"/>
  <c r="O103" i="50" s="1"/>
  <c r="AI102" i="50"/>
  <c r="T102" i="50"/>
  <c r="J102" i="50"/>
  <c r="I102" i="50"/>
  <c r="O102" i="50" s="1"/>
  <c r="AI101" i="50"/>
  <c r="T101" i="50"/>
  <c r="J101" i="50"/>
  <c r="I101" i="50"/>
  <c r="AI100" i="50"/>
  <c r="T100" i="50"/>
  <c r="J100" i="50"/>
  <c r="I100" i="50"/>
  <c r="O100" i="50" s="1"/>
  <c r="AI99" i="50"/>
  <c r="T99" i="50"/>
  <c r="J99" i="50"/>
  <c r="I99" i="50"/>
  <c r="O99" i="50" s="1"/>
  <c r="AI98" i="50"/>
  <c r="T98" i="50"/>
  <c r="J98" i="50"/>
  <c r="I98" i="50"/>
  <c r="O98" i="50" s="1"/>
  <c r="AI97" i="50"/>
  <c r="T97" i="50"/>
  <c r="J97" i="50"/>
  <c r="I97" i="50"/>
  <c r="O97" i="50" s="1"/>
  <c r="AI96" i="50"/>
  <c r="T96" i="50"/>
  <c r="J96" i="50"/>
  <c r="I96" i="50"/>
  <c r="O96" i="50" s="1"/>
  <c r="AI95" i="50"/>
  <c r="T95" i="50"/>
  <c r="J95" i="50"/>
  <c r="I95" i="50"/>
  <c r="AI94" i="50"/>
  <c r="T94" i="50"/>
  <c r="J94" i="50"/>
  <c r="I94" i="50"/>
  <c r="S94" i="50" s="1"/>
  <c r="AI93" i="50"/>
  <c r="T93" i="50"/>
  <c r="J93" i="50"/>
  <c r="I93" i="50"/>
  <c r="O93" i="50" s="1"/>
  <c r="AI92" i="50"/>
  <c r="T92" i="50"/>
  <c r="J92" i="50"/>
  <c r="I92" i="50"/>
  <c r="R92" i="50" s="1"/>
  <c r="AI91" i="50"/>
  <c r="T91" i="50"/>
  <c r="J91" i="50"/>
  <c r="I91" i="50"/>
  <c r="AI90" i="50"/>
  <c r="T90" i="50"/>
  <c r="J90" i="50"/>
  <c r="I90" i="50"/>
  <c r="AI89" i="50"/>
  <c r="T89" i="50"/>
  <c r="J89" i="50"/>
  <c r="I89" i="50"/>
  <c r="O89" i="50" s="1"/>
  <c r="AI88" i="50"/>
  <c r="T88" i="50"/>
  <c r="J88" i="50"/>
  <c r="I88" i="50"/>
  <c r="O88" i="50" s="1"/>
  <c r="AI87" i="50"/>
  <c r="T87" i="50"/>
  <c r="J87" i="50"/>
  <c r="I87" i="50"/>
  <c r="O87" i="50" s="1"/>
  <c r="AI86" i="50"/>
  <c r="T86" i="50"/>
  <c r="J86" i="50"/>
  <c r="I86" i="50"/>
  <c r="O86" i="50" s="1"/>
  <c r="AI85" i="50"/>
  <c r="T85" i="50"/>
  <c r="J85" i="50"/>
  <c r="I85" i="50"/>
  <c r="S85" i="50" s="1"/>
  <c r="AI84" i="50"/>
  <c r="T84" i="50"/>
  <c r="J84" i="50"/>
  <c r="I84" i="50"/>
  <c r="S84" i="50" s="1"/>
  <c r="AI83" i="50"/>
  <c r="T83" i="50"/>
  <c r="J83" i="50"/>
  <c r="I83" i="50"/>
  <c r="AI82" i="50"/>
  <c r="T82" i="50"/>
  <c r="J82" i="50"/>
  <c r="I82" i="50"/>
  <c r="S82" i="50" s="1"/>
  <c r="AI81" i="50"/>
  <c r="T81" i="50"/>
  <c r="J81" i="50"/>
  <c r="I81" i="50"/>
  <c r="R81" i="50" s="1"/>
  <c r="AI80" i="50"/>
  <c r="T80" i="50"/>
  <c r="J80" i="50"/>
  <c r="I80" i="50"/>
  <c r="S80" i="50" s="1"/>
  <c r="AI79" i="50"/>
  <c r="T79" i="50"/>
  <c r="J79" i="50"/>
  <c r="I79" i="50"/>
  <c r="S79" i="50" s="1"/>
  <c r="AI78" i="50"/>
  <c r="T78" i="50"/>
  <c r="J78" i="50"/>
  <c r="I78" i="50"/>
  <c r="O78" i="50" s="1"/>
  <c r="AI77" i="50"/>
  <c r="T77" i="50"/>
  <c r="J77" i="50"/>
  <c r="I77" i="50"/>
  <c r="O77" i="50" s="1"/>
  <c r="AI76" i="50"/>
  <c r="T76" i="50"/>
  <c r="J76" i="50"/>
  <c r="I76" i="50"/>
  <c r="O76" i="50" s="1"/>
  <c r="AI75" i="50"/>
  <c r="T75" i="50"/>
  <c r="J75" i="50"/>
  <c r="I75" i="50"/>
  <c r="O75" i="50" s="1"/>
  <c r="AI74" i="50"/>
  <c r="T74" i="50"/>
  <c r="J74" i="50"/>
  <c r="I74" i="50"/>
  <c r="R74" i="50" s="1"/>
  <c r="AI73" i="50"/>
  <c r="T73" i="50"/>
  <c r="J73" i="50"/>
  <c r="I73" i="50"/>
  <c r="O73" i="50" s="1"/>
  <c r="AI72" i="50"/>
  <c r="T72" i="50"/>
  <c r="J72" i="50"/>
  <c r="I72" i="50"/>
  <c r="R72" i="50" s="1"/>
  <c r="AI71" i="50"/>
  <c r="T71" i="50"/>
  <c r="J71" i="50"/>
  <c r="I71" i="50"/>
  <c r="S71" i="50" s="1"/>
  <c r="AI70" i="50"/>
  <c r="T70" i="50"/>
  <c r="J70" i="50"/>
  <c r="I70" i="50"/>
  <c r="S70" i="50" s="1"/>
  <c r="AI69" i="50"/>
  <c r="T69" i="50"/>
  <c r="J69" i="50"/>
  <c r="I69" i="50"/>
  <c r="AI68" i="50"/>
  <c r="T68" i="50"/>
  <c r="J68" i="50"/>
  <c r="I68" i="50"/>
  <c r="S68" i="50" s="1"/>
  <c r="AI67" i="50"/>
  <c r="T67" i="50"/>
  <c r="J67" i="50"/>
  <c r="I67" i="50"/>
  <c r="O67" i="50" s="1"/>
  <c r="AI66" i="50"/>
  <c r="T66" i="50"/>
  <c r="J66" i="50"/>
  <c r="I66" i="50"/>
  <c r="R66" i="50" s="1"/>
  <c r="AI65" i="50"/>
  <c r="T65" i="50"/>
  <c r="J65" i="50"/>
  <c r="I65" i="50"/>
  <c r="O65" i="50" s="1"/>
  <c r="AI64" i="50"/>
  <c r="T64" i="50"/>
  <c r="J64" i="50"/>
  <c r="I64" i="50"/>
  <c r="AI63" i="50"/>
  <c r="T63" i="50"/>
  <c r="J63" i="50"/>
  <c r="I63" i="50"/>
  <c r="AI62" i="50"/>
  <c r="T62" i="50"/>
  <c r="J62" i="50"/>
  <c r="I62" i="50"/>
  <c r="O62" i="50" s="1"/>
  <c r="AI61" i="50"/>
  <c r="T61" i="50"/>
  <c r="J61" i="50"/>
  <c r="I61" i="50"/>
  <c r="R61" i="50" s="1"/>
  <c r="AI60" i="50"/>
  <c r="T60" i="50"/>
  <c r="J60" i="50"/>
  <c r="I60" i="50"/>
  <c r="AI59" i="50"/>
  <c r="T59" i="50"/>
  <c r="J59" i="50"/>
  <c r="I59" i="50"/>
  <c r="O59" i="50" s="1"/>
  <c r="AI58" i="50"/>
  <c r="T58" i="50"/>
  <c r="J58" i="50"/>
  <c r="I58" i="50"/>
  <c r="AI57" i="50"/>
  <c r="T57" i="50"/>
  <c r="J57" i="50"/>
  <c r="I57" i="50"/>
  <c r="O57" i="50" s="1"/>
  <c r="AI56" i="50"/>
  <c r="T56" i="50"/>
  <c r="J56" i="50"/>
  <c r="I56" i="50"/>
  <c r="AI55" i="50"/>
  <c r="T55" i="50"/>
  <c r="J55" i="50"/>
  <c r="I55" i="50"/>
  <c r="R55" i="50" s="1"/>
  <c r="AI54" i="50"/>
  <c r="T54" i="50"/>
  <c r="J54" i="50"/>
  <c r="I54" i="50"/>
  <c r="O54" i="50" s="1"/>
  <c r="AI53" i="50"/>
  <c r="T53" i="50"/>
  <c r="J53" i="50"/>
  <c r="I53" i="50"/>
  <c r="P53" i="50" s="1"/>
  <c r="AI52" i="50"/>
  <c r="T52" i="50"/>
  <c r="J52" i="50"/>
  <c r="I52" i="50"/>
  <c r="P52" i="50" s="1"/>
  <c r="AI51" i="50"/>
  <c r="T51" i="50"/>
  <c r="J51" i="50"/>
  <c r="I51" i="50"/>
  <c r="O51" i="50" s="1"/>
  <c r="AI50" i="50"/>
  <c r="T50" i="50"/>
  <c r="J50" i="50"/>
  <c r="I50" i="50"/>
  <c r="AI49" i="50"/>
  <c r="T49" i="50"/>
  <c r="J49" i="50"/>
  <c r="I49" i="50"/>
  <c r="AI48" i="50"/>
  <c r="T48" i="50"/>
  <c r="J48" i="50"/>
  <c r="I48" i="50"/>
  <c r="P48" i="50" s="1"/>
  <c r="AI47" i="50"/>
  <c r="T47" i="50"/>
  <c r="J47" i="50"/>
  <c r="I47" i="50"/>
  <c r="O47" i="50" s="1"/>
  <c r="AI46" i="50"/>
  <c r="T46" i="50"/>
  <c r="J46" i="50"/>
  <c r="I46" i="50"/>
  <c r="AI45" i="50"/>
  <c r="T45" i="50"/>
  <c r="J45" i="50"/>
  <c r="I45" i="50"/>
  <c r="P45" i="50" s="1"/>
  <c r="AI44" i="50"/>
  <c r="T44" i="50"/>
  <c r="J44" i="50"/>
  <c r="I44" i="50"/>
  <c r="S44" i="50" s="1"/>
  <c r="AI43" i="50"/>
  <c r="T43" i="50"/>
  <c r="J43" i="50"/>
  <c r="I43" i="50"/>
  <c r="O43" i="50" s="1"/>
  <c r="AI42" i="50"/>
  <c r="T42" i="50"/>
  <c r="J42" i="50"/>
  <c r="I42" i="50"/>
  <c r="O42" i="50" s="1"/>
  <c r="AI41" i="50"/>
  <c r="T41" i="50"/>
  <c r="N41" i="50"/>
  <c r="J41" i="50"/>
  <c r="I41" i="50"/>
  <c r="S41" i="50" s="1"/>
  <c r="AI40" i="50"/>
  <c r="T40" i="50"/>
  <c r="N40" i="50"/>
  <c r="J40" i="50"/>
  <c r="I40" i="50"/>
  <c r="AI39" i="50"/>
  <c r="T39" i="50"/>
  <c r="N39" i="50"/>
  <c r="J39" i="50"/>
  <c r="I39" i="50"/>
  <c r="AI38" i="50"/>
  <c r="T38" i="50"/>
  <c r="N38" i="50"/>
  <c r="J38" i="50"/>
  <c r="I38" i="50"/>
  <c r="AI37" i="50"/>
  <c r="T37" i="50"/>
  <c r="N37" i="50"/>
  <c r="J37" i="50"/>
  <c r="I37" i="50"/>
  <c r="AI36" i="50"/>
  <c r="T36" i="50"/>
  <c r="J36" i="50"/>
  <c r="I36" i="50"/>
  <c r="O36" i="50" s="1"/>
  <c r="AI35" i="50"/>
  <c r="T35" i="50"/>
  <c r="N35" i="50"/>
  <c r="J35" i="50"/>
  <c r="I35" i="50"/>
  <c r="AI34" i="50"/>
  <c r="T34" i="50"/>
  <c r="N34" i="50"/>
  <c r="J34" i="50"/>
  <c r="I34" i="50"/>
  <c r="AI33" i="50"/>
  <c r="T33" i="50"/>
  <c r="N33" i="50"/>
  <c r="J33" i="50"/>
  <c r="I33" i="50"/>
  <c r="R33" i="50" s="1"/>
  <c r="AI32" i="50"/>
  <c r="T32" i="50"/>
  <c r="N32" i="50"/>
  <c r="J32" i="50"/>
  <c r="I32" i="50"/>
  <c r="S32" i="50" s="1"/>
  <c r="AI31" i="50"/>
  <c r="T31" i="50"/>
  <c r="N31" i="50"/>
  <c r="J31" i="50"/>
  <c r="I31" i="50"/>
  <c r="S31" i="50" s="1"/>
  <c r="AI30" i="50"/>
  <c r="T30" i="50"/>
  <c r="N30" i="50"/>
  <c r="J30" i="50"/>
  <c r="I30" i="50"/>
  <c r="AI29" i="50"/>
  <c r="AE29" i="50"/>
  <c r="AE30" i="50" s="1"/>
  <c r="AE31" i="50" s="1"/>
  <c r="AE32" i="50" s="1"/>
  <c r="AE33" i="50" s="1"/>
  <c r="AE34" i="50" s="1"/>
  <c r="AE35" i="50" s="1"/>
  <c r="AE37" i="50" s="1"/>
  <c r="T29" i="50"/>
  <c r="J29" i="50"/>
  <c r="I29" i="50"/>
  <c r="O29" i="50" s="1"/>
  <c r="AI28" i="50"/>
  <c r="T28" i="50"/>
  <c r="J28" i="50"/>
  <c r="I28" i="50"/>
  <c r="AI27" i="50"/>
  <c r="T27" i="50"/>
  <c r="J27" i="50"/>
  <c r="I27" i="50"/>
  <c r="S27" i="50" s="1"/>
  <c r="AI26" i="50"/>
  <c r="T26" i="50"/>
  <c r="J26" i="50"/>
  <c r="I26" i="50"/>
  <c r="O26" i="50" s="1"/>
  <c r="AI25" i="50"/>
  <c r="T25" i="50"/>
  <c r="J25" i="50"/>
  <c r="I25" i="50"/>
  <c r="O25" i="50" s="1"/>
  <c r="AI24" i="50"/>
  <c r="T24" i="50"/>
  <c r="J24" i="50"/>
  <c r="I24" i="50"/>
  <c r="O24" i="50" s="1"/>
  <c r="AI23" i="50"/>
  <c r="T23" i="50"/>
  <c r="J23" i="50"/>
  <c r="I23" i="50"/>
  <c r="AI22" i="50"/>
  <c r="T22" i="50"/>
  <c r="J22" i="50"/>
  <c r="I22" i="50"/>
  <c r="O22" i="50" s="1"/>
  <c r="AI21" i="50"/>
  <c r="T21" i="50"/>
  <c r="J21" i="50"/>
  <c r="I21" i="50"/>
  <c r="O21" i="50" s="1"/>
  <c r="AI20" i="50"/>
  <c r="T20" i="50"/>
  <c r="J20" i="50"/>
  <c r="I20" i="50"/>
  <c r="AI19" i="50"/>
  <c r="T19" i="50"/>
  <c r="J19" i="50"/>
  <c r="I19" i="50"/>
  <c r="AI18" i="50"/>
  <c r="T18" i="50"/>
  <c r="J18" i="50"/>
  <c r="I18" i="50"/>
  <c r="S18" i="50" s="1"/>
  <c r="AI17" i="50"/>
  <c r="T17" i="50"/>
  <c r="J17" i="50"/>
  <c r="I17" i="50"/>
  <c r="S17" i="50" s="1"/>
  <c r="AI16" i="50"/>
  <c r="T16" i="50"/>
  <c r="J16" i="50"/>
  <c r="I16" i="50"/>
  <c r="AI15" i="50"/>
  <c r="J15" i="50"/>
  <c r="I15" i="50"/>
  <c r="S15" i="50" s="1"/>
  <c r="AI14" i="50"/>
  <c r="J14" i="50"/>
  <c r="I14" i="50"/>
  <c r="R14" i="50" s="1"/>
  <c r="AI13" i="50"/>
  <c r="J13" i="50"/>
  <c r="I13" i="50"/>
  <c r="O13" i="50" s="1"/>
  <c r="AI12" i="50"/>
  <c r="J12" i="50"/>
  <c r="I12" i="50"/>
  <c r="O12" i="50" s="1"/>
  <c r="V12" i="50" s="1"/>
  <c r="AI11" i="50"/>
  <c r="J11" i="50"/>
  <c r="I11" i="50"/>
  <c r="AI10" i="50"/>
  <c r="J10" i="50"/>
  <c r="I10" i="50"/>
  <c r="O10" i="50" s="1"/>
  <c r="AI9" i="50"/>
  <c r="J9" i="50"/>
  <c r="I9" i="50"/>
  <c r="AI8" i="50"/>
  <c r="J8" i="50"/>
  <c r="I8" i="50"/>
  <c r="O8" i="50" s="1"/>
  <c r="AI7" i="50"/>
  <c r="J7" i="50"/>
  <c r="I7" i="50"/>
  <c r="S7" i="50" s="1"/>
  <c r="AI6" i="50"/>
  <c r="J6" i="50"/>
  <c r="I6" i="50"/>
  <c r="S6" i="50" s="1"/>
  <c r="AI5" i="50"/>
  <c r="J5" i="50"/>
  <c r="I5" i="50"/>
  <c r="O5" i="50" s="1"/>
  <c r="AI4" i="50"/>
  <c r="J4" i="50"/>
  <c r="I4" i="50"/>
  <c r="S4" i="50" s="1"/>
  <c r="AI3" i="50"/>
  <c r="J3" i="50"/>
  <c r="I3" i="50"/>
  <c r="R3" i="50" s="1"/>
  <c r="C414" i="49"/>
  <c r="C411" i="49"/>
  <c r="C413" i="49" s="1"/>
  <c r="C410" i="49"/>
  <c r="C408" i="49"/>
  <c r="A408" i="49"/>
  <c r="A409" i="49" s="1"/>
  <c r="A410" i="49" s="1"/>
  <c r="A411" i="49" s="1"/>
  <c r="A412" i="49" s="1"/>
  <c r="A413" i="49" s="1"/>
  <c r="A414" i="49" s="1"/>
  <c r="A415" i="49" s="1"/>
  <c r="C407" i="49"/>
  <c r="C403" i="49"/>
  <c r="A403" i="49"/>
  <c r="A404" i="49" s="1"/>
  <c r="X396" i="49"/>
  <c r="C396" i="49"/>
  <c r="U394" i="49"/>
  <c r="T394" i="49"/>
  <c r="S394" i="49"/>
  <c r="R394" i="49"/>
  <c r="Q394" i="49"/>
  <c r="P394" i="49"/>
  <c r="O394" i="49"/>
  <c r="N394" i="49"/>
  <c r="C380" i="49"/>
  <c r="G380" i="49" s="1"/>
  <c r="C362" i="49"/>
  <c r="C359" i="49"/>
  <c r="C358" i="49"/>
  <c r="C356" i="49"/>
  <c r="A356" i="49"/>
  <c r="A357" i="49" s="1"/>
  <c r="A358" i="49" s="1"/>
  <c r="A359" i="49" s="1"/>
  <c r="A360" i="49" s="1"/>
  <c r="A361" i="49" s="1"/>
  <c r="A362" i="49" s="1"/>
  <c r="A363" i="49" s="1"/>
  <c r="C355" i="49"/>
  <c r="C351" i="49"/>
  <c r="A351" i="49"/>
  <c r="A352" i="49" s="1"/>
  <c r="X344" i="49"/>
  <c r="C344" i="49"/>
  <c r="U342" i="49"/>
  <c r="T342" i="49"/>
  <c r="S342" i="49"/>
  <c r="R342" i="49"/>
  <c r="Q342" i="49"/>
  <c r="P342" i="49"/>
  <c r="O342" i="49"/>
  <c r="N342" i="49"/>
  <c r="C328" i="49"/>
  <c r="L328" i="49" s="1"/>
  <c r="C309" i="49"/>
  <c r="C306" i="49"/>
  <c r="C308" i="49" s="1"/>
  <c r="C305" i="49"/>
  <c r="C303" i="49"/>
  <c r="A303" i="49"/>
  <c r="A304" i="49" s="1"/>
  <c r="A305" i="49" s="1"/>
  <c r="A306" i="49" s="1"/>
  <c r="A307" i="49" s="1"/>
  <c r="A308" i="49" s="1"/>
  <c r="A309" i="49" s="1"/>
  <c r="A310" i="49" s="1"/>
  <c r="C302" i="49"/>
  <c r="C298" i="49"/>
  <c r="A298" i="49"/>
  <c r="A299" i="49" s="1"/>
  <c r="X291" i="49"/>
  <c r="C291" i="49"/>
  <c r="U289" i="49"/>
  <c r="T289" i="49"/>
  <c r="S289" i="49"/>
  <c r="R289" i="49"/>
  <c r="Q289" i="49"/>
  <c r="P289" i="49"/>
  <c r="O289" i="49"/>
  <c r="N289" i="49"/>
  <c r="C275" i="49"/>
  <c r="F275" i="49" s="1"/>
  <c r="V273" i="49"/>
  <c r="X272" i="49"/>
  <c r="X325" i="49" s="1"/>
  <c r="X377" i="49" s="1"/>
  <c r="W272" i="49"/>
  <c r="W325" i="49" s="1"/>
  <c r="W377" i="49" s="1"/>
  <c r="V272" i="49"/>
  <c r="V325" i="49" s="1"/>
  <c r="V377" i="49" s="1"/>
  <c r="U272" i="49"/>
  <c r="U325" i="49" s="1"/>
  <c r="U377" i="49" s="1"/>
  <c r="T272" i="49"/>
  <c r="T325" i="49" s="1"/>
  <c r="T377" i="49" s="1"/>
  <c r="S272" i="49"/>
  <c r="S325" i="49" s="1"/>
  <c r="S377" i="49" s="1"/>
  <c r="R272" i="49"/>
  <c r="R325" i="49" s="1"/>
  <c r="R377" i="49" s="1"/>
  <c r="Q272" i="49"/>
  <c r="Q325" i="49" s="1"/>
  <c r="Q377" i="49" s="1"/>
  <c r="P272" i="49"/>
  <c r="P325" i="49" s="1"/>
  <c r="P377" i="49" s="1"/>
  <c r="O272" i="49"/>
  <c r="O325" i="49" s="1"/>
  <c r="O377" i="49" s="1"/>
  <c r="N272" i="49"/>
  <c r="N325" i="49" s="1"/>
  <c r="N377" i="49" s="1"/>
  <c r="W271" i="49"/>
  <c r="W324" i="49" s="1"/>
  <c r="V271" i="49"/>
  <c r="V324" i="49" s="1"/>
  <c r="X270" i="49"/>
  <c r="W270" i="49"/>
  <c r="V270" i="49"/>
  <c r="U270" i="49"/>
  <c r="T270" i="49"/>
  <c r="S270" i="49"/>
  <c r="R270" i="49"/>
  <c r="Q270" i="49"/>
  <c r="P270" i="49"/>
  <c r="O270" i="49"/>
  <c r="N270" i="49"/>
  <c r="M270" i="49"/>
  <c r="M323" i="49" s="1"/>
  <c r="M375" i="49" s="1"/>
  <c r="L270" i="49"/>
  <c r="L323" i="49" s="1"/>
  <c r="L375" i="49" s="1"/>
  <c r="K270" i="49"/>
  <c r="K323" i="49" s="1"/>
  <c r="K375" i="49" s="1"/>
  <c r="J270" i="49"/>
  <c r="J323" i="49" s="1"/>
  <c r="J375" i="49" s="1"/>
  <c r="I270" i="49"/>
  <c r="I323" i="49" s="1"/>
  <c r="I375" i="49" s="1"/>
  <c r="H270" i="49"/>
  <c r="H323" i="49" s="1"/>
  <c r="H375" i="49" s="1"/>
  <c r="G270" i="49"/>
  <c r="G323" i="49" s="1"/>
  <c r="G375" i="49" s="1"/>
  <c r="F270" i="49"/>
  <c r="F323" i="49" s="1"/>
  <c r="F375" i="49" s="1"/>
  <c r="E270" i="49"/>
  <c r="E323" i="49" s="1"/>
  <c r="E375" i="49" s="1"/>
  <c r="D270" i="49"/>
  <c r="D323" i="49" s="1"/>
  <c r="D375" i="49" s="1"/>
  <c r="C270" i="49"/>
  <c r="C323" i="49" s="1"/>
  <c r="C375" i="49" s="1"/>
  <c r="X269" i="49"/>
  <c r="W269" i="49"/>
  <c r="V269" i="49"/>
  <c r="U269" i="49"/>
  <c r="T269" i="49"/>
  <c r="S269" i="49"/>
  <c r="R269" i="49"/>
  <c r="Q269" i="49"/>
  <c r="P269" i="49"/>
  <c r="O269" i="49"/>
  <c r="N269" i="49"/>
  <c r="M269" i="49"/>
  <c r="M322" i="49" s="1"/>
  <c r="M374" i="49" s="1"/>
  <c r="L269" i="49"/>
  <c r="L322" i="49" s="1"/>
  <c r="L374" i="49" s="1"/>
  <c r="K269" i="49"/>
  <c r="K322" i="49" s="1"/>
  <c r="K374" i="49" s="1"/>
  <c r="J269" i="49"/>
  <c r="J322" i="49" s="1"/>
  <c r="J374" i="49" s="1"/>
  <c r="I269" i="49"/>
  <c r="I322" i="49" s="1"/>
  <c r="I374" i="49" s="1"/>
  <c r="H269" i="49"/>
  <c r="H322" i="49" s="1"/>
  <c r="H374" i="49" s="1"/>
  <c r="G269" i="49"/>
  <c r="G322" i="49" s="1"/>
  <c r="G374" i="49" s="1"/>
  <c r="F269" i="49"/>
  <c r="F322" i="49" s="1"/>
  <c r="F374" i="49" s="1"/>
  <c r="E269" i="49"/>
  <c r="E322" i="49" s="1"/>
  <c r="E374" i="49" s="1"/>
  <c r="D269" i="49"/>
  <c r="D322" i="49" s="1"/>
  <c r="D374" i="49" s="1"/>
  <c r="C269" i="49"/>
  <c r="C322" i="49" s="1"/>
  <c r="C374" i="49" s="1"/>
  <c r="C255" i="49"/>
  <c r="C252" i="49"/>
  <c r="C251" i="49"/>
  <c r="C249" i="49"/>
  <c r="A249" i="49"/>
  <c r="A250" i="49" s="1"/>
  <c r="A251" i="49" s="1"/>
  <c r="A252" i="49" s="1"/>
  <c r="A253" i="49" s="1"/>
  <c r="A254" i="49" s="1"/>
  <c r="A255" i="49" s="1"/>
  <c r="A256" i="49" s="1"/>
  <c r="C248" i="49"/>
  <c r="C244" i="49"/>
  <c r="A244" i="49"/>
  <c r="A245" i="49" s="1"/>
  <c r="X237" i="49"/>
  <c r="C237" i="49"/>
  <c r="U235" i="49"/>
  <c r="T235" i="49"/>
  <c r="S235" i="49"/>
  <c r="R235" i="49"/>
  <c r="Q235" i="49"/>
  <c r="P235" i="49"/>
  <c r="O235" i="49"/>
  <c r="N235" i="49"/>
  <c r="M223" i="49"/>
  <c r="L223" i="49"/>
  <c r="K223" i="49"/>
  <c r="J223" i="49"/>
  <c r="I223" i="49"/>
  <c r="H223" i="49"/>
  <c r="G223" i="49"/>
  <c r="F223" i="49"/>
  <c r="E223" i="49"/>
  <c r="D223" i="49"/>
  <c r="C223" i="49"/>
  <c r="C221" i="49"/>
  <c r="M221" i="49" s="1"/>
  <c r="V219" i="49"/>
  <c r="X218" i="49"/>
  <c r="W218" i="49"/>
  <c r="V218" i="49"/>
  <c r="U218" i="49"/>
  <c r="T218" i="49"/>
  <c r="S218" i="49"/>
  <c r="R218" i="49"/>
  <c r="Q218" i="49"/>
  <c r="P218" i="49"/>
  <c r="O218" i="49"/>
  <c r="N218" i="49"/>
  <c r="W217" i="49"/>
  <c r="V217" i="49"/>
  <c r="X216" i="49"/>
  <c r="W216" i="49"/>
  <c r="V216" i="49"/>
  <c r="U216" i="49"/>
  <c r="T216" i="49"/>
  <c r="S216" i="49"/>
  <c r="R216" i="49"/>
  <c r="Q216" i="49"/>
  <c r="P216" i="49"/>
  <c r="O216" i="49"/>
  <c r="N216" i="49"/>
  <c r="M216" i="49"/>
  <c r="L216" i="49"/>
  <c r="K216" i="49"/>
  <c r="J216" i="49"/>
  <c r="I216" i="49"/>
  <c r="H216" i="49"/>
  <c r="G216" i="49"/>
  <c r="F216" i="49"/>
  <c r="E216" i="49"/>
  <c r="D216" i="49"/>
  <c r="C216" i="49"/>
  <c r="X215" i="49"/>
  <c r="W215" i="49"/>
  <c r="V215" i="49"/>
  <c r="U215" i="49"/>
  <c r="T215" i="49"/>
  <c r="S215" i="49"/>
  <c r="R215" i="49"/>
  <c r="Q215" i="49"/>
  <c r="P215" i="49"/>
  <c r="O215" i="49"/>
  <c r="N215" i="49"/>
  <c r="M215" i="49"/>
  <c r="L215" i="49"/>
  <c r="K215" i="49"/>
  <c r="J215" i="49"/>
  <c r="I215" i="49"/>
  <c r="H215" i="49"/>
  <c r="G215" i="49"/>
  <c r="F215" i="49"/>
  <c r="E215" i="49"/>
  <c r="D215" i="49"/>
  <c r="C215" i="49"/>
  <c r="C203" i="49"/>
  <c r="C200" i="49"/>
  <c r="C202" i="49" s="1"/>
  <c r="C199" i="49"/>
  <c r="C197" i="49"/>
  <c r="A197" i="49"/>
  <c r="A198" i="49" s="1"/>
  <c r="A199" i="49" s="1"/>
  <c r="A200" i="49" s="1"/>
  <c r="A201" i="49" s="1"/>
  <c r="A202" i="49" s="1"/>
  <c r="A203" i="49" s="1"/>
  <c r="A204" i="49" s="1"/>
  <c r="C196" i="49"/>
  <c r="C192" i="49"/>
  <c r="A192" i="49"/>
  <c r="A193" i="49" s="1"/>
  <c r="X185" i="49"/>
  <c r="C185" i="49"/>
  <c r="U183" i="49"/>
  <c r="T183" i="49"/>
  <c r="S183" i="49"/>
  <c r="R183" i="49"/>
  <c r="Q183" i="49"/>
  <c r="P183" i="49"/>
  <c r="O183" i="49"/>
  <c r="N183" i="49"/>
  <c r="M171" i="49"/>
  <c r="L171" i="49"/>
  <c r="K171" i="49"/>
  <c r="J171" i="49"/>
  <c r="I171" i="49"/>
  <c r="H171" i="49"/>
  <c r="G171" i="49"/>
  <c r="F171" i="49"/>
  <c r="E171" i="49"/>
  <c r="D171" i="49"/>
  <c r="C171" i="49"/>
  <c r="C169" i="49"/>
  <c r="M169" i="49" s="1"/>
  <c r="V167" i="49"/>
  <c r="X166" i="49"/>
  <c r="W166" i="49"/>
  <c r="V166" i="49"/>
  <c r="U166" i="49"/>
  <c r="T166" i="49"/>
  <c r="S166" i="49"/>
  <c r="R166" i="49"/>
  <c r="Q166" i="49"/>
  <c r="P166" i="49"/>
  <c r="O166" i="49"/>
  <c r="N166" i="49"/>
  <c r="W165" i="49"/>
  <c r="V165" i="49"/>
  <c r="X164" i="49"/>
  <c r="W164" i="49"/>
  <c r="V164" i="49"/>
  <c r="U164" i="49"/>
  <c r="T164" i="49"/>
  <c r="S164" i="49"/>
  <c r="R164" i="49"/>
  <c r="Q164" i="49"/>
  <c r="P164" i="49"/>
  <c r="O164" i="49"/>
  <c r="N164" i="49"/>
  <c r="M164" i="49"/>
  <c r="L164" i="49"/>
  <c r="K164" i="49"/>
  <c r="J164" i="49"/>
  <c r="I164" i="49"/>
  <c r="H164" i="49"/>
  <c r="G164" i="49"/>
  <c r="F164" i="49"/>
  <c r="E164" i="49"/>
  <c r="D164" i="49"/>
  <c r="C164" i="49"/>
  <c r="X163" i="49"/>
  <c r="W163" i="49"/>
  <c r="V163" i="49"/>
  <c r="U163" i="49"/>
  <c r="T163" i="49"/>
  <c r="S163" i="49"/>
  <c r="R163" i="49"/>
  <c r="Q163" i="49"/>
  <c r="P163" i="49"/>
  <c r="O163" i="49"/>
  <c r="N163" i="49"/>
  <c r="M163" i="49"/>
  <c r="L163" i="49"/>
  <c r="K163" i="49"/>
  <c r="J163" i="49"/>
  <c r="I163" i="49"/>
  <c r="H163" i="49"/>
  <c r="G163" i="49"/>
  <c r="F163" i="49"/>
  <c r="E163" i="49"/>
  <c r="D163" i="49"/>
  <c r="C163" i="49"/>
  <c r="C151" i="49"/>
  <c r="C148" i="49"/>
  <c r="C150" i="49" s="1"/>
  <c r="C147" i="49"/>
  <c r="C145" i="49"/>
  <c r="A145" i="49"/>
  <c r="A146" i="49" s="1"/>
  <c r="A147" i="49" s="1"/>
  <c r="A148" i="49" s="1"/>
  <c r="A149" i="49" s="1"/>
  <c r="A150" i="49" s="1"/>
  <c r="A151" i="49" s="1"/>
  <c r="A152" i="49" s="1"/>
  <c r="C144" i="49"/>
  <c r="C140" i="49"/>
  <c r="A140" i="49"/>
  <c r="A141" i="49" s="1"/>
  <c r="X133" i="49"/>
  <c r="C133" i="49"/>
  <c r="U131" i="49"/>
  <c r="T131" i="49"/>
  <c r="S131" i="49"/>
  <c r="R131" i="49"/>
  <c r="Q131" i="49"/>
  <c r="P131" i="49"/>
  <c r="O131" i="49"/>
  <c r="N131" i="49"/>
  <c r="M119" i="49"/>
  <c r="L119" i="49"/>
  <c r="K119" i="49"/>
  <c r="J119" i="49"/>
  <c r="I119" i="49"/>
  <c r="H119" i="49"/>
  <c r="G119" i="49"/>
  <c r="F119" i="49"/>
  <c r="E119" i="49"/>
  <c r="D119" i="49"/>
  <c r="C119" i="49"/>
  <c r="C117" i="49"/>
  <c r="J117" i="49" s="1"/>
  <c r="V115" i="49"/>
  <c r="X114" i="49"/>
  <c r="W114" i="49"/>
  <c r="V114" i="49"/>
  <c r="U114" i="49"/>
  <c r="T114" i="49"/>
  <c r="S114" i="49"/>
  <c r="R114" i="49"/>
  <c r="Q114" i="49"/>
  <c r="P114" i="49"/>
  <c r="O114" i="49"/>
  <c r="N114" i="49"/>
  <c r="W113" i="49"/>
  <c r="W375" i="49" s="1"/>
  <c r="V113" i="49"/>
  <c r="V375" i="49" s="1"/>
  <c r="X112" i="49"/>
  <c r="X374" i="49" s="1"/>
  <c r="W112" i="49"/>
  <c r="W374" i="49" s="1"/>
  <c r="V112" i="49"/>
  <c r="V374" i="49" s="1"/>
  <c r="U112" i="49"/>
  <c r="U374" i="49" s="1"/>
  <c r="T112" i="49"/>
  <c r="T374" i="49" s="1"/>
  <c r="S112" i="49"/>
  <c r="S374" i="49" s="1"/>
  <c r="R112" i="49"/>
  <c r="R374" i="49" s="1"/>
  <c r="Q112" i="49"/>
  <c r="Q374" i="49" s="1"/>
  <c r="P112" i="49"/>
  <c r="P374" i="49" s="1"/>
  <c r="O112" i="49"/>
  <c r="O374" i="49" s="1"/>
  <c r="N112" i="49"/>
  <c r="N374" i="49" s="1"/>
  <c r="M112" i="49"/>
  <c r="L112" i="49"/>
  <c r="K112" i="49"/>
  <c r="J112" i="49"/>
  <c r="I112" i="49"/>
  <c r="H112" i="49"/>
  <c r="G112" i="49"/>
  <c r="F112" i="49"/>
  <c r="E112" i="49"/>
  <c r="D112" i="49"/>
  <c r="C112" i="49"/>
  <c r="X111" i="49"/>
  <c r="W111" i="49"/>
  <c r="V111" i="49"/>
  <c r="U111" i="49"/>
  <c r="T111" i="49"/>
  <c r="S111" i="49"/>
  <c r="R111" i="49"/>
  <c r="Q111" i="49"/>
  <c r="P111" i="49"/>
  <c r="O111" i="49"/>
  <c r="N111" i="49"/>
  <c r="M111" i="49"/>
  <c r="L111" i="49"/>
  <c r="K111" i="49"/>
  <c r="J111" i="49"/>
  <c r="I111" i="49"/>
  <c r="H111" i="49"/>
  <c r="G111" i="49"/>
  <c r="F111" i="49"/>
  <c r="E111" i="49"/>
  <c r="D111" i="49"/>
  <c r="C111" i="49"/>
  <c r="C99" i="49"/>
  <c r="C96" i="49"/>
  <c r="C98" i="49" s="1"/>
  <c r="C95" i="49"/>
  <c r="C93" i="49"/>
  <c r="A93" i="49"/>
  <c r="A94" i="49" s="1"/>
  <c r="A95" i="49" s="1"/>
  <c r="A96" i="49" s="1"/>
  <c r="A97" i="49" s="1"/>
  <c r="A98" i="49" s="1"/>
  <c r="A99" i="49" s="1"/>
  <c r="A100" i="49" s="1"/>
  <c r="C92" i="49"/>
  <c r="C88" i="49"/>
  <c r="A88" i="49"/>
  <c r="A89" i="49" s="1"/>
  <c r="X81" i="49"/>
  <c r="C81" i="49"/>
  <c r="X79" i="49"/>
  <c r="W79" i="49"/>
  <c r="V79" i="49"/>
  <c r="U79" i="49"/>
  <c r="T79" i="49"/>
  <c r="S79" i="49"/>
  <c r="R79" i="49"/>
  <c r="Q79" i="49"/>
  <c r="P79" i="49"/>
  <c r="O79" i="49"/>
  <c r="N79" i="49"/>
  <c r="T67" i="49"/>
  <c r="S67" i="49"/>
  <c r="R67" i="49"/>
  <c r="Q67" i="49"/>
  <c r="P67" i="49"/>
  <c r="O67" i="49"/>
  <c r="N67" i="49"/>
  <c r="M67" i="49"/>
  <c r="L67" i="49"/>
  <c r="K67" i="49"/>
  <c r="J67" i="49"/>
  <c r="I67" i="49"/>
  <c r="H67" i="49"/>
  <c r="G67" i="49"/>
  <c r="F67" i="49"/>
  <c r="E67" i="49"/>
  <c r="D67" i="49"/>
  <c r="C67" i="49"/>
  <c r="X65" i="49"/>
  <c r="X117" i="49" s="1"/>
  <c r="W65" i="49"/>
  <c r="W117" i="49" s="1"/>
  <c r="W169" i="49" s="1"/>
  <c r="V63" i="49"/>
  <c r="X62" i="49"/>
  <c r="X68" i="49" s="1"/>
  <c r="W62" i="49"/>
  <c r="W68" i="49" s="1"/>
  <c r="V62" i="49"/>
  <c r="V68" i="49" s="1"/>
  <c r="U62" i="49"/>
  <c r="U68" i="49" s="1"/>
  <c r="T62" i="49"/>
  <c r="S62" i="49"/>
  <c r="R62" i="49"/>
  <c r="Q62" i="49"/>
  <c r="P62" i="49"/>
  <c r="O62" i="49"/>
  <c r="N62" i="49"/>
  <c r="W61" i="49"/>
  <c r="W323" i="49" s="1"/>
  <c r="V61" i="49"/>
  <c r="V323" i="49" s="1"/>
  <c r="X60" i="49"/>
  <c r="X322" i="49" s="1"/>
  <c r="W60" i="49"/>
  <c r="W322" i="49" s="1"/>
  <c r="V60" i="49"/>
  <c r="V322" i="49" s="1"/>
  <c r="U60" i="49"/>
  <c r="U322" i="49" s="1"/>
  <c r="T60" i="49"/>
  <c r="T322" i="49" s="1"/>
  <c r="S60" i="49"/>
  <c r="S322" i="49" s="1"/>
  <c r="R60" i="49"/>
  <c r="R322" i="49" s="1"/>
  <c r="Q60" i="49"/>
  <c r="Q322" i="49" s="1"/>
  <c r="P60" i="49"/>
  <c r="P322" i="49" s="1"/>
  <c r="O60" i="49"/>
  <c r="O322" i="49" s="1"/>
  <c r="N60" i="49"/>
  <c r="N322" i="49" s="1"/>
  <c r="M60" i="49"/>
  <c r="L60" i="49"/>
  <c r="K60" i="49"/>
  <c r="J60" i="49"/>
  <c r="I60" i="49"/>
  <c r="H60" i="49"/>
  <c r="G60" i="49"/>
  <c r="F60" i="49"/>
  <c r="E60" i="49"/>
  <c r="D60" i="49"/>
  <c r="C60" i="49"/>
  <c r="X59" i="49"/>
  <c r="W59" i="49"/>
  <c r="V59" i="49"/>
  <c r="U59" i="49"/>
  <c r="T59" i="49"/>
  <c r="S59" i="49"/>
  <c r="R59" i="49"/>
  <c r="Q59" i="49"/>
  <c r="P59" i="49"/>
  <c r="O59" i="49"/>
  <c r="N59" i="49"/>
  <c r="M59" i="49"/>
  <c r="L59" i="49"/>
  <c r="K59" i="49"/>
  <c r="J59" i="49"/>
  <c r="I59" i="49"/>
  <c r="H59" i="49"/>
  <c r="G59" i="49"/>
  <c r="F59" i="49"/>
  <c r="E59" i="49"/>
  <c r="D59" i="49"/>
  <c r="C59" i="49"/>
  <c r="C47" i="49"/>
  <c r="C44" i="49"/>
  <c r="C46" i="49" s="1"/>
  <c r="C43" i="49"/>
  <c r="C41" i="49"/>
  <c r="A41" i="49"/>
  <c r="A42" i="49" s="1"/>
  <c r="A43" i="49" s="1"/>
  <c r="A44" i="49" s="1"/>
  <c r="A45" i="49" s="1"/>
  <c r="A46" i="49" s="1"/>
  <c r="A47" i="49" s="1"/>
  <c r="A48" i="49" s="1"/>
  <c r="C40" i="49"/>
  <c r="C36" i="49"/>
  <c r="A36" i="49"/>
  <c r="A37" i="49" s="1"/>
  <c r="X29" i="49"/>
  <c r="C29" i="49"/>
  <c r="U27" i="49"/>
  <c r="T27" i="49"/>
  <c r="S27" i="49"/>
  <c r="R27" i="49"/>
  <c r="Q27" i="49"/>
  <c r="P27" i="49"/>
  <c r="O27" i="49"/>
  <c r="N27" i="49"/>
  <c r="V17" i="49"/>
  <c r="V20" i="49" s="1"/>
  <c r="V13" i="49"/>
  <c r="V65" i="49" s="1"/>
  <c r="W11" i="49"/>
  <c r="M10" i="49"/>
  <c r="L10" i="49"/>
  <c r="L166" i="49" s="1"/>
  <c r="K10" i="49"/>
  <c r="J10" i="49"/>
  <c r="J114" i="49" s="1"/>
  <c r="I10" i="49"/>
  <c r="H10" i="49"/>
  <c r="H62" i="49" s="1"/>
  <c r="G10" i="49"/>
  <c r="G16" i="49" s="1"/>
  <c r="F10" i="49"/>
  <c r="F16" i="49" s="1"/>
  <c r="E10" i="49"/>
  <c r="E16" i="49" s="1"/>
  <c r="D10" i="49"/>
  <c r="D16" i="49" s="1"/>
  <c r="C10" i="49"/>
  <c r="C62" i="49" s="1"/>
  <c r="X9" i="49"/>
  <c r="U9" i="49"/>
  <c r="T9" i="49"/>
  <c r="T61" i="49" s="1"/>
  <c r="T323" i="49" s="1"/>
  <c r="S9" i="49"/>
  <c r="S61" i="49" s="1"/>
  <c r="S323" i="49" s="1"/>
  <c r="R9" i="49"/>
  <c r="R11" i="49" s="1"/>
  <c r="R14" i="49" s="1"/>
  <c r="R17" i="49" s="1"/>
  <c r="Q9" i="49"/>
  <c r="P9" i="49"/>
  <c r="P113" i="49" s="1"/>
  <c r="P375" i="49" s="1"/>
  <c r="O9" i="49"/>
  <c r="N9" i="49"/>
  <c r="M9" i="49"/>
  <c r="L9" i="49"/>
  <c r="L61" i="49" s="1"/>
  <c r="L66" i="49" s="1"/>
  <c r="K9" i="49"/>
  <c r="K14" i="49" s="1"/>
  <c r="J9" i="49"/>
  <c r="J14" i="49" s="1"/>
  <c r="I9" i="49"/>
  <c r="I14" i="49" s="1"/>
  <c r="H9" i="49"/>
  <c r="H14" i="49" s="1"/>
  <c r="G9" i="49"/>
  <c r="F9" i="49"/>
  <c r="E9" i="49"/>
  <c r="D9" i="49"/>
  <c r="D14" i="49" s="1"/>
  <c r="C9" i="49"/>
  <c r="C14" i="49" s="1"/>
  <c r="D2" i="49"/>
  <c r="AX22" i="48" l="1"/>
  <c r="AX23" i="48"/>
  <c r="AX24" i="48"/>
  <c r="AX27" i="48"/>
  <c r="AX25" i="48"/>
  <c r="AX26" i="48"/>
  <c r="AX21" i="48"/>
  <c r="BC13" i="48"/>
  <c r="BE13" i="48" s="1"/>
  <c r="BF13" i="48" s="1"/>
  <c r="BC17" i="48"/>
  <c r="BE17" i="48" s="1"/>
  <c r="BF17" i="48" s="1"/>
  <c r="BG15" i="48"/>
  <c r="BI15" i="48" s="1"/>
  <c r="BJ15" i="48" s="1"/>
  <c r="BG16" i="48"/>
  <c r="BI16" i="48" s="1"/>
  <c r="BJ16" i="48" s="1"/>
  <c r="BG19" i="48"/>
  <c r="BI19" i="48" s="1"/>
  <c r="BJ19" i="48" s="1"/>
  <c r="AY21" i="48"/>
  <c r="BA21" i="48" s="1"/>
  <c r="BB21" i="48" s="1"/>
  <c r="BC18" i="48"/>
  <c r="BE18" i="48" s="1"/>
  <c r="BF18" i="48" s="1"/>
  <c r="AY27" i="48"/>
  <c r="BA27" i="48" s="1"/>
  <c r="BB27" i="48" s="1"/>
  <c r="BC20" i="48"/>
  <c r="BE20" i="48" s="1"/>
  <c r="BF20" i="48" s="1"/>
  <c r="AY22" i="48"/>
  <c r="BA22" i="48" s="1"/>
  <c r="BB22" i="48" s="1"/>
  <c r="AY23" i="48"/>
  <c r="BA23" i="48" s="1"/>
  <c r="BB23" i="48" s="1"/>
  <c r="AY25" i="48"/>
  <c r="BA25" i="48" s="1"/>
  <c r="BB25" i="48" s="1"/>
  <c r="AY24" i="48"/>
  <c r="BA24" i="48" s="1"/>
  <c r="BB24" i="48" s="1"/>
  <c r="AY26" i="48"/>
  <c r="BA26" i="48" s="1"/>
  <c r="BB26" i="48" s="1"/>
  <c r="O127" i="50"/>
  <c r="K58" i="50"/>
  <c r="K64" i="50"/>
  <c r="C304" i="49"/>
  <c r="C310" i="49" s="1"/>
  <c r="C409" i="49"/>
  <c r="C415" i="49" s="1"/>
  <c r="E252" i="50"/>
  <c r="C412" i="49"/>
  <c r="K40" i="50"/>
  <c r="P54" i="50"/>
  <c r="K73" i="50"/>
  <c r="K117" i="50"/>
  <c r="K122" i="50"/>
  <c r="K37" i="50"/>
  <c r="K19" i="50"/>
  <c r="K23" i="50"/>
  <c r="K28" i="50"/>
  <c r="K49" i="50"/>
  <c r="K106" i="50"/>
  <c r="K13" i="50"/>
  <c r="K63" i="50"/>
  <c r="K83" i="50"/>
  <c r="C250" i="49"/>
  <c r="S5" i="50"/>
  <c r="V5" i="50" s="1"/>
  <c r="K112" i="50"/>
  <c r="O30" i="50"/>
  <c r="P47" i="50"/>
  <c r="K71" i="50"/>
  <c r="K113" i="50"/>
  <c r="K15" i="50"/>
  <c r="O15" i="50"/>
  <c r="V15" i="50" s="1"/>
  <c r="K76" i="50"/>
  <c r="R68" i="49"/>
  <c r="O4" i="50"/>
  <c r="V4" i="50" s="1"/>
  <c r="K84" i="50"/>
  <c r="O84" i="50"/>
  <c r="O117" i="50"/>
  <c r="O130" i="50"/>
  <c r="C201" i="49"/>
  <c r="S81" i="50"/>
  <c r="K101" i="50"/>
  <c r="O115" i="50"/>
  <c r="W288" i="50"/>
  <c r="X288" i="50" s="1"/>
  <c r="Y253" i="50"/>
  <c r="X253" i="50"/>
  <c r="Y222" i="50"/>
  <c r="Z222" i="50"/>
  <c r="Y247" i="50"/>
  <c r="X247" i="50"/>
  <c r="K81" i="50"/>
  <c r="K96" i="50"/>
  <c r="Y240" i="50"/>
  <c r="X246" i="50"/>
  <c r="K78" i="50"/>
  <c r="O81" i="50"/>
  <c r="S96" i="50"/>
  <c r="K114" i="50"/>
  <c r="Z240" i="50"/>
  <c r="Y246" i="50"/>
  <c r="K130" i="50"/>
  <c r="D257" i="50"/>
  <c r="K85" i="50"/>
  <c r="Z305" i="50"/>
  <c r="Q68" i="49"/>
  <c r="K20" i="50"/>
  <c r="K118" i="50"/>
  <c r="C45" i="49"/>
  <c r="O105" i="50"/>
  <c r="C42" i="49"/>
  <c r="C48" i="49" s="1"/>
  <c r="K8" i="50"/>
  <c r="K131" i="50"/>
  <c r="N68" i="49"/>
  <c r="O131" i="50"/>
  <c r="K21" i="50"/>
  <c r="K68" i="50"/>
  <c r="K102" i="50"/>
  <c r="R131" i="50"/>
  <c r="AI312" i="50"/>
  <c r="AJ312" i="50" s="1"/>
  <c r="C94" i="49"/>
  <c r="C100" i="49" s="1"/>
  <c r="K9" i="50"/>
  <c r="E259" i="50"/>
  <c r="K18" i="50"/>
  <c r="Y216" i="50"/>
  <c r="S14" i="50"/>
  <c r="C198" i="49"/>
  <c r="C204" i="49" s="1"/>
  <c r="O18" i="50"/>
  <c r="O129" i="50"/>
  <c r="O132" i="50"/>
  <c r="K54" i="50"/>
  <c r="S57" i="50"/>
  <c r="E256" i="50"/>
  <c r="X141" i="50"/>
  <c r="Y261" i="50"/>
  <c r="X261" i="50"/>
  <c r="X184" i="50"/>
  <c r="Y184" i="50"/>
  <c r="Y285" i="50"/>
  <c r="X285" i="50"/>
  <c r="Z217" i="50"/>
  <c r="Y217" i="50"/>
  <c r="X217" i="50"/>
  <c r="Z207" i="50"/>
  <c r="Y207" i="50"/>
  <c r="X207" i="50"/>
  <c r="X254" i="50"/>
  <c r="Y254" i="50"/>
  <c r="Z254" i="50"/>
  <c r="Z255" i="50"/>
  <c r="Y255" i="50"/>
  <c r="X255" i="50"/>
  <c r="Z259" i="50"/>
  <c r="Y259" i="50"/>
  <c r="X259" i="50"/>
  <c r="Z304" i="50"/>
  <c r="Y304" i="50"/>
  <c r="X304" i="50"/>
  <c r="X284" i="50"/>
  <c r="K12" i="50"/>
  <c r="K45" i="50"/>
  <c r="O48" i="50"/>
  <c r="K67" i="50"/>
  <c r="K100" i="50"/>
  <c r="K103" i="50"/>
  <c r="Y208" i="50"/>
  <c r="Y251" i="50"/>
  <c r="Z284" i="50"/>
  <c r="AI311" i="50"/>
  <c r="Y308" i="50"/>
  <c r="R100" i="50"/>
  <c r="O123" i="50"/>
  <c r="K61" i="50"/>
  <c r="Z244" i="50"/>
  <c r="R9" i="50"/>
  <c r="K52" i="50"/>
  <c r="S58" i="50"/>
  <c r="O61" i="50"/>
  <c r="O64" i="50"/>
  <c r="V64" i="50" s="1"/>
  <c r="K79" i="50"/>
  <c r="Z141" i="50"/>
  <c r="Y145" i="50"/>
  <c r="X149" i="50"/>
  <c r="D230" i="50"/>
  <c r="D236" i="50"/>
  <c r="S28" i="50"/>
  <c r="O28" i="50"/>
  <c r="K115" i="50"/>
  <c r="E233" i="50"/>
  <c r="O6" i="50"/>
  <c r="V6" i="50" s="1"/>
  <c r="K31" i="50"/>
  <c r="O52" i="50"/>
  <c r="AH296" i="50"/>
  <c r="AJ299" i="50" s="1"/>
  <c r="Y169" i="50"/>
  <c r="E230" i="50"/>
  <c r="Y233" i="50"/>
  <c r="E257" i="50"/>
  <c r="S40" i="50"/>
  <c r="E235" i="50"/>
  <c r="C97" i="49"/>
  <c r="R22" i="50"/>
  <c r="V22" i="50" s="1"/>
  <c r="O31" i="50"/>
  <c r="O85" i="50"/>
  <c r="K98" i="50"/>
  <c r="O118" i="50"/>
  <c r="K132" i="50"/>
  <c r="X153" i="50"/>
  <c r="Z169" i="50"/>
  <c r="Y215" i="50"/>
  <c r="D255" i="50"/>
  <c r="S45" i="50"/>
  <c r="Z308" i="50"/>
  <c r="O37" i="50"/>
  <c r="O40" i="50"/>
  <c r="P43" i="50"/>
  <c r="O49" i="50"/>
  <c r="O68" i="50"/>
  <c r="R85" i="50"/>
  <c r="K88" i="50"/>
  <c r="R98" i="50"/>
  <c r="O101" i="50"/>
  <c r="R118" i="50"/>
  <c r="K124" i="50"/>
  <c r="Y153" i="50"/>
  <c r="Y161" i="50"/>
  <c r="Z165" i="50"/>
  <c r="Z203" i="50"/>
  <c r="E255" i="50"/>
  <c r="E260" i="50"/>
  <c r="S53" i="50"/>
  <c r="S33" i="50"/>
  <c r="V19" i="49"/>
  <c r="O68" i="49"/>
  <c r="K10" i="50"/>
  <c r="K17" i="50"/>
  <c r="R40" i="50"/>
  <c r="S43" i="50"/>
  <c r="K65" i="50"/>
  <c r="R68" i="50"/>
  <c r="O71" i="50"/>
  <c r="K74" i="50"/>
  <c r="K77" i="50"/>
  <c r="K92" i="50"/>
  <c r="S98" i="50"/>
  <c r="K108" i="50"/>
  <c r="O111" i="50"/>
  <c r="K127" i="50"/>
  <c r="Z161" i="50"/>
  <c r="Z247" i="50"/>
  <c r="D253" i="50"/>
  <c r="S54" i="50"/>
  <c r="K123" i="50"/>
  <c r="Z193" i="50"/>
  <c r="O7" i="50"/>
  <c r="O17" i="50"/>
  <c r="V17" i="50" s="1"/>
  <c r="K59" i="50"/>
  <c r="O74" i="50"/>
  <c r="K80" i="50"/>
  <c r="O92" i="50"/>
  <c r="R124" i="50"/>
  <c r="Y150" i="50"/>
  <c r="Z157" i="50"/>
  <c r="X187" i="50"/>
  <c r="Z195" i="50"/>
  <c r="D234" i="50"/>
  <c r="E237" i="50"/>
  <c r="E253" i="50"/>
  <c r="V21" i="49"/>
  <c r="R7" i="50"/>
  <c r="S59" i="50"/>
  <c r="O80" i="50"/>
  <c r="O108" i="50"/>
  <c r="K111" i="50"/>
  <c r="Z150" i="50"/>
  <c r="Y187" i="50"/>
  <c r="X222" i="50"/>
  <c r="E231" i="50"/>
  <c r="E234" i="50"/>
  <c r="K70" i="50"/>
  <c r="K11" i="50"/>
  <c r="O14" i="50"/>
  <c r="O23" i="50"/>
  <c r="K27" i="50"/>
  <c r="K47" i="50"/>
  <c r="Z187" i="50"/>
  <c r="D261" i="50"/>
  <c r="X251" i="50"/>
  <c r="O70" i="50"/>
  <c r="K129" i="50"/>
  <c r="S68" i="49"/>
  <c r="O125" i="50"/>
  <c r="D251" i="50"/>
  <c r="E261" i="50"/>
  <c r="S106" i="50"/>
  <c r="K36" i="50"/>
  <c r="K42" i="50"/>
  <c r="C149" i="49"/>
  <c r="T68" i="49"/>
  <c r="C146" i="49"/>
  <c r="C152" i="49" s="1"/>
  <c r="O11" i="50"/>
  <c r="V11" i="50" s="1"/>
  <c r="O27" i="50"/>
  <c r="O41" i="50"/>
  <c r="O44" i="50"/>
  <c r="K57" i="50"/>
  <c r="K75" i="50"/>
  <c r="S111" i="50"/>
  <c r="E251" i="50"/>
  <c r="R27" i="50"/>
  <c r="N133" i="50"/>
  <c r="K90" i="50"/>
  <c r="K125" i="50"/>
  <c r="Z201" i="50"/>
  <c r="D232" i="50"/>
  <c r="D259" i="50"/>
  <c r="S132" i="50"/>
  <c r="D61" i="49"/>
  <c r="D66" i="49" s="1"/>
  <c r="K61" i="49"/>
  <c r="K66" i="49" s="1"/>
  <c r="G275" i="49"/>
  <c r="G117" i="49"/>
  <c r="L169" i="49"/>
  <c r="F62" i="49"/>
  <c r="F68" i="49" s="1"/>
  <c r="H117" i="49"/>
  <c r="K117" i="49"/>
  <c r="V36" i="50"/>
  <c r="AI133" i="50"/>
  <c r="R16" i="50"/>
  <c r="O16" i="50"/>
  <c r="K60" i="50"/>
  <c r="O60" i="50"/>
  <c r="R46" i="50"/>
  <c r="O46" i="50"/>
  <c r="S46" i="50"/>
  <c r="K46" i="50"/>
  <c r="K26" i="50"/>
  <c r="S29" i="50"/>
  <c r="R29" i="50"/>
  <c r="P46" i="50"/>
  <c r="O91" i="50"/>
  <c r="K91" i="50"/>
  <c r="K3" i="50"/>
  <c r="K5" i="50"/>
  <c r="K7" i="50"/>
  <c r="K16" i="50"/>
  <c r="S20" i="50"/>
  <c r="R20" i="50"/>
  <c r="K22" i="50"/>
  <c r="K25" i="50"/>
  <c r="K30" i="50"/>
  <c r="O38" i="50"/>
  <c r="K38" i="50"/>
  <c r="K48" i="50"/>
  <c r="R48" i="50"/>
  <c r="K4" i="50"/>
  <c r="K6" i="50"/>
  <c r="V13" i="50"/>
  <c r="K29" i="50"/>
  <c r="O34" i="50"/>
  <c r="K34" i="50"/>
  <c r="O39" i="50"/>
  <c r="K39" i="50"/>
  <c r="K55" i="50"/>
  <c r="S55" i="50"/>
  <c r="O55" i="50"/>
  <c r="S69" i="50"/>
  <c r="O69" i="50"/>
  <c r="K69" i="50"/>
  <c r="O3" i="50"/>
  <c r="S16" i="50"/>
  <c r="AE42" i="50"/>
  <c r="AE43" i="50" s="1"/>
  <c r="AE44" i="50" s="1"/>
  <c r="AE45" i="50" s="1"/>
  <c r="AE46" i="50" s="1"/>
  <c r="AE47" i="50" s="1"/>
  <c r="AE48" i="50" s="1"/>
  <c r="AE49" i="50" s="1"/>
  <c r="AE39" i="50"/>
  <c r="AE41" i="50" s="1"/>
  <c r="R35" i="50"/>
  <c r="O35" i="50"/>
  <c r="K35" i="50"/>
  <c r="O50" i="50"/>
  <c r="K50" i="50"/>
  <c r="S56" i="50"/>
  <c r="K56" i="50"/>
  <c r="K53" i="50"/>
  <c r="R53" i="50"/>
  <c r="O53" i="50"/>
  <c r="S19" i="50"/>
  <c r="O19" i="50"/>
  <c r="O32" i="50"/>
  <c r="V32" i="50" s="1"/>
  <c r="K32" i="50"/>
  <c r="P51" i="50"/>
  <c r="K51" i="50"/>
  <c r="S3" i="50"/>
  <c r="V8" i="50"/>
  <c r="O9" i="50"/>
  <c r="V10" i="50"/>
  <c r="K14" i="50"/>
  <c r="O20" i="50"/>
  <c r="K24" i="50"/>
  <c r="V25" i="50"/>
  <c r="AE36" i="50"/>
  <c r="AE38" i="50" s="1"/>
  <c r="AE40" i="50" s="1"/>
  <c r="P50" i="50"/>
  <c r="O56" i="50"/>
  <c r="S30" i="50"/>
  <c r="O45" i="50"/>
  <c r="P49" i="50"/>
  <c r="O109" i="50"/>
  <c r="S109" i="50"/>
  <c r="K109" i="50"/>
  <c r="X166" i="50"/>
  <c r="Z166" i="50"/>
  <c r="Y166" i="50"/>
  <c r="P42" i="50"/>
  <c r="R59" i="50"/>
  <c r="K62" i="50"/>
  <c r="O72" i="50"/>
  <c r="K72" i="50"/>
  <c r="S72" i="50"/>
  <c r="O82" i="50"/>
  <c r="K82" i="50"/>
  <c r="K119" i="50"/>
  <c r="O119" i="50"/>
  <c r="K41" i="50"/>
  <c r="R42" i="50"/>
  <c r="K43" i="50"/>
  <c r="S83" i="50"/>
  <c r="O83" i="50"/>
  <c r="K89" i="50"/>
  <c r="O33" i="50"/>
  <c r="K33" i="50"/>
  <c r="S42" i="50"/>
  <c r="P44" i="50"/>
  <c r="K44" i="50"/>
  <c r="K66" i="50"/>
  <c r="K86" i="50"/>
  <c r="O58" i="50"/>
  <c r="O63" i="50"/>
  <c r="O66" i="50"/>
  <c r="R79" i="50"/>
  <c r="O79" i="50"/>
  <c r="K94" i="50"/>
  <c r="S95" i="50"/>
  <c r="K95" i="50"/>
  <c r="K99" i="50"/>
  <c r="K104" i="50"/>
  <c r="O112" i="50"/>
  <c r="O90" i="50"/>
  <c r="O94" i="50"/>
  <c r="K107" i="50"/>
  <c r="S107" i="50"/>
  <c r="O120" i="50"/>
  <c r="R120" i="50"/>
  <c r="K120" i="50"/>
  <c r="R94" i="50"/>
  <c r="O95" i="50"/>
  <c r="O116" i="50"/>
  <c r="K116" i="50"/>
  <c r="K93" i="50"/>
  <c r="O107" i="50"/>
  <c r="S120" i="50"/>
  <c r="K126" i="50"/>
  <c r="R126" i="50"/>
  <c r="O126" i="50"/>
  <c r="X146" i="50"/>
  <c r="Z146" i="50"/>
  <c r="Y146" i="50"/>
  <c r="O114" i="50"/>
  <c r="K87" i="50"/>
  <c r="R87" i="50"/>
  <c r="K97" i="50"/>
  <c r="S97" i="50"/>
  <c r="R105" i="50"/>
  <c r="K105" i="50"/>
  <c r="AE187" i="50"/>
  <c r="AE188" i="50" s="1"/>
  <c r="AE189" i="50" s="1"/>
  <c r="AE190" i="50" s="1"/>
  <c r="AE191" i="50" s="1"/>
  <c r="AE192" i="50" s="1"/>
  <c r="AE193" i="50" s="1"/>
  <c r="AE194" i="50" s="1"/>
  <c r="AE195" i="50" s="1"/>
  <c r="AE196" i="50" s="1"/>
  <c r="AE197" i="50" s="1"/>
  <c r="AE198" i="50" s="1"/>
  <c r="AE199" i="50" s="1"/>
  <c r="AE165" i="50"/>
  <c r="AE166" i="50" s="1"/>
  <c r="AE167" i="50" s="1"/>
  <c r="AE168" i="50" s="1"/>
  <c r="AE169" i="50" s="1"/>
  <c r="AE170" i="50" s="1"/>
  <c r="AE171" i="50" s="1"/>
  <c r="AE172" i="50" s="1"/>
  <c r="AE173" i="50" s="1"/>
  <c r="O113" i="50"/>
  <c r="S122" i="50"/>
  <c r="O122" i="50"/>
  <c r="O128" i="50"/>
  <c r="K128" i="50"/>
  <c r="Z183" i="50"/>
  <c r="Y183" i="50"/>
  <c r="X183" i="50"/>
  <c r="X159" i="50"/>
  <c r="Z159" i="50"/>
  <c r="Y159" i="50"/>
  <c r="Z174" i="50"/>
  <c r="X174" i="50"/>
  <c r="Y174" i="50"/>
  <c r="Y181" i="50"/>
  <c r="X181" i="50"/>
  <c r="Z181" i="50"/>
  <c r="X239" i="50"/>
  <c r="Y239" i="50"/>
  <c r="Z239" i="50"/>
  <c r="X167" i="50"/>
  <c r="Z167" i="50"/>
  <c r="Y167" i="50"/>
  <c r="O110" i="50"/>
  <c r="K110" i="50"/>
  <c r="O121" i="50"/>
  <c r="K121" i="50"/>
  <c r="Y147" i="50"/>
  <c r="Z147" i="50"/>
  <c r="X147" i="50"/>
  <c r="X196" i="50"/>
  <c r="Z196" i="50"/>
  <c r="Y196" i="50"/>
  <c r="Y151" i="50"/>
  <c r="Z151" i="50"/>
  <c r="X151" i="50"/>
  <c r="X156" i="50"/>
  <c r="Y156" i="50"/>
  <c r="X160" i="50"/>
  <c r="Z160" i="50"/>
  <c r="Y160" i="50"/>
  <c r="Z173" i="50"/>
  <c r="X173" i="50"/>
  <c r="Y173" i="50"/>
  <c r="X158" i="50"/>
  <c r="Z158" i="50"/>
  <c r="Y158" i="50"/>
  <c r="X164" i="50"/>
  <c r="Y164" i="50"/>
  <c r="X168" i="50"/>
  <c r="Z168" i="50"/>
  <c r="Y168" i="50"/>
  <c r="O124" i="50"/>
  <c r="Y144" i="50"/>
  <c r="X145" i="50"/>
  <c r="Y157" i="50"/>
  <c r="Y165" i="50"/>
  <c r="Z177" i="50"/>
  <c r="Y177" i="50"/>
  <c r="X177" i="50"/>
  <c r="X188" i="50"/>
  <c r="Z188" i="50"/>
  <c r="Y188" i="50"/>
  <c r="X237" i="50"/>
  <c r="Z237" i="50"/>
  <c r="Y237" i="50"/>
  <c r="Z185" i="50"/>
  <c r="Y185" i="50"/>
  <c r="X185" i="50"/>
  <c r="X204" i="50"/>
  <c r="Z204" i="50"/>
  <c r="Y204" i="50"/>
  <c r="X148" i="50"/>
  <c r="Z149" i="50"/>
  <c r="Z152" i="50"/>
  <c r="Y152" i="50"/>
  <c r="Z171" i="50"/>
  <c r="X171" i="50"/>
  <c r="Z172" i="50"/>
  <c r="X172" i="50"/>
  <c r="Z178" i="50"/>
  <c r="Y178" i="50"/>
  <c r="X178" i="50"/>
  <c r="X189" i="50"/>
  <c r="Z189" i="50"/>
  <c r="Y189" i="50"/>
  <c r="Z211" i="50"/>
  <c r="Y211" i="50"/>
  <c r="X211" i="50"/>
  <c r="Y214" i="50"/>
  <c r="Z214" i="50"/>
  <c r="Y243" i="50"/>
  <c r="X243" i="50"/>
  <c r="Z243" i="50"/>
  <c r="Z252" i="50"/>
  <c r="Y252" i="50"/>
  <c r="X252" i="50"/>
  <c r="Y148" i="50"/>
  <c r="X176" i="50"/>
  <c r="Z176" i="50"/>
  <c r="X197" i="50"/>
  <c r="Z197" i="50"/>
  <c r="Y197" i="50"/>
  <c r="X210" i="50"/>
  <c r="Z210" i="50"/>
  <c r="Y210" i="50"/>
  <c r="X214" i="50"/>
  <c r="Z238" i="50"/>
  <c r="Y238" i="50"/>
  <c r="X238" i="50"/>
  <c r="X154" i="50"/>
  <c r="X162" i="50"/>
  <c r="Z170" i="50"/>
  <c r="X170" i="50"/>
  <c r="Z186" i="50"/>
  <c r="Y186" i="50"/>
  <c r="X186" i="50"/>
  <c r="X205" i="50"/>
  <c r="Z205" i="50"/>
  <c r="Y205" i="50"/>
  <c r="Y142" i="50"/>
  <c r="X143" i="50"/>
  <c r="Y154" i="50"/>
  <c r="Y155" i="50"/>
  <c r="Y162" i="50"/>
  <c r="Y163" i="50"/>
  <c r="Y170" i="50"/>
  <c r="Y175" i="50"/>
  <c r="X175" i="50"/>
  <c r="Z182" i="50"/>
  <c r="Y182" i="50"/>
  <c r="X182" i="50"/>
  <c r="X192" i="50"/>
  <c r="Z192" i="50"/>
  <c r="Y192" i="50"/>
  <c r="X225" i="50"/>
  <c r="Z225" i="50"/>
  <c r="Y225" i="50"/>
  <c r="Z142" i="50"/>
  <c r="Z143" i="50"/>
  <c r="X144" i="50"/>
  <c r="Z154" i="50"/>
  <c r="Z155" i="50"/>
  <c r="Z162" i="50"/>
  <c r="Z163" i="50"/>
  <c r="Z175" i="50"/>
  <c r="Z179" i="50"/>
  <c r="Y179" i="50"/>
  <c r="X200" i="50"/>
  <c r="Z200" i="50"/>
  <c r="Y200" i="50"/>
  <c r="Z221" i="50"/>
  <c r="X221" i="50"/>
  <c r="Y221" i="50"/>
  <c r="AI296" i="50"/>
  <c r="Z184" i="50"/>
  <c r="Z208" i="50"/>
  <c r="Z215" i="50"/>
  <c r="Z216" i="50"/>
  <c r="Y220" i="50"/>
  <c r="X220" i="50"/>
  <c r="Z227" i="50"/>
  <c r="X227" i="50"/>
  <c r="X233" i="50"/>
  <c r="Z235" i="50"/>
  <c r="X235" i="50"/>
  <c r="Y241" i="50"/>
  <c r="Z241" i="50"/>
  <c r="X190" i="50"/>
  <c r="X198" i="50"/>
  <c r="X206" i="50"/>
  <c r="X224" i="50"/>
  <c r="Y224" i="50"/>
  <c r="Z226" i="50"/>
  <c r="Y226" i="50"/>
  <c r="X226" i="50"/>
  <c r="X229" i="50"/>
  <c r="Z231" i="50"/>
  <c r="X231" i="50"/>
  <c r="Y236" i="50"/>
  <c r="Z236" i="50"/>
  <c r="X250" i="50"/>
  <c r="Y250" i="50"/>
  <c r="Z250" i="50"/>
  <c r="X180" i="50"/>
  <c r="Y190" i="50"/>
  <c r="Y191" i="50"/>
  <c r="Y198" i="50"/>
  <c r="Y199" i="50"/>
  <c r="Y206" i="50"/>
  <c r="Z209" i="50"/>
  <c r="Y209" i="50"/>
  <c r="Y212" i="50"/>
  <c r="Z218" i="50"/>
  <c r="Y218" i="50"/>
  <c r="Y219" i="50"/>
  <c r="Z219" i="50"/>
  <c r="Z223" i="50"/>
  <c r="Y223" i="50"/>
  <c r="X223" i="50"/>
  <c r="Z224" i="50"/>
  <c r="Y228" i="50"/>
  <c r="Z228" i="50"/>
  <c r="Y229" i="50"/>
  <c r="Y231" i="50"/>
  <c r="Y232" i="50"/>
  <c r="Z232" i="50"/>
  <c r="Z234" i="50"/>
  <c r="Y234" i="50"/>
  <c r="X234" i="50"/>
  <c r="X236" i="50"/>
  <c r="Z279" i="50"/>
  <c r="Y279" i="50"/>
  <c r="X279" i="50"/>
  <c r="Y180" i="50"/>
  <c r="Z190" i="50"/>
  <c r="Z191" i="50"/>
  <c r="Z198" i="50"/>
  <c r="Z199" i="50"/>
  <c r="Z206" i="50"/>
  <c r="X209" i="50"/>
  <c r="Z212" i="50"/>
  <c r="X218" i="50"/>
  <c r="X219" i="50"/>
  <c r="X228" i="50"/>
  <c r="Z229" i="50"/>
  <c r="Z230" i="50"/>
  <c r="Y230" i="50"/>
  <c r="X230" i="50"/>
  <c r="X232" i="50"/>
  <c r="Z245" i="50"/>
  <c r="Y245" i="50"/>
  <c r="X245" i="50"/>
  <c r="Y248" i="50"/>
  <c r="X248" i="50"/>
  <c r="Z248" i="50"/>
  <c r="Z249" i="50"/>
  <c r="Y249" i="50"/>
  <c r="Z260" i="50"/>
  <c r="Y260" i="50"/>
  <c r="X260" i="50"/>
  <c r="Z180" i="50"/>
  <c r="Y193" i="50"/>
  <c r="Y201" i="50"/>
  <c r="X249" i="50"/>
  <c r="Z256" i="50"/>
  <c r="Y256" i="50"/>
  <c r="X256" i="50"/>
  <c r="Y286" i="50"/>
  <c r="X286" i="50"/>
  <c r="Z286" i="50"/>
  <c r="X194" i="50"/>
  <c r="X202" i="50"/>
  <c r="Z213" i="50"/>
  <c r="Y213" i="50"/>
  <c r="Z265" i="50"/>
  <c r="Y265" i="50"/>
  <c r="X265" i="50"/>
  <c r="Y194" i="50"/>
  <c r="Y195" i="50"/>
  <c r="Y202" i="50"/>
  <c r="Y203" i="50"/>
  <c r="X213" i="50"/>
  <c r="D233" i="50"/>
  <c r="D237" i="50"/>
  <c r="Z268" i="50"/>
  <c r="Y268" i="50"/>
  <c r="X268" i="50"/>
  <c r="Z271" i="50"/>
  <c r="Y271" i="50"/>
  <c r="X271" i="50"/>
  <c r="Z274" i="50"/>
  <c r="Y274" i="50"/>
  <c r="X274" i="50"/>
  <c r="Z282" i="50"/>
  <c r="Y282" i="50"/>
  <c r="X282" i="50"/>
  <c r="W311" i="50"/>
  <c r="Z303" i="50"/>
  <c r="Y303" i="50"/>
  <c r="Z257" i="50"/>
  <c r="Z270" i="50"/>
  <c r="Y270" i="50"/>
  <c r="X270" i="50"/>
  <c r="Z276" i="50"/>
  <c r="Y276" i="50"/>
  <c r="X276" i="50"/>
  <c r="Z294" i="50"/>
  <c r="Y294" i="50"/>
  <c r="E232" i="50"/>
  <c r="E236" i="50"/>
  <c r="X242" i="50"/>
  <c r="X257" i="50"/>
  <c r="Y258" i="50"/>
  <c r="Y264" i="50"/>
  <c r="X264" i="50"/>
  <c r="Z267" i="50"/>
  <c r="Y267" i="50"/>
  <c r="X267" i="50"/>
  <c r="Z273" i="50"/>
  <c r="Y273" i="50"/>
  <c r="X273" i="50"/>
  <c r="Z281" i="50"/>
  <c r="Y281" i="50"/>
  <c r="X281" i="50"/>
  <c r="Z310" i="50"/>
  <c r="Y310" i="50"/>
  <c r="X310" i="50"/>
  <c r="D231" i="50"/>
  <c r="Y242" i="50"/>
  <c r="Z253" i="50"/>
  <c r="Y257" i="50"/>
  <c r="Z258" i="50"/>
  <c r="Z264" i="50"/>
  <c r="Z278" i="50"/>
  <c r="Y278" i="50"/>
  <c r="X278" i="50"/>
  <c r="Z307" i="50"/>
  <c r="Y307" i="50"/>
  <c r="AI313" i="50"/>
  <c r="Z263" i="50"/>
  <c r="Y263" i="50"/>
  <c r="X263" i="50"/>
  <c r="Z269" i="50"/>
  <c r="Y269" i="50"/>
  <c r="X269" i="50"/>
  <c r="Z275" i="50"/>
  <c r="Y275" i="50"/>
  <c r="X275" i="50"/>
  <c r="Z266" i="50"/>
  <c r="Y266" i="50"/>
  <c r="X266" i="50"/>
  <c r="Z272" i="50"/>
  <c r="Y272" i="50"/>
  <c r="X272" i="50"/>
  <c r="Z280" i="50"/>
  <c r="Y280" i="50"/>
  <c r="X280" i="50"/>
  <c r="Z283" i="50"/>
  <c r="Y283" i="50"/>
  <c r="X283" i="50"/>
  <c r="Z287" i="50"/>
  <c r="Y287" i="50"/>
  <c r="X287" i="50"/>
  <c r="Z306" i="50"/>
  <c r="Y306" i="50"/>
  <c r="X306" i="50"/>
  <c r="X244" i="50"/>
  <c r="Y262" i="50"/>
  <c r="X262" i="50"/>
  <c r="Z277" i="50"/>
  <c r="Y277" i="50"/>
  <c r="X277" i="50"/>
  <c r="D254" i="50"/>
  <c r="D258" i="50"/>
  <c r="Z261" i="50"/>
  <c r="D262" i="50"/>
  <c r="Z285" i="50"/>
  <c r="E250" i="50"/>
  <c r="E254" i="50"/>
  <c r="E258" i="50"/>
  <c r="E262" i="50"/>
  <c r="L289" i="50"/>
  <c r="W289" i="50" s="1"/>
  <c r="L291" i="50"/>
  <c r="W291" i="50" s="1"/>
  <c r="L293" i="50"/>
  <c r="W293" i="50" s="1"/>
  <c r="L295" i="50"/>
  <c r="W295" i="50" s="1"/>
  <c r="X305" i="50"/>
  <c r="X309" i="50"/>
  <c r="D252" i="50"/>
  <c r="D256" i="50"/>
  <c r="Y309" i="50"/>
  <c r="L290" i="50"/>
  <c r="W290" i="50" s="1"/>
  <c r="L292" i="50"/>
  <c r="W292" i="50" s="1"/>
  <c r="D275" i="49"/>
  <c r="E275" i="49"/>
  <c r="C61" i="49"/>
  <c r="C66" i="49" s="1"/>
  <c r="L16" i="49"/>
  <c r="R165" i="49"/>
  <c r="E328" i="49"/>
  <c r="E380" i="49"/>
  <c r="J11" i="49"/>
  <c r="J273" i="49" s="1"/>
  <c r="J326" i="49" s="1"/>
  <c r="J378" i="49" s="1"/>
  <c r="L117" i="49"/>
  <c r="S165" i="49"/>
  <c r="H275" i="49"/>
  <c r="F328" i="49"/>
  <c r="H380" i="49"/>
  <c r="P11" i="49"/>
  <c r="P273" i="49" s="1"/>
  <c r="P276" i="49" s="1"/>
  <c r="P279" i="49" s="1"/>
  <c r="R61" i="49"/>
  <c r="R323" i="49" s="1"/>
  <c r="E169" i="49"/>
  <c r="E221" i="49"/>
  <c r="I275" i="49"/>
  <c r="G328" i="49"/>
  <c r="I380" i="49"/>
  <c r="D62" i="49"/>
  <c r="D68" i="49" s="1"/>
  <c r="D380" i="49"/>
  <c r="H11" i="49"/>
  <c r="H63" i="49" s="1"/>
  <c r="L62" i="49"/>
  <c r="L68" i="49" s="1"/>
  <c r="L69" i="49" s="1"/>
  <c r="L14" i="50" s="1"/>
  <c r="L27" i="50" s="1"/>
  <c r="L11" i="49"/>
  <c r="L115" i="49" s="1"/>
  <c r="L14" i="49"/>
  <c r="F169" i="49"/>
  <c r="F221" i="49"/>
  <c r="J275" i="49"/>
  <c r="I328" i="49"/>
  <c r="J380" i="49"/>
  <c r="S11" i="49"/>
  <c r="S219" i="49" s="1"/>
  <c r="S222" i="49" s="1"/>
  <c r="S225" i="49" s="1"/>
  <c r="D117" i="49"/>
  <c r="I169" i="49"/>
  <c r="L275" i="49"/>
  <c r="M328" i="49"/>
  <c r="D11" i="49"/>
  <c r="D219" i="49" s="1"/>
  <c r="H114" i="49"/>
  <c r="H120" i="49" s="1"/>
  <c r="E117" i="49"/>
  <c r="M275" i="49"/>
  <c r="D17" i="49"/>
  <c r="D20" i="49" s="1"/>
  <c r="R19" i="49"/>
  <c r="R20" i="49"/>
  <c r="R21" i="49"/>
  <c r="E271" i="49"/>
  <c r="E217" i="49"/>
  <c r="E165" i="49"/>
  <c r="E61" i="49"/>
  <c r="E66" i="49" s="1"/>
  <c r="E11" i="49"/>
  <c r="E14" i="49"/>
  <c r="E17" i="49" s="1"/>
  <c r="E113" i="49"/>
  <c r="M271" i="49"/>
  <c r="M324" i="49" s="1"/>
  <c r="M376" i="49" s="1"/>
  <c r="M381" i="49" s="1"/>
  <c r="M217" i="49"/>
  <c r="M222" i="49" s="1"/>
  <c r="M61" i="49"/>
  <c r="M66" i="49" s="1"/>
  <c r="M165" i="49"/>
  <c r="M170" i="49" s="1"/>
  <c r="M113" i="49"/>
  <c r="M11" i="49"/>
  <c r="M14" i="49"/>
  <c r="U271" i="49"/>
  <c r="U324" i="49" s="1"/>
  <c r="U217" i="49"/>
  <c r="U165" i="49"/>
  <c r="U61" i="49"/>
  <c r="U323" i="49" s="1"/>
  <c r="U11" i="49"/>
  <c r="U113" i="49"/>
  <c r="U375" i="49" s="1"/>
  <c r="I218" i="49"/>
  <c r="I224" i="49" s="1"/>
  <c r="I166" i="49"/>
  <c r="I172" i="49" s="1"/>
  <c r="I62" i="49"/>
  <c r="I68" i="49" s="1"/>
  <c r="I16" i="49"/>
  <c r="I17" i="49" s="1"/>
  <c r="I272" i="49"/>
  <c r="I325" i="49" s="1"/>
  <c r="V117" i="49"/>
  <c r="V66" i="49"/>
  <c r="V69" i="49" s="1"/>
  <c r="F271" i="49"/>
  <c r="F165" i="49"/>
  <c r="F217" i="49"/>
  <c r="F14" i="49"/>
  <c r="F17" i="49" s="1"/>
  <c r="F113" i="49"/>
  <c r="F61" i="49"/>
  <c r="F66" i="49" s="1"/>
  <c r="N271" i="49"/>
  <c r="N324" i="49" s="1"/>
  <c r="N217" i="49"/>
  <c r="N165" i="49"/>
  <c r="N113" i="49"/>
  <c r="N375" i="49" s="1"/>
  <c r="X271" i="49"/>
  <c r="X324" i="49" s="1"/>
  <c r="X217" i="49"/>
  <c r="X165" i="49"/>
  <c r="X61" i="49"/>
  <c r="X323" i="49" s="1"/>
  <c r="X113" i="49"/>
  <c r="X375" i="49" s="1"/>
  <c r="J272" i="49"/>
  <c r="J166" i="49"/>
  <c r="J172" i="49" s="1"/>
  <c r="J62" i="49"/>
  <c r="J68" i="49" s="1"/>
  <c r="J16" i="49"/>
  <c r="J17" i="49" s="1"/>
  <c r="X28" i="48" s="1"/>
  <c r="J218" i="49"/>
  <c r="J224" i="49" s="1"/>
  <c r="N11" i="49"/>
  <c r="G165" i="49"/>
  <c r="G217" i="49"/>
  <c r="G271" i="49"/>
  <c r="G14" i="49"/>
  <c r="G17" i="49" s="1"/>
  <c r="G113" i="49"/>
  <c r="G61" i="49"/>
  <c r="G66" i="49" s="1"/>
  <c r="O217" i="49"/>
  <c r="O165" i="49"/>
  <c r="O271" i="49"/>
  <c r="O324" i="49" s="1"/>
  <c r="C218" i="49"/>
  <c r="C224" i="49" s="1"/>
  <c r="C166" i="49"/>
  <c r="C172" i="49" s="1"/>
  <c r="C272" i="49"/>
  <c r="C325" i="49" s="1"/>
  <c r="C114" i="49"/>
  <c r="C120" i="49" s="1"/>
  <c r="C16" i="49"/>
  <c r="C17" i="49" s="1"/>
  <c r="C11" i="49"/>
  <c r="K218" i="49"/>
  <c r="K224" i="49" s="1"/>
  <c r="K272" i="49"/>
  <c r="K325" i="49" s="1"/>
  <c r="K166" i="49"/>
  <c r="K172" i="49" s="1"/>
  <c r="K114" i="49"/>
  <c r="K120" i="49" s="1"/>
  <c r="K16" i="49"/>
  <c r="K17" i="49" s="1"/>
  <c r="K62" i="49"/>
  <c r="K68" i="49" s="1"/>
  <c r="K11" i="49"/>
  <c r="O11" i="49"/>
  <c r="I114" i="49"/>
  <c r="I120" i="49" s="1"/>
  <c r="X169" i="49"/>
  <c r="I271" i="49"/>
  <c r="I217" i="49"/>
  <c r="I165" i="49"/>
  <c r="I113" i="49"/>
  <c r="I61" i="49"/>
  <c r="I66" i="49" s="1"/>
  <c r="I11" i="49"/>
  <c r="Q217" i="49"/>
  <c r="Q165" i="49"/>
  <c r="Q113" i="49"/>
  <c r="Q375" i="49" s="1"/>
  <c r="Q61" i="49"/>
  <c r="Q323" i="49" s="1"/>
  <c r="Q11" i="49"/>
  <c r="E272" i="49"/>
  <c r="E325" i="49" s="1"/>
  <c r="E377" i="49" s="1"/>
  <c r="E383" i="49" s="1"/>
  <c r="E114" i="49"/>
  <c r="E120" i="49" s="1"/>
  <c r="E166" i="49"/>
  <c r="E172" i="49" s="1"/>
  <c r="E62" i="49"/>
  <c r="E68" i="49" s="1"/>
  <c r="M272" i="49"/>
  <c r="M325" i="49" s="1"/>
  <c r="M377" i="49" s="1"/>
  <c r="M383" i="49" s="1"/>
  <c r="M218" i="49"/>
  <c r="M224" i="49" s="1"/>
  <c r="M114" i="49"/>
  <c r="M120" i="49" s="1"/>
  <c r="M166" i="49"/>
  <c r="M172" i="49" s="1"/>
  <c r="R273" i="49"/>
  <c r="R276" i="49" s="1"/>
  <c r="R279" i="49" s="1"/>
  <c r="R219" i="49"/>
  <c r="R222" i="49" s="1"/>
  <c r="R225" i="49" s="1"/>
  <c r="R167" i="49"/>
  <c r="R170" i="49" s="1"/>
  <c r="R173" i="49" s="1"/>
  <c r="R63" i="49"/>
  <c r="R66" i="49" s="1"/>
  <c r="R69" i="49" s="1"/>
  <c r="R115" i="49"/>
  <c r="R118" i="49" s="1"/>
  <c r="R121" i="49" s="1"/>
  <c r="F11" i="49"/>
  <c r="M16" i="49"/>
  <c r="J120" i="49"/>
  <c r="G11" i="49"/>
  <c r="W273" i="49"/>
  <c r="W219" i="49"/>
  <c r="W167" i="49"/>
  <c r="W170" i="49" s="1"/>
  <c r="W173" i="49" s="1"/>
  <c r="W115" i="49"/>
  <c r="W118" i="49" s="1"/>
  <c r="W121" i="49" s="1"/>
  <c r="W14" i="49"/>
  <c r="W17" i="49" s="1"/>
  <c r="W63" i="49"/>
  <c r="W66" i="49" s="1"/>
  <c r="W69" i="49" s="1"/>
  <c r="N61" i="49"/>
  <c r="N323" i="49" s="1"/>
  <c r="O113" i="49"/>
  <c r="O375" i="49" s="1"/>
  <c r="E218" i="49"/>
  <c r="E224" i="49" s="1"/>
  <c r="X11" i="49"/>
  <c r="O61" i="49"/>
  <c r="O323" i="49" s="1"/>
  <c r="M62" i="49"/>
  <c r="M68" i="49" s="1"/>
  <c r="Q271" i="49"/>
  <c r="Q324" i="49" s="1"/>
  <c r="H271" i="49"/>
  <c r="H324" i="49" s="1"/>
  <c r="H376" i="49" s="1"/>
  <c r="H217" i="49"/>
  <c r="H165" i="49"/>
  <c r="H61" i="49"/>
  <c r="H66" i="49" s="1"/>
  <c r="P271" i="49"/>
  <c r="P324" i="49" s="1"/>
  <c r="P217" i="49"/>
  <c r="P165" i="49"/>
  <c r="P61" i="49"/>
  <c r="P323" i="49" s="1"/>
  <c r="D272" i="49"/>
  <c r="D325" i="49" s="1"/>
  <c r="D377" i="49" s="1"/>
  <c r="D383" i="49" s="1"/>
  <c r="D218" i="49"/>
  <c r="D224" i="49" s="1"/>
  <c r="D166" i="49"/>
  <c r="D172" i="49" s="1"/>
  <c r="D114" i="49"/>
  <c r="D120" i="49" s="1"/>
  <c r="L272" i="49"/>
  <c r="L325" i="49" s="1"/>
  <c r="L377" i="49" s="1"/>
  <c r="L383" i="49" s="1"/>
  <c r="L218" i="49"/>
  <c r="L224" i="49" s="1"/>
  <c r="L114" i="49"/>
  <c r="L120" i="49" s="1"/>
  <c r="J271" i="49"/>
  <c r="J324" i="49" s="1"/>
  <c r="J376" i="49" s="1"/>
  <c r="J165" i="49"/>
  <c r="J217" i="49"/>
  <c r="J113" i="49"/>
  <c r="J118" i="49" s="1"/>
  <c r="R271" i="49"/>
  <c r="R324" i="49" s="1"/>
  <c r="R217" i="49"/>
  <c r="R113" i="49"/>
  <c r="R375" i="49" s="1"/>
  <c r="F218" i="49"/>
  <c r="F224" i="49" s="1"/>
  <c r="F272" i="49"/>
  <c r="F325" i="49" s="1"/>
  <c r="F377" i="49" s="1"/>
  <c r="F383" i="49" s="1"/>
  <c r="F166" i="49"/>
  <c r="F172" i="49" s="1"/>
  <c r="F114" i="49"/>
  <c r="F120" i="49" s="1"/>
  <c r="H16" i="49"/>
  <c r="H17" i="49" s="1"/>
  <c r="H68" i="49"/>
  <c r="P68" i="49"/>
  <c r="C217" i="49"/>
  <c r="C222" i="49" s="1"/>
  <c r="C271" i="49"/>
  <c r="C113" i="49"/>
  <c r="C118" i="49" s="1"/>
  <c r="K217" i="49"/>
  <c r="K271" i="49"/>
  <c r="K324" i="49" s="1"/>
  <c r="K376" i="49" s="1"/>
  <c r="K381" i="49" s="1"/>
  <c r="K165" i="49"/>
  <c r="K113" i="49"/>
  <c r="S217" i="49"/>
  <c r="S271" i="49"/>
  <c r="S324" i="49" s="1"/>
  <c r="S113" i="49"/>
  <c r="S375" i="49" s="1"/>
  <c r="G272" i="49"/>
  <c r="G325" i="49" s="1"/>
  <c r="G377" i="49" s="1"/>
  <c r="G383" i="49" s="1"/>
  <c r="G218" i="49"/>
  <c r="G224" i="49" s="1"/>
  <c r="G62" i="49"/>
  <c r="G68" i="49" s="1"/>
  <c r="T11" i="49"/>
  <c r="J61" i="49"/>
  <c r="J66" i="49" s="1"/>
  <c r="H113" i="49"/>
  <c r="C165" i="49"/>
  <c r="C170" i="49" s="1"/>
  <c r="G166" i="49"/>
  <c r="G172" i="49" s="1"/>
  <c r="D271" i="49"/>
  <c r="D165" i="49"/>
  <c r="D113" i="49"/>
  <c r="L271" i="49"/>
  <c r="L165" i="49"/>
  <c r="L113" i="49"/>
  <c r="L217" i="49"/>
  <c r="T217" i="49"/>
  <c r="T271" i="49"/>
  <c r="T324" i="49" s="1"/>
  <c r="T165" i="49"/>
  <c r="T113" i="49"/>
  <c r="T375" i="49" s="1"/>
  <c r="H272" i="49"/>
  <c r="H218" i="49"/>
  <c r="H224" i="49" s="1"/>
  <c r="G114" i="49"/>
  <c r="G120" i="49" s="1"/>
  <c r="H166" i="49"/>
  <c r="H172" i="49" s="1"/>
  <c r="D217" i="49"/>
  <c r="C68" i="49"/>
  <c r="W221" i="49"/>
  <c r="L172" i="49"/>
  <c r="C253" i="49"/>
  <c r="C254" i="49"/>
  <c r="I117" i="49"/>
  <c r="F117" i="49"/>
  <c r="M117" i="49"/>
  <c r="H169" i="49"/>
  <c r="K169" i="49"/>
  <c r="J169" i="49"/>
  <c r="G169" i="49"/>
  <c r="D169" i="49"/>
  <c r="J221" i="49"/>
  <c r="H221" i="49"/>
  <c r="G221" i="49"/>
  <c r="L221" i="49"/>
  <c r="D221" i="49"/>
  <c r="I221" i="49"/>
  <c r="K221" i="49"/>
  <c r="W376" i="49"/>
  <c r="W378" i="49" s="1"/>
  <c r="W381" i="49" s="1"/>
  <c r="W384" i="49" s="1"/>
  <c r="W326" i="49"/>
  <c r="W329" i="49" s="1"/>
  <c r="W332" i="49" s="1"/>
  <c r="K275" i="49"/>
  <c r="V376" i="49"/>
  <c r="V378" i="49" s="1"/>
  <c r="V381" i="49" s="1"/>
  <c r="V384" i="49" s="1"/>
  <c r="V326" i="49"/>
  <c r="V329" i="49" s="1"/>
  <c r="V332" i="49" s="1"/>
  <c r="H328" i="49"/>
  <c r="J328" i="49"/>
  <c r="C361" i="49"/>
  <c r="C360" i="49"/>
  <c r="C307" i="49"/>
  <c r="K328" i="49"/>
  <c r="D328" i="49"/>
  <c r="C357" i="49"/>
  <c r="F380" i="49"/>
  <c r="BG13" i="48" l="1"/>
  <c r="BI13" i="48" s="1"/>
  <c r="BJ13" i="48" s="1"/>
  <c r="Z288" i="50"/>
  <c r="BG17" i="48"/>
  <c r="BI17" i="48" s="1"/>
  <c r="BJ17" i="48" s="1"/>
  <c r="BC21" i="48"/>
  <c r="BE21" i="48" s="1"/>
  <c r="BF21" i="48" s="1"/>
  <c r="G118" i="49"/>
  <c r="G121" i="49" s="1"/>
  <c r="AA217" i="50"/>
  <c r="AJ217" i="50" s="1"/>
  <c r="BK19" i="48"/>
  <c r="BM19" i="48" s="1"/>
  <c r="BK16" i="48"/>
  <c r="BM16" i="48" s="1"/>
  <c r="BK15" i="48"/>
  <c r="BM15" i="48" s="1"/>
  <c r="BG20" i="48"/>
  <c r="BI20" i="48" s="1"/>
  <c r="BJ20" i="48" s="1"/>
  <c r="BG18" i="48"/>
  <c r="BI18" i="48" s="1"/>
  <c r="BJ18" i="48" s="1"/>
  <c r="BC26" i="48"/>
  <c r="BE26" i="48" s="1"/>
  <c r="BF26" i="48" s="1"/>
  <c r="BC24" i="48"/>
  <c r="BE24" i="48" s="1"/>
  <c r="BF24" i="48" s="1"/>
  <c r="BC25" i="48"/>
  <c r="BE25" i="48" s="1"/>
  <c r="BF25" i="48" s="1"/>
  <c r="BC22" i="48"/>
  <c r="BE22" i="48" s="1"/>
  <c r="BF22" i="48" s="1"/>
  <c r="BC23" i="48"/>
  <c r="BE23" i="48" s="1"/>
  <c r="BF23" i="48" s="1"/>
  <c r="BC27" i="48"/>
  <c r="BE27" i="48" s="1"/>
  <c r="BF27" i="48" s="1"/>
  <c r="AA145" i="50"/>
  <c r="AJ145" i="50" s="1"/>
  <c r="AA244" i="50"/>
  <c r="AJ244" i="50" s="1"/>
  <c r="AA208" i="50"/>
  <c r="AD208" i="50" s="1"/>
  <c r="V14" i="50"/>
  <c r="W14" i="50" s="1"/>
  <c r="Y14" i="50" s="1"/>
  <c r="AA149" i="50"/>
  <c r="AD149" i="50" s="1"/>
  <c r="AF149" i="50" s="1"/>
  <c r="K118" i="49"/>
  <c r="K121" i="49" s="1"/>
  <c r="J121" i="49"/>
  <c r="J125" i="49" s="1"/>
  <c r="Y288" i="50"/>
  <c r="V44" i="50"/>
  <c r="AA240" i="50"/>
  <c r="AD240" i="50" s="1"/>
  <c r="AA261" i="50"/>
  <c r="AD261" i="50" s="1"/>
  <c r="AF261" i="50" s="1"/>
  <c r="D69" i="49"/>
  <c r="D73" i="49" s="1"/>
  <c r="AA233" i="50"/>
  <c r="AJ233" i="50" s="1"/>
  <c r="AA141" i="50"/>
  <c r="AJ141" i="50" s="1"/>
  <c r="AA287" i="50"/>
  <c r="AJ287" i="50" s="1"/>
  <c r="AA253" i="50"/>
  <c r="AD253" i="50" s="1"/>
  <c r="AF253" i="50" s="1"/>
  <c r="H381" i="49"/>
  <c r="C256" i="49"/>
  <c r="AA203" i="50"/>
  <c r="AD203" i="50" s="1"/>
  <c r="AA216" i="50"/>
  <c r="AJ216" i="50" s="1"/>
  <c r="AA309" i="50"/>
  <c r="AJ309" i="50" s="1"/>
  <c r="AA151" i="50"/>
  <c r="AD151" i="50" s="1"/>
  <c r="AF151" i="50" s="1"/>
  <c r="AA284" i="50"/>
  <c r="AD284" i="50" s="1"/>
  <c r="AF284" i="50" s="1"/>
  <c r="AA226" i="50"/>
  <c r="AJ226" i="50" s="1"/>
  <c r="AA247" i="50"/>
  <c r="AD247" i="50" s="1"/>
  <c r="AF247" i="50" s="1"/>
  <c r="AA212" i="50"/>
  <c r="AJ212" i="50" s="1"/>
  <c r="AA142" i="50"/>
  <c r="AJ142" i="50" s="1"/>
  <c r="AA169" i="50"/>
  <c r="AD169" i="50" s="1"/>
  <c r="AF169" i="50" s="1"/>
  <c r="AA308" i="50"/>
  <c r="AD308" i="50" s="1"/>
  <c r="AF308" i="50" s="1"/>
  <c r="AA207" i="50"/>
  <c r="AJ207" i="50" s="1"/>
  <c r="AA246" i="50"/>
  <c r="AD246" i="50" s="1"/>
  <c r="AA222" i="50"/>
  <c r="AD222" i="50" s="1"/>
  <c r="AA206" i="50"/>
  <c r="AD206" i="50" s="1"/>
  <c r="AA188" i="50"/>
  <c r="AD188" i="50" s="1"/>
  <c r="AF188" i="50" s="1"/>
  <c r="AA305" i="50"/>
  <c r="AD305" i="50" s="1"/>
  <c r="AF305" i="50" s="1"/>
  <c r="D118" i="49"/>
  <c r="D121" i="49" s="1"/>
  <c r="H276" i="49"/>
  <c r="AA249" i="50"/>
  <c r="AD249" i="50" s="1"/>
  <c r="AF249" i="50" s="1"/>
  <c r="AA184" i="50"/>
  <c r="AJ184" i="50" s="1"/>
  <c r="AA195" i="50"/>
  <c r="AJ195" i="50" s="1"/>
  <c r="AA201" i="50"/>
  <c r="AD201" i="50" s="1"/>
  <c r="AA227" i="50"/>
  <c r="AD227" i="50" s="1"/>
  <c r="AA179" i="50"/>
  <c r="AJ179" i="50" s="1"/>
  <c r="E278" i="49"/>
  <c r="AA285" i="50"/>
  <c r="AJ285" i="50" s="1"/>
  <c r="K222" i="49"/>
  <c r="K225" i="49" s="1"/>
  <c r="K229" i="49" s="1"/>
  <c r="I170" i="49"/>
  <c r="I173" i="49" s="1"/>
  <c r="V33" i="50"/>
  <c r="AA234" i="50"/>
  <c r="AJ234" i="50" s="1"/>
  <c r="AA218" i="50"/>
  <c r="AD218" i="50" s="1"/>
  <c r="AA170" i="50"/>
  <c r="AD170" i="50" s="1"/>
  <c r="AF170" i="50" s="1"/>
  <c r="V27" i="50"/>
  <c r="W27" i="50" s="1"/>
  <c r="EV27" i="50" s="1"/>
  <c r="V7" i="50"/>
  <c r="AA236" i="50"/>
  <c r="AJ236" i="50" s="1"/>
  <c r="AA252" i="50"/>
  <c r="AD252" i="50" s="1"/>
  <c r="AF252" i="50" s="1"/>
  <c r="L170" i="49"/>
  <c r="L173" i="49" s="1"/>
  <c r="L176" i="49" s="1"/>
  <c r="AA267" i="50"/>
  <c r="AJ267" i="50" s="1"/>
  <c r="AA270" i="50"/>
  <c r="AJ270" i="50" s="1"/>
  <c r="AA192" i="50"/>
  <c r="AJ192" i="50" s="1"/>
  <c r="AA215" i="50"/>
  <c r="AD215" i="50" s="1"/>
  <c r="D21" i="49"/>
  <c r="AA238" i="50"/>
  <c r="AD238" i="50" s="1"/>
  <c r="H118" i="49"/>
  <c r="H121" i="49" s="1"/>
  <c r="H124" i="49" s="1"/>
  <c r="AA191" i="50"/>
  <c r="AD191" i="50" s="1"/>
  <c r="AF191" i="50" s="1"/>
  <c r="R23" i="49"/>
  <c r="R24" i="49" s="1"/>
  <c r="AA280" i="50"/>
  <c r="AD280" i="50" s="1"/>
  <c r="AF280" i="50" s="1"/>
  <c r="AA303" i="50"/>
  <c r="AJ303" i="50" s="1"/>
  <c r="AA255" i="50"/>
  <c r="AJ255" i="50" s="1"/>
  <c r="AA257" i="50"/>
  <c r="AJ257" i="50" s="1"/>
  <c r="AA307" i="50"/>
  <c r="AD307" i="50" s="1"/>
  <c r="AF307" i="50" s="1"/>
  <c r="AA263" i="50"/>
  <c r="AD263" i="50" s="1"/>
  <c r="AF263" i="50" s="1"/>
  <c r="AA250" i="50"/>
  <c r="AD250" i="50" s="1"/>
  <c r="AF250" i="50" s="1"/>
  <c r="AA235" i="50"/>
  <c r="AD235" i="50" s="1"/>
  <c r="AA210" i="50"/>
  <c r="AD210" i="50" s="1"/>
  <c r="AA248" i="50"/>
  <c r="AD248" i="50" s="1"/>
  <c r="AF248" i="50" s="1"/>
  <c r="AA156" i="50"/>
  <c r="AJ156" i="50" s="1"/>
  <c r="AA153" i="50"/>
  <c r="AJ153" i="50" s="1"/>
  <c r="AA306" i="50"/>
  <c r="AD306" i="50" s="1"/>
  <c r="AF306" i="50" s="1"/>
  <c r="AA281" i="50"/>
  <c r="AD281" i="50" s="1"/>
  <c r="AF281" i="50" s="1"/>
  <c r="AA232" i="50"/>
  <c r="AJ232" i="50" s="1"/>
  <c r="AA279" i="50"/>
  <c r="AJ279" i="50" s="1"/>
  <c r="AA221" i="50"/>
  <c r="AJ221" i="50" s="1"/>
  <c r="AA168" i="50"/>
  <c r="AD168" i="50" s="1"/>
  <c r="AF168" i="50" s="1"/>
  <c r="AA304" i="50"/>
  <c r="AD304" i="50" s="1"/>
  <c r="AF304" i="50" s="1"/>
  <c r="AA230" i="50"/>
  <c r="AD230" i="50" s="1"/>
  <c r="AA241" i="50"/>
  <c r="AJ241" i="50" s="1"/>
  <c r="AA265" i="50"/>
  <c r="AD265" i="50" s="1"/>
  <c r="AF265" i="50" s="1"/>
  <c r="AA196" i="50"/>
  <c r="AJ196" i="50" s="1"/>
  <c r="H329" i="49"/>
  <c r="AA147" i="50"/>
  <c r="AJ147" i="50" s="1"/>
  <c r="AA259" i="50"/>
  <c r="F69" i="49"/>
  <c r="L6" i="50" s="1"/>
  <c r="L32" i="50" s="1"/>
  <c r="W32" i="50" s="1"/>
  <c r="AA283" i="50"/>
  <c r="AD283" i="50" s="1"/>
  <c r="AF283" i="50" s="1"/>
  <c r="AA260" i="50"/>
  <c r="AD260" i="50" s="1"/>
  <c r="AF260" i="50" s="1"/>
  <c r="AA228" i="50"/>
  <c r="AJ228" i="50" s="1"/>
  <c r="V23" i="49"/>
  <c r="V26" i="49" s="1"/>
  <c r="G331" i="49"/>
  <c r="AA211" i="50"/>
  <c r="AJ211" i="50" s="1"/>
  <c r="AA173" i="50"/>
  <c r="AD173" i="50" s="1"/>
  <c r="AF173" i="50" s="1"/>
  <c r="AA187" i="50"/>
  <c r="AD187" i="50" s="1"/>
  <c r="AF187" i="50" s="1"/>
  <c r="AA202" i="50"/>
  <c r="AJ202" i="50" s="1"/>
  <c r="G278" i="49"/>
  <c r="K170" i="49"/>
  <c r="K173" i="49" s="1"/>
  <c r="F170" i="49"/>
  <c r="F173" i="49" s="1"/>
  <c r="AA277" i="50"/>
  <c r="AD277" i="50" s="1"/>
  <c r="AF277" i="50" s="1"/>
  <c r="AA175" i="50"/>
  <c r="AD175" i="50" s="1"/>
  <c r="AF175" i="50" s="1"/>
  <c r="AA182" i="50"/>
  <c r="AD182" i="50" s="1"/>
  <c r="AF182" i="50" s="1"/>
  <c r="AA165" i="50"/>
  <c r="AD165" i="50" s="1"/>
  <c r="AF165" i="50" s="1"/>
  <c r="AA160" i="50"/>
  <c r="AD160" i="50" s="1"/>
  <c r="AF160" i="50" s="1"/>
  <c r="AA159" i="50"/>
  <c r="AJ159" i="50" s="1"/>
  <c r="H170" i="49"/>
  <c r="H173" i="49" s="1"/>
  <c r="AA157" i="50"/>
  <c r="AD157" i="50" s="1"/>
  <c r="AF157" i="50" s="1"/>
  <c r="AA183" i="50"/>
  <c r="AJ183" i="50" s="1"/>
  <c r="AA294" i="50"/>
  <c r="AJ294" i="50" s="1"/>
  <c r="AA190" i="50"/>
  <c r="AJ190" i="50" s="1"/>
  <c r="AA177" i="50"/>
  <c r="AJ177" i="50" s="1"/>
  <c r="AA239" i="50"/>
  <c r="AJ239" i="50" s="1"/>
  <c r="AA176" i="50"/>
  <c r="AJ176" i="50" s="1"/>
  <c r="AA286" i="50"/>
  <c r="AD286" i="50" s="1"/>
  <c r="AF286" i="50" s="1"/>
  <c r="AA223" i="50"/>
  <c r="AJ223" i="50" s="1"/>
  <c r="AA154" i="50"/>
  <c r="AD154" i="50" s="1"/>
  <c r="AF154" i="50" s="1"/>
  <c r="AA162" i="50"/>
  <c r="AJ162" i="50" s="1"/>
  <c r="AA189" i="50"/>
  <c r="AD189" i="50" s="1"/>
  <c r="AF189" i="50" s="1"/>
  <c r="AA158" i="50"/>
  <c r="AD158" i="50" s="1"/>
  <c r="AF158" i="50" s="1"/>
  <c r="AA146" i="50"/>
  <c r="AD146" i="50" s="1"/>
  <c r="AF146" i="50" s="1"/>
  <c r="R133" i="50"/>
  <c r="AA275" i="50"/>
  <c r="AJ275" i="50" s="1"/>
  <c r="AA219" i="50"/>
  <c r="AJ219" i="50" s="1"/>
  <c r="AA163" i="50"/>
  <c r="AJ163" i="50" s="1"/>
  <c r="AA181" i="50"/>
  <c r="AJ181" i="50" s="1"/>
  <c r="AA269" i="50"/>
  <c r="AJ269" i="50" s="1"/>
  <c r="AA276" i="50"/>
  <c r="AJ276" i="50" s="1"/>
  <c r="AA256" i="50"/>
  <c r="AD256" i="50" s="1"/>
  <c r="AF256" i="50" s="1"/>
  <c r="AA143" i="50"/>
  <c r="AJ143" i="50" s="1"/>
  <c r="AA204" i="50"/>
  <c r="AD204" i="50" s="1"/>
  <c r="AA155" i="50"/>
  <c r="AD155" i="50" s="1"/>
  <c r="AF155" i="50" s="1"/>
  <c r="AA172" i="50"/>
  <c r="AJ172" i="50" s="1"/>
  <c r="AA185" i="50"/>
  <c r="AJ185" i="50" s="1"/>
  <c r="AA161" i="50"/>
  <c r="P219" i="49"/>
  <c r="P222" i="49" s="1"/>
  <c r="P225" i="49" s="1"/>
  <c r="P228" i="49" s="1"/>
  <c r="AA194" i="50"/>
  <c r="AJ194" i="50" s="1"/>
  <c r="AA243" i="50"/>
  <c r="AJ243" i="50" s="1"/>
  <c r="AA174" i="50"/>
  <c r="AJ174" i="50" s="1"/>
  <c r="L105" i="50"/>
  <c r="L131" i="50"/>
  <c r="V29" i="50"/>
  <c r="AA180" i="50"/>
  <c r="AD180" i="50" s="1"/>
  <c r="AF180" i="50" s="1"/>
  <c r="AA242" i="50"/>
  <c r="AJ242" i="50" s="1"/>
  <c r="AA245" i="50"/>
  <c r="AJ245" i="50" s="1"/>
  <c r="AA225" i="50"/>
  <c r="AD225" i="50" s="1"/>
  <c r="AA214" i="50"/>
  <c r="AD214" i="50" s="1"/>
  <c r="AA213" i="50"/>
  <c r="AJ213" i="50" s="1"/>
  <c r="AA272" i="50"/>
  <c r="AD272" i="50" s="1"/>
  <c r="AF272" i="50" s="1"/>
  <c r="AA231" i="50"/>
  <c r="AD231" i="50" s="1"/>
  <c r="AA209" i="50"/>
  <c r="AJ209" i="50" s="1"/>
  <c r="AA200" i="50"/>
  <c r="AD200" i="50" s="1"/>
  <c r="AA251" i="50"/>
  <c r="L17" i="49"/>
  <c r="X32" i="48" s="1"/>
  <c r="AA310" i="50"/>
  <c r="AJ310" i="50" s="1"/>
  <c r="AA258" i="50"/>
  <c r="AD258" i="50" s="1"/>
  <c r="AF258" i="50" s="1"/>
  <c r="AA229" i="50"/>
  <c r="AD229" i="50" s="1"/>
  <c r="AA237" i="50"/>
  <c r="AJ237" i="50" s="1"/>
  <c r="AA167" i="50"/>
  <c r="AD167" i="50" s="1"/>
  <c r="AF167" i="50" s="1"/>
  <c r="AA166" i="50"/>
  <c r="AD166" i="50" s="1"/>
  <c r="AF166" i="50" s="1"/>
  <c r="AA150" i="50"/>
  <c r="AA254" i="50"/>
  <c r="L331" i="49"/>
  <c r="AA199" i="50"/>
  <c r="AD199" i="50" s="1"/>
  <c r="AF199" i="50" s="1"/>
  <c r="AA205" i="50"/>
  <c r="AD205" i="50" s="1"/>
  <c r="AA164" i="50"/>
  <c r="AJ164" i="50" s="1"/>
  <c r="AA266" i="50"/>
  <c r="AD266" i="50" s="1"/>
  <c r="AF266" i="50" s="1"/>
  <c r="AA193" i="50"/>
  <c r="AJ193" i="50" s="1"/>
  <c r="AA198" i="50"/>
  <c r="AJ198" i="50" s="1"/>
  <c r="AA224" i="50"/>
  <c r="AD224" i="50" s="1"/>
  <c r="AA186" i="50"/>
  <c r="AD186" i="50" s="1"/>
  <c r="AF186" i="50" s="1"/>
  <c r="AA197" i="50"/>
  <c r="AJ197" i="50" s="1"/>
  <c r="D331" i="49"/>
  <c r="J276" i="49"/>
  <c r="D273" i="49"/>
  <c r="D326" i="49" s="1"/>
  <c r="D378" i="49" s="1"/>
  <c r="C69" i="49"/>
  <c r="L3" i="50" s="1"/>
  <c r="L53" i="50"/>
  <c r="L79" i="50"/>
  <c r="D278" i="49"/>
  <c r="L63" i="49"/>
  <c r="J329" i="49"/>
  <c r="K276" i="49"/>
  <c r="I118" i="49"/>
  <c r="I121" i="49" s="1"/>
  <c r="P167" i="49"/>
  <c r="P170" i="49" s="1"/>
  <c r="P173" i="49" s="1"/>
  <c r="P175" i="49" s="1"/>
  <c r="G222" i="49"/>
  <c r="G225" i="49" s="1"/>
  <c r="G229" i="49" s="1"/>
  <c r="J115" i="49"/>
  <c r="L92" i="50"/>
  <c r="L118" i="50"/>
  <c r="K329" i="49"/>
  <c r="E331" i="49"/>
  <c r="J170" i="49"/>
  <c r="J173" i="49" s="1"/>
  <c r="C278" i="49"/>
  <c r="L118" i="49"/>
  <c r="L121" i="49" s="1"/>
  <c r="L40" i="50"/>
  <c r="K69" i="49"/>
  <c r="K72" i="49" s="1"/>
  <c r="F222" i="49"/>
  <c r="F225" i="49" s="1"/>
  <c r="L66" i="50"/>
  <c r="Z292" i="50"/>
  <c r="Y292" i="50"/>
  <c r="X292" i="50"/>
  <c r="V50" i="50"/>
  <c r="V42" i="50"/>
  <c r="V102" i="50"/>
  <c r="V54" i="50"/>
  <c r="V125" i="50"/>
  <c r="V48" i="50"/>
  <c r="V18" i="50"/>
  <c r="V43" i="50"/>
  <c r="V91" i="50"/>
  <c r="Z290" i="50"/>
  <c r="Y290" i="50"/>
  <c r="X290" i="50"/>
  <c r="Z291" i="50"/>
  <c r="Y291" i="50"/>
  <c r="X291" i="50"/>
  <c r="AA282" i="50"/>
  <c r="AA152" i="50"/>
  <c r="V126" i="50"/>
  <c r="V58" i="50"/>
  <c r="V38" i="50"/>
  <c r="V89" i="50"/>
  <c r="V56" i="50"/>
  <c r="V20" i="50"/>
  <c r="V93" i="50"/>
  <c r="V34" i="50"/>
  <c r="V114" i="50"/>
  <c r="V74" i="50"/>
  <c r="AE55" i="50"/>
  <c r="AE56" i="50" s="1"/>
  <c r="AE57" i="50" s="1"/>
  <c r="AE58" i="50" s="1"/>
  <c r="AE59" i="50" s="1"/>
  <c r="AE60" i="50" s="1"/>
  <c r="AE61" i="50" s="1"/>
  <c r="AE62" i="50" s="1"/>
  <c r="AE50" i="50"/>
  <c r="AE51" i="50" s="1"/>
  <c r="AE52" i="50" s="1"/>
  <c r="AE53" i="50" s="1"/>
  <c r="AE54" i="50" s="1"/>
  <c r="V31" i="50"/>
  <c r="V78" i="50"/>
  <c r="V62" i="50"/>
  <c r="AA268" i="50"/>
  <c r="AA220" i="50"/>
  <c r="V124" i="50"/>
  <c r="P133" i="50"/>
  <c r="V115" i="50"/>
  <c r="V106" i="50"/>
  <c r="V60" i="50"/>
  <c r="V88" i="50"/>
  <c r="V87" i="50"/>
  <c r="V30" i="50"/>
  <c r="V72" i="50"/>
  <c r="V84" i="50"/>
  <c r="V57" i="50"/>
  <c r="V69" i="50"/>
  <c r="V117" i="50"/>
  <c r="AE200" i="50"/>
  <c r="AE201" i="50" s="1"/>
  <c r="AE202" i="50" s="1"/>
  <c r="AE203" i="50" s="1"/>
  <c r="AE204" i="50" s="1"/>
  <c r="AE205" i="50" s="1"/>
  <c r="AE206" i="50"/>
  <c r="AE207" i="50" s="1"/>
  <c r="AE208" i="50" s="1"/>
  <c r="AE209" i="50" s="1"/>
  <c r="AE210" i="50" s="1"/>
  <c r="AE211" i="50" s="1"/>
  <c r="AE212" i="50" s="1"/>
  <c r="AE213" i="50" s="1"/>
  <c r="AE214" i="50" s="1"/>
  <c r="AE215" i="50" s="1"/>
  <c r="AE216" i="50" s="1"/>
  <c r="AE217" i="50" s="1"/>
  <c r="AE218" i="50" s="1"/>
  <c r="AE219" i="50" s="1"/>
  <c r="AE220" i="50" s="1"/>
  <c r="AE221" i="50" s="1"/>
  <c r="AE222" i="50" s="1"/>
  <c r="AE223" i="50" s="1"/>
  <c r="AE224" i="50" s="1"/>
  <c r="AE225" i="50" s="1"/>
  <c r="AE226" i="50" s="1"/>
  <c r="AE227" i="50" s="1"/>
  <c r="AE228" i="50" s="1"/>
  <c r="AE229" i="50" s="1"/>
  <c r="AE230" i="50" s="1"/>
  <c r="AE231" i="50" s="1"/>
  <c r="AE232" i="50" s="1"/>
  <c r="AE233" i="50" s="1"/>
  <c r="AE234" i="50" s="1"/>
  <c r="AE235" i="50" s="1"/>
  <c r="AE236" i="50" s="1"/>
  <c r="AE237" i="50" s="1"/>
  <c r="AE238" i="50" s="1"/>
  <c r="AE239" i="50" s="1"/>
  <c r="AE240" i="50" s="1"/>
  <c r="AE241" i="50" s="1"/>
  <c r="AE242" i="50" s="1"/>
  <c r="AE243" i="50" s="1"/>
  <c r="AE244" i="50" s="1"/>
  <c r="AE245" i="50" s="1"/>
  <c r="AE246" i="50" s="1"/>
  <c r="V94" i="50"/>
  <c r="V51" i="50"/>
  <c r="V24" i="50"/>
  <c r="V68" i="50"/>
  <c r="V132" i="50"/>
  <c r="V21" i="50"/>
  <c r="V75" i="50"/>
  <c r="V100" i="50"/>
  <c r="V97" i="50"/>
  <c r="V70" i="50"/>
  <c r="V95" i="50"/>
  <c r="V130" i="50"/>
  <c r="V23" i="50"/>
  <c r="V46" i="50"/>
  <c r="AA264" i="50"/>
  <c r="Y311" i="50"/>
  <c r="AA274" i="50"/>
  <c r="V77" i="50"/>
  <c r="V105" i="50"/>
  <c r="V81" i="50"/>
  <c r="V28" i="50"/>
  <c r="V119" i="50"/>
  <c r="V47" i="50"/>
  <c r="S133" i="50"/>
  <c r="V101" i="50"/>
  <c r="V113" i="50"/>
  <c r="V96" i="50"/>
  <c r="V85" i="50"/>
  <c r="V71" i="50"/>
  <c r="V83" i="50"/>
  <c r="V108" i="50"/>
  <c r="V26" i="50"/>
  <c r="V104" i="50"/>
  <c r="V112" i="50"/>
  <c r="Z289" i="50"/>
  <c r="Y289" i="50"/>
  <c r="X289" i="50"/>
  <c r="AA273" i="50"/>
  <c r="Z311" i="50"/>
  <c r="AA144" i="50"/>
  <c r="AA171" i="50"/>
  <c r="AA148" i="50"/>
  <c r="V90" i="50"/>
  <c r="V40" i="50"/>
  <c r="V103" i="50"/>
  <c r="V79" i="50"/>
  <c r="V37" i="50"/>
  <c r="V67" i="50"/>
  <c r="V99" i="50"/>
  <c r="V127" i="50"/>
  <c r="V98" i="50"/>
  <c r="V110" i="50"/>
  <c r="V109" i="50"/>
  <c r="V39" i="50"/>
  <c r="V59" i="50"/>
  <c r="V49" i="50"/>
  <c r="AA278" i="50"/>
  <c r="V118" i="50"/>
  <c r="V116" i="50"/>
  <c r="V92" i="50"/>
  <c r="V76" i="50"/>
  <c r="V107" i="50"/>
  <c r="V35" i="50"/>
  <c r="V41" i="50"/>
  <c r="V73" i="50"/>
  <c r="V111" i="50"/>
  <c r="V123" i="50"/>
  <c r="V122" i="50"/>
  <c r="O133" i="50"/>
  <c r="V3" i="50"/>
  <c r="V55" i="50"/>
  <c r="V52" i="50"/>
  <c r="Z293" i="50"/>
  <c r="Y293" i="50"/>
  <c r="X293" i="50"/>
  <c r="V63" i="50"/>
  <c r="Z295" i="50"/>
  <c r="Y295" i="50"/>
  <c r="X295" i="50"/>
  <c r="AA262" i="50"/>
  <c r="AA271" i="50"/>
  <c r="X311" i="50"/>
  <c r="AA178" i="50"/>
  <c r="W296" i="50"/>
  <c r="V121" i="50"/>
  <c r="V66" i="50"/>
  <c r="V129" i="50"/>
  <c r="V131" i="50"/>
  <c r="V45" i="50"/>
  <c r="V128" i="50"/>
  <c r="V120" i="50"/>
  <c r="V80" i="50"/>
  <c r="V9" i="50"/>
  <c r="V86" i="50"/>
  <c r="V61" i="50"/>
  <c r="V53" i="50"/>
  <c r="V19" i="50"/>
  <c r="V82" i="50"/>
  <c r="V65" i="50"/>
  <c r="X78" i="48"/>
  <c r="J167" i="49"/>
  <c r="X62" i="48"/>
  <c r="H115" i="49"/>
  <c r="X34" i="48"/>
  <c r="X50" i="48"/>
  <c r="J219" i="49"/>
  <c r="E170" i="49"/>
  <c r="E173" i="49" s="1"/>
  <c r="E175" i="49" s="1"/>
  <c r="X149" i="48"/>
  <c r="J63" i="49"/>
  <c r="H167" i="49"/>
  <c r="P63" i="49"/>
  <c r="P66" i="49" s="1"/>
  <c r="P69" i="49" s="1"/>
  <c r="P72" i="49" s="1"/>
  <c r="X93" i="48"/>
  <c r="M69" i="49"/>
  <c r="L15" i="50" s="1"/>
  <c r="X65" i="48"/>
  <c r="H273" i="49"/>
  <c r="H326" i="49" s="1"/>
  <c r="H378" i="49" s="1"/>
  <c r="P14" i="49"/>
  <c r="P17" i="49" s="1"/>
  <c r="P19" i="49" s="1"/>
  <c r="P115" i="49"/>
  <c r="P118" i="49" s="1"/>
  <c r="P121" i="49" s="1"/>
  <c r="P125" i="49" s="1"/>
  <c r="X88" i="48"/>
  <c r="J381" i="49"/>
  <c r="H219" i="49"/>
  <c r="M276" i="49"/>
  <c r="X127" i="48"/>
  <c r="X101" i="48"/>
  <c r="X140" i="48"/>
  <c r="X114" i="48"/>
  <c r="X86" i="48"/>
  <c r="X125" i="48"/>
  <c r="X60" i="48"/>
  <c r="X92" i="48"/>
  <c r="X53" i="48"/>
  <c r="X79" i="48"/>
  <c r="X118" i="48"/>
  <c r="X66" i="48"/>
  <c r="X105" i="48"/>
  <c r="X40" i="48"/>
  <c r="X144" i="48"/>
  <c r="X131" i="48"/>
  <c r="L71" i="49"/>
  <c r="L73" i="49"/>
  <c r="L72" i="49"/>
  <c r="X31" i="48"/>
  <c r="X30" i="48"/>
  <c r="X29" i="48"/>
  <c r="E222" i="49"/>
  <c r="E225" i="49" s="1"/>
  <c r="E229" i="49" s="1"/>
  <c r="M329" i="49"/>
  <c r="L167" i="49"/>
  <c r="M225" i="49"/>
  <c r="M227" i="49" s="1"/>
  <c r="X73" i="48"/>
  <c r="X47" i="48"/>
  <c r="X104" i="48"/>
  <c r="X143" i="48"/>
  <c r="S14" i="49"/>
  <c r="S17" i="49" s="1"/>
  <c r="S63" i="49"/>
  <c r="S66" i="49" s="1"/>
  <c r="S69" i="49" s="1"/>
  <c r="X90" i="48"/>
  <c r="X51" i="48"/>
  <c r="X129" i="48"/>
  <c r="M331" i="49"/>
  <c r="J222" i="49"/>
  <c r="J225" i="49" s="1"/>
  <c r="J229" i="49" s="1"/>
  <c r="D115" i="49"/>
  <c r="E118" i="49"/>
  <c r="E121" i="49" s="1"/>
  <c r="X103" i="48"/>
  <c r="X37" i="48"/>
  <c r="L278" i="49"/>
  <c r="L219" i="49"/>
  <c r="X136" i="48"/>
  <c r="F331" i="49"/>
  <c r="X52" i="48"/>
  <c r="X117" i="48"/>
  <c r="X91" i="48"/>
  <c r="X39" i="48"/>
  <c r="D63" i="49"/>
  <c r="D19" i="49"/>
  <c r="X36" i="48"/>
  <c r="X77" i="48"/>
  <c r="X116" i="48"/>
  <c r="X102" i="48"/>
  <c r="X115" i="48"/>
  <c r="X89" i="48"/>
  <c r="X63" i="48"/>
  <c r="X76" i="48"/>
  <c r="X128" i="48"/>
  <c r="F278" i="49"/>
  <c r="S167" i="49"/>
  <c r="S170" i="49" s="1"/>
  <c r="S173" i="49" s="1"/>
  <c r="S177" i="49" s="1"/>
  <c r="D167" i="49"/>
  <c r="X130" i="48"/>
  <c r="X142" i="48"/>
  <c r="S115" i="49"/>
  <c r="S118" i="49" s="1"/>
  <c r="S121" i="49" s="1"/>
  <c r="S124" i="49" s="1"/>
  <c r="X54" i="48"/>
  <c r="X80" i="48"/>
  <c r="X145" i="48"/>
  <c r="X119" i="48"/>
  <c r="X67" i="48"/>
  <c r="X41" i="48"/>
  <c r="X132" i="48"/>
  <c r="L273" i="49"/>
  <c r="L326" i="49" s="1"/>
  <c r="L378" i="49" s="1"/>
  <c r="X64" i="48"/>
  <c r="D222" i="49"/>
  <c r="D225" i="49" s="1"/>
  <c r="D228" i="49" s="1"/>
  <c r="C121" i="49"/>
  <c r="C125" i="49" s="1"/>
  <c r="S273" i="49"/>
  <c r="S276" i="49" s="1"/>
  <c r="S279" i="49" s="1"/>
  <c r="S282" i="49" s="1"/>
  <c r="X138" i="48"/>
  <c r="X99" i="48"/>
  <c r="E69" i="49"/>
  <c r="E71" i="49" s="1"/>
  <c r="X112" i="48"/>
  <c r="X141" i="48"/>
  <c r="X75" i="48"/>
  <c r="X38" i="48"/>
  <c r="X49" i="48"/>
  <c r="X106" i="48"/>
  <c r="H19" i="49"/>
  <c r="H20" i="49"/>
  <c r="H21" i="49"/>
  <c r="C20" i="49"/>
  <c r="C21" i="49"/>
  <c r="C19" i="49"/>
  <c r="K20" i="49"/>
  <c r="K21" i="49"/>
  <c r="K19" i="49"/>
  <c r="J19" i="49"/>
  <c r="J20" i="49"/>
  <c r="J21" i="49"/>
  <c r="I222" i="49"/>
  <c r="I225" i="49" s="1"/>
  <c r="X219" i="49"/>
  <c r="X273" i="49"/>
  <c r="X167" i="49"/>
  <c r="X170" i="49" s="1"/>
  <c r="X173" i="49" s="1"/>
  <c r="X115" i="49"/>
  <c r="X118" i="49" s="1"/>
  <c r="X121" i="49" s="1"/>
  <c r="X14" i="49"/>
  <c r="X17" i="49" s="1"/>
  <c r="X63" i="49"/>
  <c r="X66" i="49" s="1"/>
  <c r="X69" i="49" s="1"/>
  <c r="G69" i="49"/>
  <c r="L7" i="50" s="1"/>
  <c r="F273" i="49"/>
  <c r="F326" i="49" s="1"/>
  <c r="F378" i="49" s="1"/>
  <c r="F219" i="49"/>
  <c r="F115" i="49"/>
  <c r="F63" i="49"/>
  <c r="F167" i="49"/>
  <c r="R283" i="49"/>
  <c r="R282" i="49"/>
  <c r="R281" i="49"/>
  <c r="N219" i="49"/>
  <c r="N222" i="49" s="1"/>
  <c r="N225" i="49" s="1"/>
  <c r="N273" i="49"/>
  <c r="N276" i="49" s="1"/>
  <c r="N279" i="49" s="1"/>
  <c r="N167" i="49"/>
  <c r="N170" i="49" s="1"/>
  <c r="N173" i="49" s="1"/>
  <c r="N115" i="49"/>
  <c r="N118" i="49" s="1"/>
  <c r="N121" i="49" s="1"/>
  <c r="N14" i="49"/>
  <c r="N17" i="49" s="1"/>
  <c r="N63" i="49"/>
  <c r="N66" i="49" s="1"/>
  <c r="N69" i="49" s="1"/>
  <c r="F118" i="49"/>
  <c r="F121" i="49" s="1"/>
  <c r="C173" i="49"/>
  <c r="R376" i="49"/>
  <c r="R378" i="49" s="1"/>
  <c r="R381" i="49" s="1"/>
  <c r="R384" i="49" s="1"/>
  <c r="R326" i="49"/>
  <c r="R329" i="49" s="1"/>
  <c r="R332" i="49" s="1"/>
  <c r="T376" i="49"/>
  <c r="T378" i="49" s="1"/>
  <c r="T381" i="49" s="1"/>
  <c r="T384" i="49" s="1"/>
  <c r="T326" i="49"/>
  <c r="T329" i="49" s="1"/>
  <c r="T332" i="49" s="1"/>
  <c r="D324" i="49"/>
  <c r="D276" i="49"/>
  <c r="W125" i="49"/>
  <c r="W124" i="49"/>
  <c r="W123" i="49"/>
  <c r="R227" i="49"/>
  <c r="R228" i="49"/>
  <c r="R229" i="49"/>
  <c r="I69" i="49"/>
  <c r="L9" i="50" s="1"/>
  <c r="K273" i="49"/>
  <c r="K326" i="49" s="1"/>
  <c r="K378" i="49" s="1"/>
  <c r="K219" i="49"/>
  <c r="K167" i="49"/>
  <c r="K63" i="49"/>
  <c r="K115" i="49"/>
  <c r="V169" i="49"/>
  <c r="V118" i="49"/>
  <c r="V121" i="49" s="1"/>
  <c r="M219" i="49"/>
  <c r="M167" i="49"/>
  <c r="M273" i="49"/>
  <c r="M326" i="49" s="1"/>
  <c r="M378" i="49" s="1"/>
  <c r="M115" i="49"/>
  <c r="M63" i="49"/>
  <c r="E219" i="49"/>
  <c r="E167" i="49"/>
  <c r="E273" i="49"/>
  <c r="E326" i="49" s="1"/>
  <c r="E378" i="49" s="1"/>
  <c r="E115" i="49"/>
  <c r="E63" i="49"/>
  <c r="I278" i="49"/>
  <c r="Q376" i="49"/>
  <c r="Q378" i="49" s="1"/>
  <c r="Q381" i="49" s="1"/>
  <c r="Q384" i="49" s="1"/>
  <c r="Q326" i="49"/>
  <c r="Q329" i="49" s="1"/>
  <c r="Q332" i="49" s="1"/>
  <c r="Q273" i="49"/>
  <c r="Q276" i="49" s="1"/>
  <c r="Q279" i="49" s="1"/>
  <c r="Q219" i="49"/>
  <c r="Q222" i="49" s="1"/>
  <c r="Q225" i="49" s="1"/>
  <c r="Q167" i="49"/>
  <c r="Q170" i="49" s="1"/>
  <c r="Q173" i="49" s="1"/>
  <c r="Q63" i="49"/>
  <c r="Q66" i="49" s="1"/>
  <c r="Q69" i="49" s="1"/>
  <c r="Q115" i="49"/>
  <c r="Q118" i="49" s="1"/>
  <c r="Q121" i="49" s="1"/>
  <c r="Q14" i="49"/>
  <c r="Q17" i="49" s="1"/>
  <c r="M173" i="49"/>
  <c r="C377" i="49"/>
  <c r="C383" i="49" s="1"/>
  <c r="C331" i="49"/>
  <c r="G19" i="49"/>
  <c r="G20" i="49"/>
  <c r="G21" i="49"/>
  <c r="F21" i="49"/>
  <c r="F19" i="49"/>
  <c r="F20" i="49"/>
  <c r="U219" i="49"/>
  <c r="U222" i="49" s="1"/>
  <c r="U225" i="49" s="1"/>
  <c r="U167" i="49"/>
  <c r="U170" i="49" s="1"/>
  <c r="U173" i="49" s="1"/>
  <c r="U273" i="49"/>
  <c r="U276" i="49" s="1"/>
  <c r="U279" i="49" s="1"/>
  <c r="U115" i="49"/>
  <c r="U118" i="49" s="1"/>
  <c r="U121" i="49" s="1"/>
  <c r="U14" i="49"/>
  <c r="U17" i="49" s="1"/>
  <c r="U63" i="49"/>
  <c r="U66" i="49" s="1"/>
  <c r="U69" i="49" s="1"/>
  <c r="I19" i="49"/>
  <c r="I20" i="49"/>
  <c r="I21" i="49"/>
  <c r="C324" i="49"/>
  <c r="C276" i="49"/>
  <c r="W176" i="49"/>
  <c r="W177" i="49"/>
  <c r="W175" i="49"/>
  <c r="S376" i="49"/>
  <c r="S378" i="49" s="1"/>
  <c r="S381" i="49" s="1"/>
  <c r="S384" i="49" s="1"/>
  <c r="S326" i="49"/>
  <c r="S329" i="49" s="1"/>
  <c r="S332" i="49" s="1"/>
  <c r="S229" i="49"/>
  <c r="S227" i="49"/>
  <c r="S228" i="49"/>
  <c r="G219" i="49"/>
  <c r="G273" i="49"/>
  <c r="G326" i="49" s="1"/>
  <c r="G378" i="49" s="1"/>
  <c r="G115" i="49"/>
  <c r="G63" i="49"/>
  <c r="G167" i="49"/>
  <c r="E324" i="49"/>
  <c r="E276" i="49"/>
  <c r="W334" i="49"/>
  <c r="W336" i="49"/>
  <c r="W335" i="49"/>
  <c r="L222" i="49"/>
  <c r="L225" i="49" s="1"/>
  <c r="W275" i="49"/>
  <c r="W276" i="49" s="1"/>
  <c r="W279" i="49" s="1"/>
  <c r="W222" i="49"/>
  <c r="W225" i="49" s="1"/>
  <c r="H325" i="49"/>
  <c r="H278" i="49"/>
  <c r="L324" i="49"/>
  <c r="L276" i="49"/>
  <c r="P376" i="49"/>
  <c r="P378" i="49" s="1"/>
  <c r="P381" i="49" s="1"/>
  <c r="P384" i="49" s="1"/>
  <c r="P326" i="49"/>
  <c r="P329" i="49" s="1"/>
  <c r="P332" i="49" s="1"/>
  <c r="R125" i="49"/>
  <c r="R124" i="49"/>
  <c r="R123" i="49"/>
  <c r="K377" i="49"/>
  <c r="K383" i="49" s="1"/>
  <c r="K384" i="49" s="1"/>
  <c r="K331" i="49"/>
  <c r="O376" i="49"/>
  <c r="O378" i="49" s="1"/>
  <c r="O381" i="49" s="1"/>
  <c r="O384" i="49" s="1"/>
  <c r="O326" i="49"/>
  <c r="O329" i="49" s="1"/>
  <c r="O332" i="49" s="1"/>
  <c r="G170" i="49"/>
  <c r="G173" i="49" s="1"/>
  <c r="F324" i="49"/>
  <c r="F276" i="49"/>
  <c r="M384" i="49"/>
  <c r="G324" i="49"/>
  <c r="G276" i="49"/>
  <c r="X376" i="49"/>
  <c r="X378" i="49" s="1"/>
  <c r="X381" i="49" s="1"/>
  <c r="X384" i="49" s="1"/>
  <c r="X326" i="49"/>
  <c r="X329" i="49" s="1"/>
  <c r="X332" i="49" s="1"/>
  <c r="C225" i="49"/>
  <c r="I324" i="49"/>
  <c r="I276" i="49"/>
  <c r="I377" i="49"/>
  <c r="I383" i="49" s="1"/>
  <c r="I331" i="49"/>
  <c r="C363" i="49"/>
  <c r="V336" i="49"/>
  <c r="V335" i="49"/>
  <c r="V334" i="49"/>
  <c r="W386" i="49"/>
  <c r="W387" i="49"/>
  <c r="W388" i="49"/>
  <c r="J69" i="49"/>
  <c r="L10" i="50" s="1"/>
  <c r="W10" i="50" s="1"/>
  <c r="H69" i="49"/>
  <c r="L8" i="50" s="1"/>
  <c r="W71" i="49"/>
  <c r="W73" i="49"/>
  <c r="W72" i="49"/>
  <c r="R73" i="49"/>
  <c r="R72" i="49"/>
  <c r="R71" i="49"/>
  <c r="X221" i="49"/>
  <c r="J325" i="49"/>
  <c r="J278" i="49"/>
  <c r="U376" i="49"/>
  <c r="U378" i="49" s="1"/>
  <c r="U381" i="49" s="1"/>
  <c r="U384" i="49" s="1"/>
  <c r="U326" i="49"/>
  <c r="U329" i="49" s="1"/>
  <c r="U332" i="49" s="1"/>
  <c r="V386" i="49"/>
  <c r="V387" i="49"/>
  <c r="V388" i="49"/>
  <c r="M278" i="49"/>
  <c r="H222" i="49"/>
  <c r="H225" i="49" s="1"/>
  <c r="M118" i="49"/>
  <c r="M121" i="49" s="1"/>
  <c r="K278" i="49"/>
  <c r="D170" i="49"/>
  <c r="D173" i="49" s="1"/>
  <c r="T273" i="49"/>
  <c r="T276" i="49" s="1"/>
  <c r="T279" i="49" s="1"/>
  <c r="T219" i="49"/>
  <c r="T222" i="49" s="1"/>
  <c r="T225" i="49" s="1"/>
  <c r="T63" i="49"/>
  <c r="T66" i="49" s="1"/>
  <c r="T69" i="49" s="1"/>
  <c r="T167" i="49"/>
  <c r="T170" i="49" s="1"/>
  <c r="T173" i="49" s="1"/>
  <c r="T115" i="49"/>
  <c r="T118" i="49" s="1"/>
  <c r="T121" i="49" s="1"/>
  <c r="T14" i="49"/>
  <c r="T17" i="49" s="1"/>
  <c r="W19" i="49"/>
  <c r="W20" i="49"/>
  <c r="W21" i="49"/>
  <c r="R175" i="49"/>
  <c r="R176" i="49"/>
  <c r="R177" i="49"/>
  <c r="I273" i="49"/>
  <c r="I326" i="49" s="1"/>
  <c r="I378" i="49" s="1"/>
  <c r="I219" i="49"/>
  <c r="I167" i="49"/>
  <c r="I63" i="49"/>
  <c r="I115" i="49"/>
  <c r="P282" i="49"/>
  <c r="P283" i="49"/>
  <c r="P281" i="49"/>
  <c r="O273" i="49"/>
  <c r="O276" i="49" s="1"/>
  <c r="O279" i="49" s="1"/>
  <c r="O167" i="49"/>
  <c r="O170" i="49" s="1"/>
  <c r="O173" i="49" s="1"/>
  <c r="O115" i="49"/>
  <c r="O118" i="49" s="1"/>
  <c r="O121" i="49" s="1"/>
  <c r="O219" i="49"/>
  <c r="O222" i="49" s="1"/>
  <c r="O225" i="49" s="1"/>
  <c r="O14" i="49"/>
  <c r="O17" i="49" s="1"/>
  <c r="O63" i="49"/>
  <c r="O66" i="49" s="1"/>
  <c r="O69" i="49" s="1"/>
  <c r="C219" i="49"/>
  <c r="C273" i="49"/>
  <c r="C326" i="49" s="1"/>
  <c r="C378" i="49" s="1"/>
  <c r="C167" i="49"/>
  <c r="C115" i="49"/>
  <c r="C63" i="49"/>
  <c r="N376" i="49"/>
  <c r="N378" i="49" s="1"/>
  <c r="N381" i="49" s="1"/>
  <c r="N384" i="49" s="1"/>
  <c r="N326" i="49"/>
  <c r="N329" i="49" s="1"/>
  <c r="N332" i="49" s="1"/>
  <c r="V72" i="49"/>
  <c r="V73" i="49"/>
  <c r="V71" i="49"/>
  <c r="M17" i="49"/>
  <c r="X33" i="48" s="1"/>
  <c r="E21" i="49"/>
  <c r="E19" i="49"/>
  <c r="E20" i="49"/>
  <c r="BP15" i="48" l="1"/>
  <c r="BO15" i="48"/>
  <c r="BN15" i="48"/>
  <c r="O22" i="33"/>
  <c r="O23" i="33"/>
  <c r="BP16" i="48"/>
  <c r="BO16" i="48"/>
  <c r="BN16" i="48"/>
  <c r="BN19" i="48"/>
  <c r="O26" i="33"/>
  <c r="BO19" i="48"/>
  <c r="BP19" i="48"/>
  <c r="J123" i="49"/>
  <c r="J124" i="49"/>
  <c r="AD145" i="50"/>
  <c r="AF145" i="50" s="1"/>
  <c r="AJ201" i="50"/>
  <c r="AJ208" i="50"/>
  <c r="AA288" i="50"/>
  <c r="AJ288" i="50" s="1"/>
  <c r="AD234" i="50"/>
  <c r="AF234" i="50" s="1"/>
  <c r="AD217" i="50"/>
  <c r="AF217" i="50" s="1"/>
  <c r="BK13" i="48"/>
  <c r="BM13" i="48" s="1"/>
  <c r="AD159" i="50"/>
  <c r="AF159" i="50" s="1"/>
  <c r="BG21" i="48"/>
  <c r="BI21" i="48" s="1"/>
  <c r="BJ21" i="48" s="1"/>
  <c r="AJ235" i="50"/>
  <c r="AJ247" i="50"/>
  <c r="AD287" i="50"/>
  <c r="AF287" i="50" s="1"/>
  <c r="AD244" i="50"/>
  <c r="AF244" i="50" s="1"/>
  <c r="BK17" i="48"/>
  <c r="BM17" i="48" s="1"/>
  <c r="AD193" i="50"/>
  <c r="AF193" i="50" s="1"/>
  <c r="AJ158" i="50"/>
  <c r="AJ149" i="50"/>
  <c r="AJ281" i="50"/>
  <c r="AD267" i="50"/>
  <c r="AF267" i="50" s="1"/>
  <c r="P177" i="49"/>
  <c r="R26" i="49"/>
  <c r="R28" i="49" s="1"/>
  <c r="R51" i="49" s="1"/>
  <c r="G227" i="49"/>
  <c r="P229" i="49"/>
  <c r="AJ206" i="50"/>
  <c r="AJ260" i="50"/>
  <c r="BK18" i="48"/>
  <c r="BM18" i="48" s="1"/>
  <c r="BK20" i="48"/>
  <c r="BM20" i="48" s="1"/>
  <c r="BG24" i="48"/>
  <c r="BI24" i="48" s="1"/>
  <c r="BJ24" i="48" s="1"/>
  <c r="BG26" i="48"/>
  <c r="BI26" i="48" s="1"/>
  <c r="BJ26" i="48" s="1"/>
  <c r="BG27" i="48"/>
  <c r="BI27" i="48" s="1"/>
  <c r="BJ27" i="48" s="1"/>
  <c r="BG23" i="48"/>
  <c r="BI23" i="48" s="1"/>
  <c r="BJ23" i="48" s="1"/>
  <c r="BG22" i="48"/>
  <c r="BI22" i="48" s="1"/>
  <c r="BJ22" i="48" s="1"/>
  <c r="BG25" i="48"/>
  <c r="BI25" i="48" s="1"/>
  <c r="BJ25" i="48" s="1"/>
  <c r="AJ222" i="50"/>
  <c r="AJ253" i="50"/>
  <c r="L20" i="49"/>
  <c r="AD228" i="50"/>
  <c r="AF228" i="50" s="1"/>
  <c r="AJ240" i="50"/>
  <c r="D71" i="49"/>
  <c r="AD198" i="50"/>
  <c r="AF198" i="50" s="1"/>
  <c r="D72" i="49"/>
  <c r="G228" i="49"/>
  <c r="L4" i="50"/>
  <c r="W4" i="50" s="1"/>
  <c r="Z4" i="50" s="1"/>
  <c r="AJ169" i="50"/>
  <c r="AD194" i="50"/>
  <c r="AF194" i="50" s="1"/>
  <c r="AD232" i="50"/>
  <c r="AF232" i="50" s="1"/>
  <c r="W131" i="50"/>
  <c r="Z131" i="50" s="1"/>
  <c r="AJ168" i="50"/>
  <c r="AD233" i="50"/>
  <c r="AF233" i="50" s="1"/>
  <c r="AD172" i="50"/>
  <c r="AF172" i="50" s="1"/>
  <c r="AD147" i="50"/>
  <c r="AF147" i="50" s="1"/>
  <c r="AD285" i="50"/>
  <c r="AF285" i="50" s="1"/>
  <c r="AD216" i="50"/>
  <c r="AF216" i="50" s="1"/>
  <c r="AD179" i="50"/>
  <c r="AF179" i="50" s="1"/>
  <c r="AJ308" i="50"/>
  <c r="AJ272" i="50"/>
  <c r="AD192" i="50"/>
  <c r="AF192" i="50" s="1"/>
  <c r="AD141" i="50"/>
  <c r="AF141" i="50" s="1"/>
  <c r="AD257" i="50"/>
  <c r="AF257" i="50" s="1"/>
  <c r="AD310" i="50"/>
  <c r="AF310" i="50" s="1"/>
  <c r="AJ250" i="50"/>
  <c r="H279" i="49"/>
  <c r="H281" i="49" s="1"/>
  <c r="AD195" i="50"/>
  <c r="AF195" i="50" s="1"/>
  <c r="J227" i="49"/>
  <c r="AD219" i="50"/>
  <c r="AF219" i="50" s="1"/>
  <c r="AD197" i="50"/>
  <c r="AF197" i="50" s="1"/>
  <c r="P73" i="49"/>
  <c r="D23" i="49"/>
  <c r="D26" i="49" s="1"/>
  <c r="D28" i="49" s="1"/>
  <c r="D51" i="49" s="1"/>
  <c r="AD309" i="50"/>
  <c r="AF309" i="50" s="1"/>
  <c r="AD211" i="50"/>
  <c r="AF211" i="50" s="1"/>
  <c r="AJ205" i="50"/>
  <c r="AJ261" i="50"/>
  <c r="AD303" i="50"/>
  <c r="AJ170" i="50"/>
  <c r="AD163" i="50"/>
  <c r="AF163" i="50" s="1"/>
  <c r="AJ280" i="50"/>
  <c r="AD221" i="50"/>
  <c r="AF221" i="50" s="1"/>
  <c r="G279" i="49"/>
  <c r="G282" i="49" s="1"/>
  <c r="AJ265" i="50"/>
  <c r="D279" i="49"/>
  <c r="D281" i="49" s="1"/>
  <c r="K332" i="49"/>
  <c r="K335" i="49" s="1"/>
  <c r="AJ249" i="50"/>
  <c r="AD202" i="50"/>
  <c r="AF202" i="50" s="1"/>
  <c r="AD190" i="50"/>
  <c r="AF190" i="50" s="1"/>
  <c r="AD212" i="50"/>
  <c r="AF212" i="50" s="1"/>
  <c r="AJ227" i="50"/>
  <c r="C279" i="49"/>
  <c r="C283" i="49" s="1"/>
  <c r="AJ284" i="50"/>
  <c r="AD255" i="50"/>
  <c r="AF255" i="50" s="1"/>
  <c r="P71" i="49"/>
  <c r="AJ214" i="50"/>
  <c r="AJ188" i="50"/>
  <c r="AD275" i="50"/>
  <c r="AF275" i="50" s="1"/>
  <c r="AD209" i="50"/>
  <c r="AF209" i="50" s="1"/>
  <c r="F73" i="49"/>
  <c r="AJ230" i="50"/>
  <c r="AD236" i="50"/>
  <c r="AF236" i="50" s="1"/>
  <c r="AD270" i="50"/>
  <c r="AF270" i="50" s="1"/>
  <c r="AD174" i="50"/>
  <c r="AF174" i="50" s="1"/>
  <c r="AJ307" i="50"/>
  <c r="W6" i="50"/>
  <c r="Z6" i="50" s="1"/>
  <c r="AJ210" i="50"/>
  <c r="AD153" i="50"/>
  <c r="AF153" i="50" s="1"/>
  <c r="AD164" i="50"/>
  <c r="AF164" i="50" s="1"/>
  <c r="AD279" i="50"/>
  <c r="AF279" i="50" s="1"/>
  <c r="AJ218" i="50"/>
  <c r="AJ283" i="50"/>
  <c r="AD226" i="50"/>
  <c r="AF226" i="50" s="1"/>
  <c r="AD183" i="50"/>
  <c r="AF183" i="50" s="1"/>
  <c r="AD243" i="50"/>
  <c r="AF243" i="50" s="1"/>
  <c r="AJ231" i="50"/>
  <c r="L19" i="49"/>
  <c r="E279" i="49"/>
  <c r="E283" i="49" s="1"/>
  <c r="AJ306" i="50"/>
  <c r="AJ160" i="50"/>
  <c r="AJ215" i="50"/>
  <c r="AJ224" i="50"/>
  <c r="AD162" i="50"/>
  <c r="AF162" i="50" s="1"/>
  <c r="L21" i="49"/>
  <c r="W40" i="50"/>
  <c r="Y40" i="50" s="1"/>
  <c r="AD185" i="50"/>
  <c r="AF185" i="50" s="1"/>
  <c r="F72" i="49"/>
  <c r="AA311" i="50"/>
  <c r="AJ258" i="50"/>
  <c r="AJ252" i="50"/>
  <c r="AJ263" i="50"/>
  <c r="AD142" i="50"/>
  <c r="AF142" i="50" s="1"/>
  <c r="L71" i="50"/>
  <c r="W71" i="50" s="1"/>
  <c r="Z71" i="50" s="1"/>
  <c r="P227" i="49"/>
  <c r="AJ246" i="50"/>
  <c r="AJ173" i="50"/>
  <c r="AJ203" i="50"/>
  <c r="AJ200" i="50"/>
  <c r="AJ151" i="50"/>
  <c r="AJ186" i="50"/>
  <c r="X14" i="50"/>
  <c r="AD156" i="50"/>
  <c r="AF156" i="50" s="1"/>
  <c r="AD196" i="50"/>
  <c r="AF196" i="50" s="1"/>
  <c r="AD184" i="50"/>
  <c r="AF184" i="50" s="1"/>
  <c r="L58" i="50"/>
  <c r="W58" i="50" s="1"/>
  <c r="EV58" i="50" s="1"/>
  <c r="P176" i="49"/>
  <c r="K73" i="49"/>
  <c r="E227" i="49"/>
  <c r="F71" i="49"/>
  <c r="AJ305" i="50"/>
  <c r="W105" i="50"/>
  <c r="Y105" i="50" s="1"/>
  <c r="Z14" i="50"/>
  <c r="AJ266" i="50"/>
  <c r="AJ157" i="50"/>
  <c r="EV32" i="50"/>
  <c r="X32" i="50"/>
  <c r="Z32" i="50"/>
  <c r="AJ146" i="50"/>
  <c r="AJ165" i="50"/>
  <c r="EV14" i="50"/>
  <c r="AD177" i="50"/>
  <c r="AF177" i="50" s="1"/>
  <c r="L45" i="50"/>
  <c r="W45" i="50" s="1"/>
  <c r="L97" i="50"/>
  <c r="W97" i="50" s="1"/>
  <c r="AD207" i="50"/>
  <c r="AF207" i="50" s="1"/>
  <c r="L19" i="50"/>
  <c r="W19" i="50" s="1"/>
  <c r="Z19" i="50" s="1"/>
  <c r="L110" i="50"/>
  <c r="W110" i="50" s="1"/>
  <c r="L84" i="50"/>
  <c r="W84" i="50" s="1"/>
  <c r="L123" i="50"/>
  <c r="W123" i="50" s="1"/>
  <c r="EV123" i="50" s="1"/>
  <c r="V24" i="49"/>
  <c r="F228" i="49"/>
  <c r="F229" i="49"/>
  <c r="F227" i="49"/>
  <c r="I177" i="49"/>
  <c r="I176" i="49"/>
  <c r="I175" i="49"/>
  <c r="AJ238" i="50"/>
  <c r="AD237" i="50"/>
  <c r="AF237" i="50" s="1"/>
  <c r="C71" i="49"/>
  <c r="AF210" i="50"/>
  <c r="AD269" i="50"/>
  <c r="AF269" i="50" s="1"/>
  <c r="C72" i="49"/>
  <c r="AF246" i="50"/>
  <c r="C73" i="49"/>
  <c r="AJ248" i="50"/>
  <c r="AD239" i="50"/>
  <c r="AF239" i="50" s="1"/>
  <c r="AD242" i="50"/>
  <c r="AF242" i="50" s="1"/>
  <c r="J279" i="49"/>
  <c r="J283" i="49" s="1"/>
  <c r="AJ277" i="50"/>
  <c r="AJ182" i="50"/>
  <c r="Y32" i="50"/>
  <c r="F176" i="49"/>
  <c r="F175" i="49"/>
  <c r="AH305" i="50"/>
  <c r="M228" i="49"/>
  <c r="AJ175" i="50"/>
  <c r="AD181" i="50"/>
  <c r="AF181" i="50" s="1"/>
  <c r="K227" i="49"/>
  <c r="K71" i="49"/>
  <c r="AJ191" i="50"/>
  <c r="K228" i="49"/>
  <c r="AD294" i="50"/>
  <c r="AF294" i="50" s="1"/>
  <c r="V28" i="49"/>
  <c r="V51" i="49" s="1"/>
  <c r="V53" i="49"/>
  <c r="V55" i="49" s="1"/>
  <c r="H123" i="49"/>
  <c r="H125" i="49"/>
  <c r="AJ155" i="50"/>
  <c r="W3" i="50"/>
  <c r="AJ199" i="50"/>
  <c r="AD241" i="50"/>
  <c r="AF241" i="50" s="1"/>
  <c r="AD213" i="50"/>
  <c r="AF213" i="50" s="1"/>
  <c r="AJ189" i="50"/>
  <c r="AA290" i="50"/>
  <c r="AJ290" i="50" s="1"/>
  <c r="AJ187" i="50"/>
  <c r="AH306" i="50"/>
  <c r="AJ259" i="50"/>
  <c r="AD259" i="50"/>
  <c r="AF259" i="50" s="1"/>
  <c r="AJ304" i="50"/>
  <c r="C123" i="49"/>
  <c r="W179" i="49"/>
  <c r="W182" i="49" s="1"/>
  <c r="W184" i="49" s="1"/>
  <c r="W207" i="49" s="1"/>
  <c r="J228" i="49"/>
  <c r="AJ167" i="50"/>
  <c r="X97" i="48"/>
  <c r="X123" i="48"/>
  <c r="X71" i="48"/>
  <c r="X84" i="48"/>
  <c r="X45" i="48"/>
  <c r="X110" i="48"/>
  <c r="X58" i="48"/>
  <c r="AJ225" i="50"/>
  <c r="AD254" i="50"/>
  <c r="AF254" i="50" s="1"/>
  <c r="AJ254" i="50"/>
  <c r="AD150" i="50"/>
  <c r="AF150" i="50" s="1"/>
  <c r="AJ150" i="50"/>
  <c r="W338" i="49"/>
  <c r="W339" i="49" s="1"/>
  <c r="W23" i="49"/>
  <c r="W24" i="49" s="1"/>
  <c r="AF206" i="50"/>
  <c r="AD143" i="50"/>
  <c r="AF143" i="50" s="1"/>
  <c r="AJ154" i="50"/>
  <c r="W75" i="49"/>
  <c r="W76" i="49" s="1"/>
  <c r="S175" i="49"/>
  <c r="AF227" i="50"/>
  <c r="AF208" i="50"/>
  <c r="AJ204" i="50"/>
  <c r="AF235" i="50"/>
  <c r="AD223" i="50"/>
  <c r="AF223" i="50" s="1"/>
  <c r="V75" i="49"/>
  <c r="V76" i="49" s="1"/>
  <c r="S123" i="49"/>
  <c r="M332" i="49"/>
  <c r="M335" i="49" s="1"/>
  <c r="AA292" i="50"/>
  <c r="AJ292" i="50" s="1"/>
  <c r="AF224" i="50"/>
  <c r="P123" i="49"/>
  <c r="S125" i="49"/>
  <c r="AF230" i="50"/>
  <c r="AA295" i="50"/>
  <c r="AJ295" i="50" s="1"/>
  <c r="AJ166" i="50"/>
  <c r="AF218" i="50"/>
  <c r="X27" i="50"/>
  <c r="L279" i="49"/>
  <c r="L283" i="49" s="1"/>
  <c r="P124" i="49"/>
  <c r="W390" i="49"/>
  <c r="W391" i="49" s="1"/>
  <c r="E228" i="49"/>
  <c r="W66" i="50"/>
  <c r="EV66" i="50" s="1"/>
  <c r="CE315" i="50"/>
  <c r="AI315" i="50" s="1"/>
  <c r="AJ315" i="50" s="1"/>
  <c r="AA289" i="50"/>
  <c r="AJ289" i="50" s="1"/>
  <c r="AJ256" i="50"/>
  <c r="AD251" i="50"/>
  <c r="AF251" i="50" s="1"/>
  <c r="AJ251" i="50"/>
  <c r="V338" i="49"/>
  <c r="E177" i="49"/>
  <c r="AA293" i="50"/>
  <c r="AJ293" i="50" s="1"/>
  <c r="W118" i="50"/>
  <c r="X118" i="50" s="1"/>
  <c r="Y296" i="50"/>
  <c r="AE296" i="50"/>
  <c r="AE297" i="50" s="1"/>
  <c r="AF214" i="50"/>
  <c r="E176" i="49"/>
  <c r="Z296" i="50"/>
  <c r="AF215" i="50"/>
  <c r="AD245" i="50"/>
  <c r="AF245" i="50" s="1"/>
  <c r="AJ286" i="50"/>
  <c r="AJ161" i="50"/>
  <c r="AD161" i="50"/>
  <c r="AF161" i="50" s="1"/>
  <c r="V390" i="49"/>
  <c r="V393" i="49" s="1"/>
  <c r="V395" i="49" s="1"/>
  <c r="V418" i="49" s="1"/>
  <c r="W127" i="49"/>
  <c r="W128" i="49" s="1"/>
  <c r="AD276" i="50"/>
  <c r="AF276" i="50" s="1"/>
  <c r="AJ180" i="50"/>
  <c r="AJ229" i="50"/>
  <c r="AH304" i="50"/>
  <c r="AF201" i="50"/>
  <c r="AD176" i="50"/>
  <c r="AF176" i="50" s="1"/>
  <c r="W53" i="50"/>
  <c r="EV53" i="50" s="1"/>
  <c r="AA291" i="50"/>
  <c r="Y27" i="50"/>
  <c r="Z27" i="50"/>
  <c r="X10" i="50"/>
  <c r="EV10" i="50"/>
  <c r="Z10" i="50"/>
  <c r="Y10" i="50"/>
  <c r="P285" i="49"/>
  <c r="P286" i="49" s="1"/>
  <c r="R179" i="49"/>
  <c r="R180" i="49" s="1"/>
  <c r="L20" i="50"/>
  <c r="W20" i="50" s="1"/>
  <c r="L33" i="50"/>
  <c r="W33" i="50" s="1"/>
  <c r="L59" i="50"/>
  <c r="W59" i="50" s="1"/>
  <c r="L111" i="50"/>
  <c r="W111" i="50" s="1"/>
  <c r="L98" i="50"/>
  <c r="W98" i="50" s="1"/>
  <c r="L124" i="50"/>
  <c r="W124" i="50" s="1"/>
  <c r="L85" i="50"/>
  <c r="W85" i="50" s="1"/>
  <c r="L72" i="50"/>
  <c r="W72" i="50" s="1"/>
  <c r="L46" i="50"/>
  <c r="W46" i="50" s="1"/>
  <c r="M279" i="49"/>
  <c r="M283" i="49" s="1"/>
  <c r="P21" i="49"/>
  <c r="L13" i="50"/>
  <c r="L12" i="50"/>
  <c r="L11" i="50"/>
  <c r="L29" i="50"/>
  <c r="W29" i="50" s="1"/>
  <c r="L42" i="50"/>
  <c r="W42" i="50" s="1"/>
  <c r="L94" i="50"/>
  <c r="W94" i="50" s="1"/>
  <c r="L120" i="50"/>
  <c r="W120" i="50" s="1"/>
  <c r="L107" i="50"/>
  <c r="W107" i="50" s="1"/>
  <c r="L55" i="50"/>
  <c r="W55" i="50" s="1"/>
  <c r="L81" i="50"/>
  <c r="W81" i="50" s="1"/>
  <c r="Y81" i="50" s="1"/>
  <c r="L16" i="50"/>
  <c r="L68" i="50"/>
  <c r="W68" i="50" s="1"/>
  <c r="Z68" i="50" s="1"/>
  <c r="P20" i="49"/>
  <c r="L80" i="50"/>
  <c r="W80" i="50" s="1"/>
  <c r="L41" i="50"/>
  <c r="W41" i="50" s="1"/>
  <c r="L67" i="50"/>
  <c r="W67" i="50" s="1"/>
  <c r="L132" i="50"/>
  <c r="W132" i="50" s="1"/>
  <c r="W15" i="50"/>
  <c r="L119" i="50"/>
  <c r="W119" i="50" s="1"/>
  <c r="L28" i="50"/>
  <c r="W28" i="50" s="1"/>
  <c r="EV28" i="50" s="1"/>
  <c r="L106" i="50"/>
  <c r="W106" i="50" s="1"/>
  <c r="L93" i="50"/>
  <c r="W93" i="50" s="1"/>
  <c r="L54" i="50"/>
  <c r="W54" i="50" s="1"/>
  <c r="M73" i="49"/>
  <c r="L86" i="50"/>
  <c r="W86" i="50" s="1"/>
  <c r="L73" i="50"/>
  <c r="W73" i="50" s="1"/>
  <c r="Z73" i="50" s="1"/>
  <c r="L99" i="50"/>
  <c r="W99" i="50" s="1"/>
  <c r="EV99" i="50" s="1"/>
  <c r="L21" i="50"/>
  <c r="W21" i="50" s="1"/>
  <c r="L47" i="50"/>
  <c r="W47" i="50" s="1"/>
  <c r="L60" i="50"/>
  <c r="W60" i="50" s="1"/>
  <c r="L112" i="50"/>
  <c r="W112" i="50" s="1"/>
  <c r="L34" i="50"/>
  <c r="W34" i="50" s="1"/>
  <c r="Z34" i="50" s="1"/>
  <c r="L125" i="50"/>
  <c r="W125" i="50" s="1"/>
  <c r="M71" i="49"/>
  <c r="K279" i="49"/>
  <c r="K283" i="49" s="1"/>
  <c r="L36" i="50"/>
  <c r="W36" i="50" s="1"/>
  <c r="L75" i="50"/>
  <c r="W75" i="50" s="1"/>
  <c r="L49" i="50"/>
  <c r="W49" i="50" s="1"/>
  <c r="L88" i="50"/>
  <c r="W88" i="50" s="1"/>
  <c r="L114" i="50"/>
  <c r="W114" i="50" s="1"/>
  <c r="L23" i="50"/>
  <c r="W23" i="50" s="1"/>
  <c r="L62" i="50"/>
  <c r="W62" i="50" s="1"/>
  <c r="L127" i="50"/>
  <c r="W127" i="50" s="1"/>
  <c r="L101" i="50"/>
  <c r="W101" i="50" s="1"/>
  <c r="Y101" i="50" s="1"/>
  <c r="M72" i="49"/>
  <c r="M229" i="49"/>
  <c r="E72" i="49"/>
  <c r="L5" i="50"/>
  <c r="W92" i="50"/>
  <c r="EV92" i="50" s="1"/>
  <c r="W79" i="50"/>
  <c r="Z79" i="50" s="1"/>
  <c r="W7" i="50"/>
  <c r="W8" i="50"/>
  <c r="R75" i="49"/>
  <c r="R78" i="49" s="1"/>
  <c r="R80" i="49" s="1"/>
  <c r="R103" i="49" s="1"/>
  <c r="L22" i="50"/>
  <c r="W22" i="50" s="1"/>
  <c r="L113" i="50"/>
  <c r="W113" i="50" s="1"/>
  <c r="L35" i="50"/>
  <c r="W35" i="50" s="1"/>
  <c r="L100" i="50"/>
  <c r="W100" i="50" s="1"/>
  <c r="L87" i="50"/>
  <c r="W87" i="50" s="1"/>
  <c r="L48" i="50"/>
  <c r="W48" i="50" s="1"/>
  <c r="L74" i="50"/>
  <c r="W74" i="50" s="1"/>
  <c r="L61" i="50"/>
  <c r="W61" i="50" s="1"/>
  <c r="L126" i="50"/>
  <c r="W126" i="50" s="1"/>
  <c r="W9" i="50"/>
  <c r="Y9" i="50" s="1"/>
  <c r="Q133" i="50"/>
  <c r="V16" i="50"/>
  <c r="AD271" i="50"/>
  <c r="AF271" i="50" s="1"/>
  <c r="AJ271" i="50"/>
  <c r="AF240" i="50"/>
  <c r="AF203" i="50"/>
  <c r="AH308" i="50"/>
  <c r="AF200" i="50"/>
  <c r="AF204" i="50"/>
  <c r="AF238" i="50"/>
  <c r="AJ262" i="50"/>
  <c r="AD262" i="50"/>
  <c r="AF262" i="50" s="1"/>
  <c r="AD273" i="50"/>
  <c r="AF273" i="50" s="1"/>
  <c r="AJ273" i="50"/>
  <c r="AJ264" i="50"/>
  <c r="AD264" i="50"/>
  <c r="AF264" i="50" s="1"/>
  <c r="AD220" i="50"/>
  <c r="AF220" i="50" s="1"/>
  <c r="AJ220" i="50"/>
  <c r="AF222" i="50"/>
  <c r="AJ178" i="50"/>
  <c r="AD178" i="50"/>
  <c r="AF178" i="50" s="1"/>
  <c r="AJ282" i="50"/>
  <c r="AD282" i="50"/>
  <c r="AF282" i="50" s="1"/>
  <c r="AF229" i="50"/>
  <c r="AD148" i="50"/>
  <c r="AF148" i="50" s="1"/>
  <c r="AJ148" i="50"/>
  <c r="AE63" i="50"/>
  <c r="AE64" i="50" s="1"/>
  <c r="AE65" i="50" s="1"/>
  <c r="AE66" i="50" s="1"/>
  <c r="AE67" i="50" s="1"/>
  <c r="AE68" i="50"/>
  <c r="AE69" i="50" s="1"/>
  <c r="AE70" i="50" s="1"/>
  <c r="AE71" i="50" s="1"/>
  <c r="AE72" i="50" s="1"/>
  <c r="AE73" i="50" s="1"/>
  <c r="AE74" i="50" s="1"/>
  <c r="AE75" i="50" s="1"/>
  <c r="X296" i="50"/>
  <c r="AF205" i="50"/>
  <c r="AJ278" i="50"/>
  <c r="AD278" i="50"/>
  <c r="AF278" i="50" s="1"/>
  <c r="AD171" i="50"/>
  <c r="AF171" i="50" s="1"/>
  <c r="AJ171" i="50"/>
  <c r="AJ144" i="50"/>
  <c r="AD144" i="50"/>
  <c r="AF144" i="50" s="1"/>
  <c r="AH307" i="50"/>
  <c r="AJ268" i="50"/>
  <c r="AD268" i="50"/>
  <c r="AF268" i="50" s="1"/>
  <c r="AD152" i="50"/>
  <c r="AF152" i="50" s="1"/>
  <c r="AJ152" i="50"/>
  <c r="AF225" i="50"/>
  <c r="AJ274" i="50"/>
  <c r="AD274" i="50"/>
  <c r="AF274" i="50" s="1"/>
  <c r="AF231" i="50"/>
  <c r="R285" i="49"/>
  <c r="R288" i="49" s="1"/>
  <c r="R290" i="49" s="1"/>
  <c r="R313" i="49" s="1"/>
  <c r="S281" i="49"/>
  <c r="L75" i="49"/>
  <c r="L76" i="49" s="1"/>
  <c r="F279" i="49"/>
  <c r="F282" i="49" s="1"/>
  <c r="D227" i="49"/>
  <c r="S283" i="49"/>
  <c r="F177" i="49"/>
  <c r="C124" i="49"/>
  <c r="D229" i="49"/>
  <c r="S176" i="49"/>
  <c r="E73" i="49"/>
  <c r="R127" i="49"/>
  <c r="R128" i="49" s="1"/>
  <c r="R231" i="49"/>
  <c r="R232" i="49" s="1"/>
  <c r="I279" i="49"/>
  <c r="I281" i="49" s="1"/>
  <c r="F23" i="49"/>
  <c r="F24" i="49" s="1"/>
  <c r="E23" i="49"/>
  <c r="E24" i="49" s="1"/>
  <c r="X70" i="48"/>
  <c r="X83" i="48"/>
  <c r="X44" i="48"/>
  <c r="X109" i="48"/>
  <c r="X57" i="48"/>
  <c r="X148" i="48"/>
  <c r="X96" i="48"/>
  <c r="X135" i="48"/>
  <c r="X122" i="48"/>
  <c r="G23" i="49"/>
  <c r="G24" i="49" s="1"/>
  <c r="X98" i="48"/>
  <c r="X59" i="48"/>
  <c r="X137" i="48"/>
  <c r="X150" i="48"/>
  <c r="X124" i="48"/>
  <c r="X85" i="48"/>
  <c r="X111" i="48"/>
  <c r="X72" i="48"/>
  <c r="X46" i="48"/>
  <c r="I23" i="49"/>
  <c r="S71" i="49"/>
  <c r="S72" i="49"/>
  <c r="S73" i="49"/>
  <c r="X100" i="48"/>
  <c r="X139" i="48"/>
  <c r="X87" i="48"/>
  <c r="X61" i="48"/>
  <c r="X35" i="48"/>
  <c r="X126" i="48"/>
  <c r="X48" i="48"/>
  <c r="X74" i="48"/>
  <c r="X113" i="48"/>
  <c r="L177" i="49"/>
  <c r="K23" i="49"/>
  <c r="S19" i="49"/>
  <c r="S20" i="49"/>
  <c r="S21" i="49"/>
  <c r="L175" i="49"/>
  <c r="X108" i="48"/>
  <c r="X69" i="48"/>
  <c r="X43" i="48"/>
  <c r="X147" i="48"/>
  <c r="X95" i="48"/>
  <c r="X56" i="48"/>
  <c r="X121" i="48"/>
  <c r="X134" i="48"/>
  <c r="X82" i="48"/>
  <c r="S231" i="49"/>
  <c r="S232" i="49" s="1"/>
  <c r="H23" i="49"/>
  <c r="H24" i="49" s="1"/>
  <c r="X146" i="48"/>
  <c r="X107" i="48"/>
  <c r="X42" i="48"/>
  <c r="X120" i="48"/>
  <c r="X55" i="48"/>
  <c r="X68" i="48"/>
  <c r="X133" i="48"/>
  <c r="X94" i="48"/>
  <c r="X81" i="48"/>
  <c r="J23" i="49"/>
  <c r="J24" i="49" s="1"/>
  <c r="C23" i="49"/>
  <c r="K388" i="49"/>
  <c r="K386" i="49"/>
  <c r="K387" i="49"/>
  <c r="X177" i="49"/>
  <c r="X176" i="49"/>
  <c r="X175" i="49"/>
  <c r="R334" i="49"/>
  <c r="R336" i="49"/>
  <c r="R335" i="49"/>
  <c r="O227" i="49"/>
  <c r="O228" i="49"/>
  <c r="O229" i="49"/>
  <c r="U386" i="49"/>
  <c r="U387" i="49"/>
  <c r="U388" i="49"/>
  <c r="M386" i="49"/>
  <c r="M387" i="49"/>
  <c r="M388" i="49"/>
  <c r="S336" i="49"/>
  <c r="S335" i="49"/>
  <c r="S334" i="49"/>
  <c r="O123" i="49"/>
  <c r="O125" i="49"/>
  <c r="O124" i="49"/>
  <c r="T71" i="49"/>
  <c r="T72" i="49"/>
  <c r="T73" i="49"/>
  <c r="H73" i="49"/>
  <c r="H72" i="49"/>
  <c r="H71" i="49"/>
  <c r="I376" i="49"/>
  <c r="I381" i="49" s="1"/>
  <c r="I384" i="49" s="1"/>
  <c r="I329" i="49"/>
  <c r="I332" i="49" s="1"/>
  <c r="X387" i="49"/>
  <c r="X388" i="49"/>
  <c r="X386" i="49"/>
  <c r="P336" i="49"/>
  <c r="P335" i="49"/>
  <c r="P334" i="49"/>
  <c r="H177" i="49"/>
  <c r="H175" i="49"/>
  <c r="H176" i="49"/>
  <c r="S388" i="49"/>
  <c r="S386" i="49"/>
  <c r="S387" i="49"/>
  <c r="U71" i="49"/>
  <c r="U73" i="49"/>
  <c r="U72" i="49"/>
  <c r="M175" i="49"/>
  <c r="M176" i="49"/>
  <c r="M177" i="49"/>
  <c r="Q387" i="49"/>
  <c r="Q388" i="49"/>
  <c r="Q386" i="49"/>
  <c r="C175" i="49"/>
  <c r="C177" i="49"/>
  <c r="C176" i="49"/>
  <c r="N21" i="49"/>
  <c r="N19" i="49"/>
  <c r="N20" i="49"/>
  <c r="N336" i="49"/>
  <c r="N334" i="49"/>
  <c r="N335" i="49"/>
  <c r="T125" i="49"/>
  <c r="T124" i="49"/>
  <c r="T123" i="49"/>
  <c r="K175" i="49"/>
  <c r="K177" i="49"/>
  <c r="K176" i="49"/>
  <c r="Q281" i="49"/>
  <c r="Q282" i="49"/>
  <c r="Q283" i="49"/>
  <c r="V123" i="49"/>
  <c r="V125" i="49"/>
  <c r="V124" i="49"/>
  <c r="F123" i="49"/>
  <c r="F124" i="49"/>
  <c r="F125" i="49"/>
  <c r="X124" i="49"/>
  <c r="X125" i="49"/>
  <c r="X123" i="49"/>
  <c r="N386" i="49"/>
  <c r="N387" i="49"/>
  <c r="N388" i="49"/>
  <c r="T176" i="49"/>
  <c r="T175" i="49"/>
  <c r="T177" i="49"/>
  <c r="H227" i="49"/>
  <c r="H229" i="49"/>
  <c r="H228" i="49"/>
  <c r="X275" i="49"/>
  <c r="X276" i="49" s="1"/>
  <c r="X279" i="49" s="1"/>
  <c r="X222" i="49"/>
  <c r="X225" i="49" s="1"/>
  <c r="X334" i="49"/>
  <c r="X335" i="49"/>
  <c r="X336" i="49"/>
  <c r="W282" i="49"/>
  <c r="W283" i="49"/>
  <c r="W281" i="49"/>
  <c r="C376" i="49"/>
  <c r="C381" i="49" s="1"/>
  <c r="C384" i="49" s="1"/>
  <c r="C329" i="49"/>
  <c r="C332" i="49" s="1"/>
  <c r="Q335" i="49"/>
  <c r="Q336" i="49"/>
  <c r="Q334" i="49"/>
  <c r="V221" i="49"/>
  <c r="V170" i="49"/>
  <c r="V173" i="49" s="1"/>
  <c r="R388" i="49"/>
  <c r="R386" i="49"/>
  <c r="R387" i="49"/>
  <c r="N72" i="49"/>
  <c r="N71" i="49"/>
  <c r="N73" i="49"/>
  <c r="G71" i="49"/>
  <c r="G73" i="49"/>
  <c r="G72" i="49"/>
  <c r="I228" i="49"/>
  <c r="I227" i="49"/>
  <c r="I229" i="49"/>
  <c r="M21" i="49"/>
  <c r="M19" i="49"/>
  <c r="M20" i="49"/>
  <c r="O176" i="49"/>
  <c r="O177" i="49"/>
  <c r="O175" i="49"/>
  <c r="T228" i="49"/>
  <c r="T229" i="49"/>
  <c r="T227" i="49"/>
  <c r="J377" i="49"/>
  <c r="J383" i="49" s="1"/>
  <c r="J384" i="49" s="1"/>
  <c r="J331" i="49"/>
  <c r="J332" i="49" s="1"/>
  <c r="J73" i="49"/>
  <c r="J72" i="49"/>
  <c r="J71" i="49"/>
  <c r="C229" i="49"/>
  <c r="C227" i="49"/>
  <c r="C228" i="49"/>
  <c r="F329" i="49"/>
  <c r="F332" i="49" s="1"/>
  <c r="F376" i="49"/>
  <c r="F381" i="49" s="1"/>
  <c r="F384" i="49" s="1"/>
  <c r="P387" i="49"/>
  <c r="P388" i="49"/>
  <c r="P386" i="49"/>
  <c r="L228" i="49"/>
  <c r="L229" i="49"/>
  <c r="L227" i="49"/>
  <c r="E376" i="49"/>
  <c r="E381" i="49" s="1"/>
  <c r="E384" i="49" s="1"/>
  <c r="E329" i="49"/>
  <c r="E332" i="49" s="1"/>
  <c r="U21" i="49"/>
  <c r="U19" i="49"/>
  <c r="U20" i="49"/>
  <c r="Q19" i="49"/>
  <c r="Q20" i="49"/>
  <c r="Q21" i="49"/>
  <c r="N123" i="49"/>
  <c r="N125" i="49"/>
  <c r="N124" i="49"/>
  <c r="L125" i="49"/>
  <c r="L124" i="49"/>
  <c r="L123" i="49"/>
  <c r="O282" i="49"/>
  <c r="O281" i="49"/>
  <c r="O283" i="49"/>
  <c r="T283" i="49"/>
  <c r="T282" i="49"/>
  <c r="T281" i="49"/>
  <c r="D124" i="49"/>
  <c r="D123" i="49"/>
  <c r="D125" i="49"/>
  <c r="G376" i="49"/>
  <c r="G381" i="49" s="1"/>
  <c r="G384" i="49" s="1"/>
  <c r="G329" i="49"/>
  <c r="G332" i="49" s="1"/>
  <c r="G176" i="49"/>
  <c r="G177" i="49"/>
  <c r="G175" i="49"/>
  <c r="U125" i="49"/>
  <c r="U124" i="49"/>
  <c r="U123" i="49"/>
  <c r="Q123" i="49"/>
  <c r="Q125" i="49"/>
  <c r="Q124" i="49"/>
  <c r="N177" i="49"/>
  <c r="N176" i="49"/>
  <c r="N175" i="49"/>
  <c r="D176" i="49"/>
  <c r="D175" i="49"/>
  <c r="D177" i="49"/>
  <c r="K124" i="49"/>
  <c r="K125" i="49"/>
  <c r="K123" i="49"/>
  <c r="O334" i="49"/>
  <c r="O335" i="49"/>
  <c r="O336" i="49"/>
  <c r="L376" i="49"/>
  <c r="L381" i="49" s="1"/>
  <c r="L384" i="49" s="1"/>
  <c r="L329" i="49"/>
  <c r="L332" i="49" s="1"/>
  <c r="U283" i="49"/>
  <c r="U281" i="49"/>
  <c r="U282" i="49"/>
  <c r="Q72" i="49"/>
  <c r="Q71" i="49"/>
  <c r="Q73" i="49"/>
  <c r="D329" i="49"/>
  <c r="D332" i="49" s="1"/>
  <c r="D376" i="49"/>
  <c r="D381" i="49" s="1"/>
  <c r="D384" i="49" s="1"/>
  <c r="N282" i="49"/>
  <c r="N283" i="49"/>
  <c r="N281" i="49"/>
  <c r="I123" i="49"/>
  <c r="I125" i="49"/>
  <c r="I124" i="49"/>
  <c r="O19" i="49"/>
  <c r="O20" i="49"/>
  <c r="O21" i="49"/>
  <c r="U336" i="49"/>
  <c r="U335" i="49"/>
  <c r="U334" i="49"/>
  <c r="W227" i="49"/>
  <c r="W229" i="49"/>
  <c r="W228" i="49"/>
  <c r="J175" i="49"/>
  <c r="J177" i="49"/>
  <c r="J176" i="49"/>
  <c r="O386" i="49"/>
  <c r="O387" i="49"/>
  <c r="O388" i="49"/>
  <c r="U175" i="49"/>
  <c r="U176" i="49"/>
  <c r="U177" i="49"/>
  <c r="Q177" i="49"/>
  <c r="Q176" i="49"/>
  <c r="Q175" i="49"/>
  <c r="T335" i="49"/>
  <c r="T336" i="49"/>
  <c r="T334" i="49"/>
  <c r="N229" i="49"/>
  <c r="N228" i="49"/>
  <c r="N227" i="49"/>
  <c r="X72" i="49"/>
  <c r="X73" i="49"/>
  <c r="X71" i="49"/>
  <c r="O71" i="49"/>
  <c r="O72" i="49"/>
  <c r="O73" i="49"/>
  <c r="T20" i="49"/>
  <c r="T21" i="49"/>
  <c r="T19" i="49"/>
  <c r="M125" i="49"/>
  <c r="M124" i="49"/>
  <c r="M123" i="49"/>
  <c r="E125" i="49"/>
  <c r="E124" i="49"/>
  <c r="E123" i="49"/>
  <c r="H377" i="49"/>
  <c r="H383" i="49" s="1"/>
  <c r="H384" i="49" s="1"/>
  <c r="H331" i="49"/>
  <c r="H332" i="49" s="1"/>
  <c r="U229" i="49"/>
  <c r="U227" i="49"/>
  <c r="U228" i="49"/>
  <c r="Q228" i="49"/>
  <c r="Q229" i="49"/>
  <c r="Q227" i="49"/>
  <c r="I72" i="49"/>
  <c r="I73" i="49"/>
  <c r="I71" i="49"/>
  <c r="T386" i="49"/>
  <c r="T388" i="49"/>
  <c r="T387" i="49"/>
  <c r="G125" i="49"/>
  <c r="G124" i="49"/>
  <c r="G123" i="49"/>
  <c r="X19" i="49"/>
  <c r="X20" i="49"/>
  <c r="X21" i="49"/>
  <c r="BQ15" i="48" l="1"/>
  <c r="BT15" i="48" s="1"/>
  <c r="BV15" i="48" s="1"/>
  <c r="BQ16" i="48"/>
  <c r="BR16" i="48" s="1"/>
  <c r="BQ19" i="48"/>
  <c r="BR19" i="48" s="1"/>
  <c r="BP13" i="48"/>
  <c r="BO13" i="48"/>
  <c r="BN13" i="48"/>
  <c r="O20" i="33"/>
  <c r="P23" i="33"/>
  <c r="Q23" i="33"/>
  <c r="O24" i="33"/>
  <c r="BP17" i="48"/>
  <c r="BO17" i="48"/>
  <c r="BN17" i="48"/>
  <c r="P22" i="33"/>
  <c r="Q22" i="33"/>
  <c r="Q26" i="33"/>
  <c r="P26" i="33"/>
  <c r="BO20" i="48"/>
  <c r="BN20" i="48"/>
  <c r="O27" i="33"/>
  <c r="BP20" i="48"/>
  <c r="O25" i="33"/>
  <c r="BP18" i="48"/>
  <c r="BO18" i="48"/>
  <c r="BN18" i="48"/>
  <c r="J127" i="49"/>
  <c r="J128" i="49" s="1"/>
  <c r="AD288" i="50"/>
  <c r="AF288" i="50" s="1"/>
  <c r="R76" i="49"/>
  <c r="V78" i="49"/>
  <c r="V80" i="49" s="1"/>
  <c r="V103" i="49" s="1"/>
  <c r="W78" i="49"/>
  <c r="W80" i="49" s="1"/>
  <c r="W103" i="49" s="1"/>
  <c r="BK21" i="48"/>
  <c r="BM21" i="48" s="1"/>
  <c r="P179" i="49"/>
  <c r="P180" i="49" s="1"/>
  <c r="R53" i="49"/>
  <c r="R55" i="49" s="1"/>
  <c r="P231" i="49"/>
  <c r="P232" i="49" s="1"/>
  <c r="W393" i="49"/>
  <c r="W395" i="49" s="1"/>
  <c r="W418" i="49" s="1"/>
  <c r="G231" i="49"/>
  <c r="G234" i="49" s="1"/>
  <c r="G236" i="49" s="1"/>
  <c r="G259" i="49" s="1"/>
  <c r="L43" i="50"/>
  <c r="W43" i="50" s="1"/>
  <c r="EV43" i="50" s="1"/>
  <c r="L17" i="50"/>
  <c r="W17" i="50" s="1"/>
  <c r="Y17" i="50" s="1"/>
  <c r="X4" i="50"/>
  <c r="D75" i="49"/>
  <c r="D76" i="49" s="1"/>
  <c r="BK27" i="48"/>
  <c r="BM27" i="48" s="1"/>
  <c r="BK23" i="48"/>
  <c r="BM23" i="48" s="1"/>
  <c r="BK26" i="48"/>
  <c r="BM26" i="48" s="1"/>
  <c r="BK25" i="48"/>
  <c r="BM25" i="48" s="1"/>
  <c r="BK22" i="48"/>
  <c r="BM22" i="48" s="1"/>
  <c r="BK24" i="48"/>
  <c r="BL24" i="48" s="1"/>
  <c r="L30" i="50"/>
  <c r="W30" i="50" s="1"/>
  <c r="Z30" i="50" s="1"/>
  <c r="L69" i="50"/>
  <c r="W69" i="50" s="1"/>
  <c r="EV69" i="50" s="1"/>
  <c r="L82" i="50"/>
  <c r="W82" i="50" s="1"/>
  <c r="EV82" i="50" s="1"/>
  <c r="Y4" i="50"/>
  <c r="EV4" i="50"/>
  <c r="L108" i="50"/>
  <c r="W108" i="50" s="1"/>
  <c r="EV108" i="50" s="1"/>
  <c r="L56" i="50"/>
  <c r="W56" i="50" s="1"/>
  <c r="Y56" i="50" s="1"/>
  <c r="L95" i="50"/>
  <c r="W95" i="50" s="1"/>
  <c r="X95" i="50" s="1"/>
  <c r="L121" i="50"/>
  <c r="W121" i="50" s="1"/>
  <c r="Z121" i="50" s="1"/>
  <c r="G283" i="49"/>
  <c r="P23" i="49"/>
  <c r="P24" i="49" s="1"/>
  <c r="EV131" i="50"/>
  <c r="E282" i="49"/>
  <c r="X131" i="50"/>
  <c r="E281" i="49"/>
  <c r="K334" i="49"/>
  <c r="K336" i="49"/>
  <c r="W26" i="49"/>
  <c r="W28" i="49" s="1"/>
  <c r="W51" i="49" s="1"/>
  <c r="D282" i="49"/>
  <c r="Y131" i="50"/>
  <c r="J231" i="49"/>
  <c r="J234" i="49" s="1"/>
  <c r="J236" i="49" s="1"/>
  <c r="J259" i="49" s="1"/>
  <c r="P75" i="49"/>
  <c r="P78" i="49" s="1"/>
  <c r="P80" i="49" s="1"/>
  <c r="P103" i="49" s="1"/>
  <c r="AH310" i="50"/>
  <c r="AA14" i="50"/>
  <c r="AD14" i="50" s="1"/>
  <c r="AF14" i="50" s="1"/>
  <c r="H282" i="49"/>
  <c r="H283" i="49"/>
  <c r="AA32" i="50"/>
  <c r="AJ32" i="50" s="1"/>
  <c r="AD311" i="50"/>
  <c r="AJ313" i="50" s="1"/>
  <c r="G281" i="49"/>
  <c r="Z40" i="50"/>
  <c r="AH303" i="50"/>
  <c r="EV40" i="50"/>
  <c r="D24" i="49"/>
  <c r="L23" i="49"/>
  <c r="L24" i="49" s="1"/>
  <c r="J281" i="49"/>
  <c r="Y118" i="50"/>
  <c r="E231" i="49"/>
  <c r="E234" i="49" s="1"/>
  <c r="E236" i="49" s="1"/>
  <c r="E259" i="49" s="1"/>
  <c r="X40" i="50"/>
  <c r="C281" i="49"/>
  <c r="J282" i="49"/>
  <c r="Z118" i="50"/>
  <c r="AF303" i="50"/>
  <c r="AF311" i="50" s="1"/>
  <c r="C282" i="49"/>
  <c r="L282" i="49"/>
  <c r="X123" i="50"/>
  <c r="D283" i="49"/>
  <c r="K282" i="49"/>
  <c r="AH309" i="50"/>
  <c r="M282" i="49"/>
  <c r="M281" i="49"/>
  <c r="EV73" i="50"/>
  <c r="R182" i="49"/>
  <c r="R184" i="49" s="1"/>
  <c r="R207" i="49" s="1"/>
  <c r="C127" i="49"/>
  <c r="C130" i="49" s="1"/>
  <c r="C132" i="49" s="1"/>
  <c r="C155" i="49" s="1"/>
  <c r="M336" i="49"/>
  <c r="P288" i="49"/>
  <c r="P290" i="49" s="1"/>
  <c r="P313" i="49" s="1"/>
  <c r="W180" i="49"/>
  <c r="M334" i="49"/>
  <c r="Z58" i="50"/>
  <c r="Z97" i="50"/>
  <c r="X97" i="50"/>
  <c r="H127" i="49"/>
  <c r="H130" i="49" s="1"/>
  <c r="H132" i="49" s="1"/>
  <c r="H155" i="49" s="1"/>
  <c r="X53" i="50"/>
  <c r="F231" i="49"/>
  <c r="F234" i="49" s="1"/>
  <c r="F236" i="49" s="1"/>
  <c r="F259" i="49" s="1"/>
  <c r="Z105" i="50"/>
  <c r="Y71" i="50"/>
  <c r="EV6" i="50"/>
  <c r="X6" i="50"/>
  <c r="Y6" i="50"/>
  <c r="C75" i="49"/>
  <c r="C78" i="49" s="1"/>
  <c r="C80" i="49" s="1"/>
  <c r="C103" i="49" s="1"/>
  <c r="I179" i="49"/>
  <c r="I182" i="49" s="1"/>
  <c r="I184" i="49" s="1"/>
  <c r="I207" i="49" s="1"/>
  <c r="K75" i="49"/>
  <c r="K78" i="49" s="1"/>
  <c r="K80" i="49" s="1"/>
  <c r="K103" i="49" s="1"/>
  <c r="F75" i="49"/>
  <c r="F76" i="49" s="1"/>
  <c r="Y20" i="50"/>
  <c r="Z20" i="50"/>
  <c r="EV68" i="50"/>
  <c r="EV97" i="50"/>
  <c r="X105" i="50"/>
  <c r="S127" i="49"/>
  <c r="S130" i="49" s="1"/>
  <c r="S132" i="49" s="1"/>
  <c r="S155" i="49" s="1"/>
  <c r="AJ311" i="50"/>
  <c r="K231" i="49"/>
  <c r="K234" i="49" s="1"/>
  <c r="R130" i="49"/>
  <c r="R132" i="49" s="1"/>
  <c r="R155" i="49" s="1"/>
  <c r="K281" i="49"/>
  <c r="Y68" i="50"/>
  <c r="Y97" i="50"/>
  <c r="EV105" i="50"/>
  <c r="EV71" i="50"/>
  <c r="X71" i="50"/>
  <c r="W16" i="50"/>
  <c r="Z16" i="50" s="1"/>
  <c r="W341" i="49"/>
  <c r="W343" i="49" s="1"/>
  <c r="W366" i="49" s="1"/>
  <c r="F179" i="49"/>
  <c r="F182" i="49" s="1"/>
  <c r="F184" i="49" s="1"/>
  <c r="F207" i="49" s="1"/>
  <c r="EV20" i="50"/>
  <c r="X73" i="50"/>
  <c r="X58" i="50"/>
  <c r="Z123" i="50"/>
  <c r="X66" i="50"/>
  <c r="Y53" i="50"/>
  <c r="L281" i="49"/>
  <c r="X20" i="50"/>
  <c r="Y73" i="50"/>
  <c r="Y58" i="50"/>
  <c r="Y123" i="50"/>
  <c r="Z66" i="50"/>
  <c r="Z53" i="50"/>
  <c r="Y66" i="50"/>
  <c r="EV19" i="50"/>
  <c r="Y110" i="50"/>
  <c r="EV110" i="50"/>
  <c r="X110" i="50"/>
  <c r="Z110" i="50"/>
  <c r="X45" i="50"/>
  <c r="Z45" i="50"/>
  <c r="Y45" i="50"/>
  <c r="EV45" i="50"/>
  <c r="Z84" i="50"/>
  <c r="X84" i="50"/>
  <c r="EV84" i="50"/>
  <c r="Y84" i="50"/>
  <c r="X68" i="50"/>
  <c r="EV118" i="50"/>
  <c r="M231" i="49"/>
  <c r="M232" i="49" s="1"/>
  <c r="P127" i="49"/>
  <c r="P130" i="49" s="1"/>
  <c r="E179" i="49"/>
  <c r="E180" i="49" s="1"/>
  <c r="X92" i="50"/>
  <c r="R286" i="49"/>
  <c r="Y92" i="50"/>
  <c r="M75" i="49"/>
  <c r="M76" i="49" s="1"/>
  <c r="R234" i="49"/>
  <c r="R236" i="49" s="1"/>
  <c r="R259" i="49" s="1"/>
  <c r="Z92" i="50"/>
  <c r="EV9" i="50"/>
  <c r="Y93" i="50"/>
  <c r="X93" i="50"/>
  <c r="EV93" i="50"/>
  <c r="Z93" i="50"/>
  <c r="Z111" i="50"/>
  <c r="EV111" i="50"/>
  <c r="X111" i="50"/>
  <c r="Y111" i="50"/>
  <c r="V127" i="49"/>
  <c r="V128" i="49" s="1"/>
  <c r="X127" i="49"/>
  <c r="X130" i="49" s="1"/>
  <c r="X132" i="49" s="1"/>
  <c r="AD290" i="50"/>
  <c r="AF290" i="50" s="1"/>
  <c r="AJ300" i="50"/>
  <c r="AD289" i="50"/>
  <c r="AF289" i="50" s="1"/>
  <c r="EV46" i="50"/>
  <c r="Y46" i="50"/>
  <c r="EV23" i="50"/>
  <c r="Z23" i="50"/>
  <c r="Y59" i="50"/>
  <c r="EV59" i="50"/>
  <c r="AA27" i="50"/>
  <c r="AB27" i="50" s="1"/>
  <c r="W130" i="49"/>
  <c r="W132" i="49" s="1"/>
  <c r="W155" i="49" s="1"/>
  <c r="S234" i="49"/>
  <c r="S236" i="49" s="1"/>
  <c r="S259" i="49" s="1"/>
  <c r="X34" i="50"/>
  <c r="EV34" i="50"/>
  <c r="E75" i="49"/>
  <c r="E76" i="49" s="1"/>
  <c r="AD293" i="50"/>
  <c r="AF293" i="50" s="1"/>
  <c r="X9" i="50"/>
  <c r="EV81" i="50"/>
  <c r="Z9" i="50"/>
  <c r="X81" i="50"/>
  <c r="AD292" i="50"/>
  <c r="AF292" i="50" s="1"/>
  <c r="AA296" i="50"/>
  <c r="AJ297" i="50"/>
  <c r="X151" i="48"/>
  <c r="X124" i="50"/>
  <c r="EV124" i="50"/>
  <c r="Y124" i="50"/>
  <c r="Z124" i="50"/>
  <c r="X85" i="50"/>
  <c r="Z85" i="50"/>
  <c r="EV85" i="50"/>
  <c r="Y85" i="50"/>
  <c r="EV98" i="50"/>
  <c r="Y98" i="50"/>
  <c r="X98" i="50"/>
  <c r="Z98" i="50"/>
  <c r="X42" i="50"/>
  <c r="Z42" i="50"/>
  <c r="EV42" i="50"/>
  <c r="Y42" i="50"/>
  <c r="Y119" i="50"/>
  <c r="X119" i="50"/>
  <c r="EV119" i="50"/>
  <c r="Z119" i="50"/>
  <c r="Y132" i="50"/>
  <c r="Z132" i="50"/>
  <c r="Y60" i="50"/>
  <c r="Z60" i="50"/>
  <c r="X60" i="50"/>
  <c r="EV60" i="50"/>
  <c r="Z47" i="50"/>
  <c r="EV47" i="50"/>
  <c r="X47" i="50"/>
  <c r="Y47" i="50"/>
  <c r="EV87" i="50"/>
  <c r="Y87" i="50"/>
  <c r="Z87" i="50"/>
  <c r="X87" i="50"/>
  <c r="X86" i="50"/>
  <c r="Z86" i="50"/>
  <c r="Y86" i="50"/>
  <c r="EV86" i="50"/>
  <c r="E127" i="49"/>
  <c r="E130" i="49" s="1"/>
  <c r="E132" i="49" s="1"/>
  <c r="E155" i="49" s="1"/>
  <c r="N285" i="49"/>
  <c r="N288" i="49" s="1"/>
  <c r="N290" i="49" s="1"/>
  <c r="N313" i="49" s="1"/>
  <c r="K127" i="49"/>
  <c r="K130" i="49" s="1"/>
  <c r="K132" i="49" s="1"/>
  <c r="K155" i="49" s="1"/>
  <c r="P338" i="49"/>
  <c r="P341" i="49" s="1"/>
  <c r="P343" i="49" s="1"/>
  <c r="P366" i="49" s="1"/>
  <c r="V420" i="49"/>
  <c r="V422" i="49" s="1"/>
  <c r="G179" i="49"/>
  <c r="G180" i="49" s="1"/>
  <c r="X338" i="49"/>
  <c r="X341" i="49" s="1"/>
  <c r="X343" i="49" s="1"/>
  <c r="M127" i="49"/>
  <c r="M128" i="49" s="1"/>
  <c r="X390" i="49"/>
  <c r="X393" i="49" s="1"/>
  <c r="X395" i="49" s="1"/>
  <c r="X179" i="49"/>
  <c r="X182" i="49" s="1"/>
  <c r="X184" i="49" s="1"/>
  <c r="AD291" i="50"/>
  <c r="AF291" i="50" s="1"/>
  <c r="AD295" i="50"/>
  <c r="AF295" i="50" s="1"/>
  <c r="AJ291" i="50"/>
  <c r="X75" i="49"/>
  <c r="X78" i="49" s="1"/>
  <c r="X80" i="49" s="1"/>
  <c r="X23" i="49"/>
  <c r="X26" i="49" s="1"/>
  <c r="X28" i="49" s="1"/>
  <c r="Z46" i="50"/>
  <c r="Z59" i="50"/>
  <c r="X46" i="50"/>
  <c r="X59" i="50"/>
  <c r="V391" i="49"/>
  <c r="Q231" i="49"/>
  <c r="Q234" i="49" s="1"/>
  <c r="Q236" i="49" s="1"/>
  <c r="Q259" i="49" s="1"/>
  <c r="V339" i="49"/>
  <c r="W285" i="49"/>
  <c r="W286" i="49" s="1"/>
  <c r="W231" i="49"/>
  <c r="W232" i="49" s="1"/>
  <c r="V341" i="49"/>
  <c r="V343" i="49" s="1"/>
  <c r="V366" i="49" s="1"/>
  <c r="R315" i="49"/>
  <c r="R317" i="49" s="1"/>
  <c r="X19" i="50"/>
  <c r="Y34" i="50"/>
  <c r="Y19" i="50"/>
  <c r="W209" i="49"/>
  <c r="W211" i="49" s="1"/>
  <c r="S179" i="49"/>
  <c r="S180" i="49" s="1"/>
  <c r="V133" i="50"/>
  <c r="V134" i="50" s="1"/>
  <c r="EV132" i="50"/>
  <c r="X132" i="50"/>
  <c r="EV61" i="50"/>
  <c r="Z61" i="50"/>
  <c r="Y61" i="50"/>
  <c r="X61" i="50"/>
  <c r="X112" i="50"/>
  <c r="EV112" i="50"/>
  <c r="Y112" i="50"/>
  <c r="Z112" i="50"/>
  <c r="Y120" i="50"/>
  <c r="X120" i="50"/>
  <c r="EV120" i="50"/>
  <c r="Z120" i="50"/>
  <c r="Z74" i="50"/>
  <c r="X74" i="50"/>
  <c r="EV74" i="50"/>
  <c r="Y74" i="50"/>
  <c r="EV114" i="50"/>
  <c r="Y114" i="50"/>
  <c r="X114" i="50"/>
  <c r="Z114" i="50"/>
  <c r="X94" i="50"/>
  <c r="Y94" i="50"/>
  <c r="Z94" i="50"/>
  <c r="EV94" i="50"/>
  <c r="Z72" i="50"/>
  <c r="Y72" i="50"/>
  <c r="EV72" i="50"/>
  <c r="X72" i="50"/>
  <c r="Y48" i="50"/>
  <c r="X48" i="50"/>
  <c r="EV48" i="50"/>
  <c r="Z48" i="50"/>
  <c r="EV88" i="50"/>
  <c r="X88" i="50"/>
  <c r="Z88" i="50"/>
  <c r="Y88" i="50"/>
  <c r="X49" i="50"/>
  <c r="EV49" i="50"/>
  <c r="Y49" i="50"/>
  <c r="Z49" i="50"/>
  <c r="EV21" i="50"/>
  <c r="Z21" i="50"/>
  <c r="X21" i="50"/>
  <c r="Y21" i="50"/>
  <c r="Z100" i="50"/>
  <c r="Y100" i="50"/>
  <c r="X100" i="50"/>
  <c r="EV100" i="50"/>
  <c r="Z75" i="50"/>
  <c r="Y75" i="50"/>
  <c r="EV75" i="50"/>
  <c r="X75" i="50"/>
  <c r="Z67" i="50"/>
  <c r="Y67" i="50"/>
  <c r="EV67" i="50"/>
  <c r="X67" i="50"/>
  <c r="EV35" i="50"/>
  <c r="Z35" i="50"/>
  <c r="Y35" i="50"/>
  <c r="X35" i="50"/>
  <c r="Y54" i="50"/>
  <c r="EV54" i="50"/>
  <c r="Z54" i="50"/>
  <c r="X54" i="50"/>
  <c r="X41" i="50"/>
  <c r="Z41" i="50"/>
  <c r="EV41" i="50"/>
  <c r="Y41" i="50"/>
  <c r="Z113" i="50"/>
  <c r="Y113" i="50"/>
  <c r="EV113" i="50"/>
  <c r="X113" i="50"/>
  <c r="Z127" i="50"/>
  <c r="Y127" i="50"/>
  <c r="X127" i="50"/>
  <c r="EV127" i="50"/>
  <c r="Z125" i="50"/>
  <c r="EV125" i="50"/>
  <c r="X125" i="50"/>
  <c r="Y125" i="50"/>
  <c r="Z80" i="50"/>
  <c r="EV80" i="50"/>
  <c r="Y80" i="50"/>
  <c r="X80" i="50"/>
  <c r="Z55" i="50"/>
  <c r="X55" i="50"/>
  <c r="EV55" i="50"/>
  <c r="Y55" i="50"/>
  <c r="EV126" i="50"/>
  <c r="X126" i="50"/>
  <c r="Z126" i="50"/>
  <c r="Y126" i="50"/>
  <c r="Y62" i="50"/>
  <c r="EV62" i="50"/>
  <c r="Z62" i="50"/>
  <c r="X62" i="50"/>
  <c r="EV106" i="50"/>
  <c r="Z106" i="50"/>
  <c r="Y106" i="50"/>
  <c r="X106" i="50"/>
  <c r="X107" i="50"/>
  <c r="Z107" i="50"/>
  <c r="EV107" i="50"/>
  <c r="Y107" i="50"/>
  <c r="L179" i="49"/>
  <c r="L182" i="49" s="1"/>
  <c r="X23" i="50"/>
  <c r="X22" i="50"/>
  <c r="EV22" i="50"/>
  <c r="Y22" i="50"/>
  <c r="Z22" i="50"/>
  <c r="Z36" i="50"/>
  <c r="EV36" i="50"/>
  <c r="Y36" i="50"/>
  <c r="X36" i="50"/>
  <c r="L115" i="50"/>
  <c r="W115" i="50" s="1"/>
  <c r="L89" i="50"/>
  <c r="W89" i="50" s="1"/>
  <c r="L102" i="50"/>
  <c r="W102" i="50" s="1"/>
  <c r="L50" i="50"/>
  <c r="W50" i="50" s="1"/>
  <c r="L76" i="50"/>
  <c r="W76" i="50" s="1"/>
  <c r="L128" i="50"/>
  <c r="W128" i="50" s="1"/>
  <c r="L37" i="50"/>
  <c r="W37" i="50" s="1"/>
  <c r="L24" i="50"/>
  <c r="W24" i="50" s="1"/>
  <c r="L63" i="50"/>
  <c r="W63" i="50" s="1"/>
  <c r="W11" i="50"/>
  <c r="L64" i="50"/>
  <c r="W64" i="50" s="1"/>
  <c r="L25" i="50"/>
  <c r="W25" i="50" s="1"/>
  <c r="L90" i="50"/>
  <c r="W90" i="50" s="1"/>
  <c r="W12" i="50"/>
  <c r="L51" i="50"/>
  <c r="W51" i="50" s="1"/>
  <c r="L38" i="50"/>
  <c r="W38" i="50" s="1"/>
  <c r="L129" i="50"/>
  <c r="W129" i="50" s="1"/>
  <c r="L116" i="50"/>
  <c r="W116" i="50" s="1"/>
  <c r="L103" i="50"/>
  <c r="W103" i="50" s="1"/>
  <c r="L77" i="50"/>
  <c r="W77" i="50" s="1"/>
  <c r="H75" i="49"/>
  <c r="H76" i="49" s="1"/>
  <c r="Y99" i="50"/>
  <c r="Y23" i="50"/>
  <c r="X8" i="50"/>
  <c r="Z8" i="50"/>
  <c r="EV8" i="50"/>
  <c r="Y8" i="50"/>
  <c r="L91" i="50"/>
  <c r="W91" i="50" s="1"/>
  <c r="L65" i="50"/>
  <c r="W65" i="50" s="1"/>
  <c r="L52" i="50"/>
  <c r="W52" i="50" s="1"/>
  <c r="L104" i="50"/>
  <c r="W104" i="50" s="1"/>
  <c r="L26" i="50"/>
  <c r="W26" i="50" s="1"/>
  <c r="L39" i="50"/>
  <c r="W39" i="50" s="1"/>
  <c r="L130" i="50"/>
  <c r="W130" i="50" s="1"/>
  <c r="L117" i="50"/>
  <c r="W117" i="50" s="1"/>
  <c r="L78" i="50"/>
  <c r="W78" i="50" s="1"/>
  <c r="W13" i="50"/>
  <c r="T127" i="49"/>
  <c r="T130" i="49" s="1"/>
  <c r="T132" i="49" s="1"/>
  <c r="T155" i="49" s="1"/>
  <c r="S285" i="49"/>
  <c r="Z99" i="50"/>
  <c r="EV79" i="50"/>
  <c r="EV101" i="50"/>
  <c r="EV7" i="50"/>
  <c r="Y7" i="50"/>
  <c r="Z7" i="50"/>
  <c r="X7" i="50"/>
  <c r="Z81" i="50"/>
  <c r="X28" i="50"/>
  <c r="X99" i="50"/>
  <c r="X79" i="50"/>
  <c r="Z101" i="50"/>
  <c r="L44" i="50"/>
  <c r="W44" i="50" s="1"/>
  <c r="L122" i="50"/>
  <c r="W122" i="50" s="1"/>
  <c r="L109" i="50"/>
  <c r="W109" i="50" s="1"/>
  <c r="L70" i="50"/>
  <c r="W70" i="50" s="1"/>
  <c r="L83" i="50"/>
  <c r="W83" i="50" s="1"/>
  <c r="L96" i="50"/>
  <c r="W96" i="50" s="1"/>
  <c r="L57" i="50"/>
  <c r="W57" i="50" s="1"/>
  <c r="L31" i="50"/>
  <c r="W31" i="50" s="1"/>
  <c r="L18" i="50"/>
  <c r="W18" i="50" s="1"/>
  <c r="W5" i="50"/>
  <c r="N231" i="49"/>
  <c r="N234" i="49" s="1"/>
  <c r="N236" i="49" s="1"/>
  <c r="N259" i="49" s="1"/>
  <c r="T285" i="49"/>
  <c r="T286" i="49" s="1"/>
  <c r="L127" i="49"/>
  <c r="L128" i="49" s="1"/>
  <c r="Y28" i="50"/>
  <c r="Y79" i="50"/>
  <c r="X101" i="50"/>
  <c r="Z28" i="50"/>
  <c r="Y15" i="50"/>
  <c r="EV15" i="50"/>
  <c r="Z15" i="50"/>
  <c r="X15" i="50"/>
  <c r="N338" i="49"/>
  <c r="N341" i="49" s="1"/>
  <c r="N343" i="49" s="1"/>
  <c r="N366" i="49" s="1"/>
  <c r="EV29" i="50"/>
  <c r="Z29" i="50"/>
  <c r="Y29" i="50"/>
  <c r="X29" i="50"/>
  <c r="EV33" i="50"/>
  <c r="Y33" i="50"/>
  <c r="X33" i="50"/>
  <c r="Z33" i="50"/>
  <c r="AA10" i="50"/>
  <c r="Y3" i="50"/>
  <c r="Z3" i="50"/>
  <c r="X3" i="50"/>
  <c r="EV3" i="50"/>
  <c r="AE81" i="50"/>
  <c r="AE82" i="50" s="1"/>
  <c r="AE83" i="50" s="1"/>
  <c r="AE84" i="50" s="1"/>
  <c r="AE85" i="50" s="1"/>
  <c r="AE86" i="50" s="1"/>
  <c r="AE87" i="50" s="1"/>
  <c r="AE88" i="50" s="1"/>
  <c r="AE76" i="50"/>
  <c r="N75" i="49"/>
  <c r="N78" i="49" s="1"/>
  <c r="N80" i="49" s="1"/>
  <c r="N103" i="49" s="1"/>
  <c r="O75" i="49"/>
  <c r="O76" i="49" s="1"/>
  <c r="U179" i="49"/>
  <c r="U182" i="49" s="1"/>
  <c r="U184" i="49" s="1"/>
  <c r="U207" i="49" s="1"/>
  <c r="U127" i="49"/>
  <c r="U130" i="49" s="1"/>
  <c r="U132" i="49" s="1"/>
  <c r="U155" i="49" s="1"/>
  <c r="I231" i="49"/>
  <c r="I232" i="49" s="1"/>
  <c r="I283" i="49"/>
  <c r="F283" i="49"/>
  <c r="L78" i="49"/>
  <c r="L80" i="49" s="1"/>
  <c r="L103" i="49" s="1"/>
  <c r="R338" i="49"/>
  <c r="R339" i="49" s="1"/>
  <c r="I282" i="49"/>
  <c r="F281" i="49"/>
  <c r="U390" i="49"/>
  <c r="U391" i="49" s="1"/>
  <c r="O23" i="49"/>
  <c r="O26" i="49" s="1"/>
  <c r="O28" i="49" s="1"/>
  <c r="O51" i="49" s="1"/>
  <c r="D127" i="49"/>
  <c r="D128" i="49" s="1"/>
  <c r="O285" i="49"/>
  <c r="O288" i="49" s="1"/>
  <c r="O290" i="49" s="1"/>
  <c r="O313" i="49" s="1"/>
  <c r="N127" i="49"/>
  <c r="N128" i="49" s="1"/>
  <c r="F26" i="49"/>
  <c r="F28" i="49" s="1"/>
  <c r="F51" i="49" s="1"/>
  <c r="Q179" i="49"/>
  <c r="Q180" i="49" s="1"/>
  <c r="O179" i="49"/>
  <c r="O182" i="49" s="1"/>
  <c r="O184" i="49" s="1"/>
  <c r="O207" i="49" s="1"/>
  <c r="Q390" i="49"/>
  <c r="Q393" i="49" s="1"/>
  <c r="Q395" i="49" s="1"/>
  <c r="Q418" i="49" s="1"/>
  <c r="U75" i="49"/>
  <c r="U76" i="49" s="1"/>
  <c r="G127" i="49"/>
  <c r="G130" i="49" s="1"/>
  <c r="G132" i="49" s="1"/>
  <c r="G155" i="49" s="1"/>
  <c r="N23" i="49"/>
  <c r="N26" i="49" s="1"/>
  <c r="N28" i="49" s="1"/>
  <c r="N51" i="49" s="1"/>
  <c r="H231" i="49"/>
  <c r="H234" i="49" s="1"/>
  <c r="H236" i="49" s="1"/>
  <c r="H259" i="49" s="1"/>
  <c r="L231" i="49"/>
  <c r="L234" i="49" s="1"/>
  <c r="L236" i="49" s="1"/>
  <c r="L259" i="49" s="1"/>
  <c r="I127" i="49"/>
  <c r="I128" i="49" s="1"/>
  <c r="Q75" i="49"/>
  <c r="Q78" i="49" s="1"/>
  <c r="Q80" i="49" s="1"/>
  <c r="Q103" i="49" s="1"/>
  <c r="N390" i="49"/>
  <c r="N391" i="49" s="1"/>
  <c r="O231" i="49"/>
  <c r="O234" i="49" s="1"/>
  <c r="O236" i="49" s="1"/>
  <c r="O259" i="49" s="1"/>
  <c r="D231" i="49"/>
  <c r="H26" i="49"/>
  <c r="H28" i="49" s="1"/>
  <c r="H51" i="49" s="1"/>
  <c r="E26" i="49"/>
  <c r="E28" i="49" s="1"/>
  <c r="E51" i="49" s="1"/>
  <c r="G26" i="49"/>
  <c r="G28" i="49" s="1"/>
  <c r="G51" i="49" s="1"/>
  <c r="K26" i="49"/>
  <c r="K28" i="49" s="1"/>
  <c r="K51" i="49" s="1"/>
  <c r="O338" i="49"/>
  <c r="O339" i="49" s="1"/>
  <c r="N179" i="49"/>
  <c r="N180" i="49" s="1"/>
  <c r="J75" i="49"/>
  <c r="J78" i="49" s="1"/>
  <c r="J80" i="49" s="1"/>
  <c r="J103" i="49" s="1"/>
  <c r="H179" i="49"/>
  <c r="H182" i="49" s="1"/>
  <c r="H184" i="49" s="1"/>
  <c r="H207" i="49" s="1"/>
  <c r="S338" i="49"/>
  <c r="S341" i="49" s="1"/>
  <c r="S343" i="49" s="1"/>
  <c r="S366" i="49" s="1"/>
  <c r="S75" i="49"/>
  <c r="G75" i="49"/>
  <c r="G76" i="49" s="1"/>
  <c r="R390" i="49"/>
  <c r="R393" i="49" s="1"/>
  <c r="R395" i="49" s="1"/>
  <c r="R418" i="49" s="1"/>
  <c r="T179" i="49"/>
  <c r="T182" i="49" s="1"/>
  <c r="T184" i="49" s="1"/>
  <c r="T207" i="49" s="1"/>
  <c r="K179" i="49"/>
  <c r="K182" i="49" s="1"/>
  <c r="K184" i="49" s="1"/>
  <c r="K207" i="49" s="1"/>
  <c r="S390" i="49"/>
  <c r="S393" i="49" s="1"/>
  <c r="S395" i="49" s="1"/>
  <c r="S418" i="49" s="1"/>
  <c r="T390" i="49"/>
  <c r="T393" i="49" s="1"/>
  <c r="T395" i="49" s="1"/>
  <c r="T418" i="49" s="1"/>
  <c r="Q127" i="49"/>
  <c r="Q128" i="49" s="1"/>
  <c r="M179" i="49"/>
  <c r="M180" i="49" s="1"/>
  <c r="T75" i="49"/>
  <c r="T76" i="49" s="1"/>
  <c r="K390" i="49"/>
  <c r="K391" i="49" s="1"/>
  <c r="I26" i="49"/>
  <c r="I28" i="49" s="1"/>
  <c r="I51" i="49" s="1"/>
  <c r="T23" i="49"/>
  <c r="T26" i="49" s="1"/>
  <c r="T28" i="49" s="1"/>
  <c r="T51" i="49" s="1"/>
  <c r="Q23" i="49"/>
  <c r="Q24" i="49" s="1"/>
  <c r="Q285" i="49"/>
  <c r="Q286" i="49" s="1"/>
  <c r="M390" i="49"/>
  <c r="M393" i="49" s="1"/>
  <c r="M395" i="49" s="1"/>
  <c r="M418" i="49" s="1"/>
  <c r="I24" i="49"/>
  <c r="D53" i="49"/>
  <c r="D55" i="49" s="1"/>
  <c r="U285" i="49"/>
  <c r="U286" i="49" s="1"/>
  <c r="U231" i="49"/>
  <c r="U232" i="49" s="1"/>
  <c r="U23" i="49"/>
  <c r="U26" i="49" s="1"/>
  <c r="U28" i="49" s="1"/>
  <c r="U51" i="49" s="1"/>
  <c r="P390" i="49"/>
  <c r="P391" i="49" s="1"/>
  <c r="C231" i="49"/>
  <c r="C234" i="49" s="1"/>
  <c r="C236" i="49" s="1"/>
  <c r="T231" i="49"/>
  <c r="T234" i="49" s="1"/>
  <c r="T236" i="49" s="1"/>
  <c r="T259" i="49" s="1"/>
  <c r="Q338" i="49"/>
  <c r="Q341" i="49" s="1"/>
  <c r="Q343" i="49" s="1"/>
  <c r="Q366" i="49" s="1"/>
  <c r="F127" i="49"/>
  <c r="F130" i="49" s="1"/>
  <c r="F132" i="49" s="1"/>
  <c r="F155" i="49" s="1"/>
  <c r="K24" i="49"/>
  <c r="O390" i="49"/>
  <c r="O391" i="49" s="1"/>
  <c r="J179" i="49"/>
  <c r="J180" i="49" s="1"/>
  <c r="I75" i="49"/>
  <c r="I78" i="49" s="1"/>
  <c r="I80" i="49" s="1"/>
  <c r="I103" i="49" s="1"/>
  <c r="T338" i="49"/>
  <c r="T341" i="49" s="1"/>
  <c r="T343" i="49" s="1"/>
  <c r="T366" i="49" s="1"/>
  <c r="U338" i="49"/>
  <c r="U339" i="49" s="1"/>
  <c r="D179" i="49"/>
  <c r="D182" i="49" s="1"/>
  <c r="D184" i="49" s="1"/>
  <c r="D207" i="49" s="1"/>
  <c r="C179" i="49"/>
  <c r="C180" i="49" s="1"/>
  <c r="O127" i="49"/>
  <c r="O128" i="49" s="1"/>
  <c r="J26" i="49"/>
  <c r="S23" i="49"/>
  <c r="M23" i="49"/>
  <c r="M24" i="49" s="1"/>
  <c r="C24" i="49"/>
  <c r="C26" i="49"/>
  <c r="C28" i="49" s="1"/>
  <c r="C51" i="49" s="1"/>
  <c r="E336" i="49"/>
  <c r="E335" i="49"/>
  <c r="E334" i="49"/>
  <c r="D386" i="49"/>
  <c r="D387" i="49"/>
  <c r="D388" i="49"/>
  <c r="E386" i="49"/>
  <c r="E387" i="49"/>
  <c r="E388" i="49"/>
  <c r="J388" i="49"/>
  <c r="J387" i="49"/>
  <c r="J386" i="49"/>
  <c r="J334" i="49"/>
  <c r="J336" i="49"/>
  <c r="J335" i="49"/>
  <c r="D335" i="49"/>
  <c r="D334" i="49"/>
  <c r="D336" i="49"/>
  <c r="F386" i="49"/>
  <c r="F387" i="49"/>
  <c r="F388" i="49"/>
  <c r="X227" i="49"/>
  <c r="X229" i="49"/>
  <c r="X228" i="49"/>
  <c r="L335" i="49"/>
  <c r="L336" i="49"/>
  <c r="L334" i="49"/>
  <c r="H387" i="49"/>
  <c r="H388" i="49"/>
  <c r="H386" i="49"/>
  <c r="L386" i="49"/>
  <c r="L387" i="49"/>
  <c r="L388" i="49"/>
  <c r="G334" i="49"/>
  <c r="G336" i="49"/>
  <c r="G335" i="49"/>
  <c r="R105" i="49"/>
  <c r="R107" i="49" s="1"/>
  <c r="C336" i="49"/>
  <c r="C334" i="49"/>
  <c r="C335" i="49"/>
  <c r="I335" i="49"/>
  <c r="I336" i="49"/>
  <c r="I334" i="49"/>
  <c r="G386" i="49"/>
  <c r="G387" i="49"/>
  <c r="G388" i="49"/>
  <c r="C388" i="49"/>
  <c r="C386" i="49"/>
  <c r="C387" i="49"/>
  <c r="I387" i="49"/>
  <c r="I388" i="49"/>
  <c r="I386" i="49"/>
  <c r="V177" i="49"/>
  <c r="V175" i="49"/>
  <c r="V176" i="49"/>
  <c r="H336" i="49"/>
  <c r="H335" i="49"/>
  <c r="H334" i="49"/>
  <c r="F336" i="49"/>
  <c r="F335" i="49"/>
  <c r="F334" i="49"/>
  <c r="X282" i="49"/>
  <c r="X283" i="49"/>
  <c r="X281" i="49"/>
  <c r="V275" i="49"/>
  <c r="V276" i="49" s="1"/>
  <c r="V279" i="49" s="1"/>
  <c r="V222" i="49"/>
  <c r="V225" i="49" s="1"/>
  <c r="BT19" i="48" l="1"/>
  <c r="BV19" i="48" s="1"/>
  <c r="BR15" i="48"/>
  <c r="BT16" i="48"/>
  <c r="BV16" i="48" s="1"/>
  <c r="R26" i="33"/>
  <c r="Z26" i="33" s="1"/>
  <c r="R23" i="33"/>
  <c r="Z23" i="33" s="1"/>
  <c r="AA23" i="33" s="1"/>
  <c r="BQ20" i="48"/>
  <c r="BT20" i="48" s="1"/>
  <c r="BQ17" i="48"/>
  <c r="BR17" i="48" s="1"/>
  <c r="AM20" i="33"/>
  <c r="BX15" i="48"/>
  <c r="R22" i="33"/>
  <c r="T22" i="33" s="1"/>
  <c r="V22" i="33" s="1"/>
  <c r="X22" i="33" s="1"/>
  <c r="BQ13" i="48"/>
  <c r="BR13" i="48" s="1"/>
  <c r="BQ18" i="48"/>
  <c r="BR18" i="48" s="1"/>
  <c r="BP23" i="48"/>
  <c r="BO23" i="48"/>
  <c r="BN23" i="48"/>
  <c r="O30" i="33"/>
  <c r="BX19" i="48"/>
  <c r="BP21" i="48"/>
  <c r="BO21" i="48"/>
  <c r="BN21" i="48"/>
  <c r="O28" i="33"/>
  <c r="Q27" i="33"/>
  <c r="P27" i="33"/>
  <c r="P20" i="33"/>
  <c r="AL20" i="33" s="1"/>
  <c r="AC20" i="33"/>
  <c r="AK20" i="33"/>
  <c r="Q20" i="33"/>
  <c r="Q25" i="33"/>
  <c r="P25" i="33"/>
  <c r="BN27" i="48"/>
  <c r="O34" i="33"/>
  <c r="BO27" i="48"/>
  <c r="BP27" i="48"/>
  <c r="BP22" i="48"/>
  <c r="BO22" i="48"/>
  <c r="BN22" i="48"/>
  <c r="O29" i="33"/>
  <c r="O32" i="33"/>
  <c r="BP25" i="48"/>
  <c r="BO25" i="48"/>
  <c r="BN25" i="48"/>
  <c r="O33" i="33"/>
  <c r="BP26" i="48"/>
  <c r="BN26" i="48"/>
  <c r="BO26" i="48"/>
  <c r="Q24" i="33"/>
  <c r="P24" i="33"/>
  <c r="W105" i="49"/>
  <c r="W107" i="49" s="1"/>
  <c r="J130" i="49"/>
  <c r="J132" i="49" s="1"/>
  <c r="J155" i="49" s="1"/>
  <c r="P182" i="49"/>
  <c r="P184" i="49" s="1"/>
  <c r="P207" i="49" s="1"/>
  <c r="F78" i="49"/>
  <c r="F80" i="49" s="1"/>
  <c r="F103" i="49" s="1"/>
  <c r="G261" i="49"/>
  <c r="G263" i="49" s="1"/>
  <c r="H128" i="49"/>
  <c r="P234" i="49"/>
  <c r="P236" i="49" s="1"/>
  <c r="P259" i="49" s="1"/>
  <c r="W420" i="49"/>
  <c r="W422" i="49" s="1"/>
  <c r="J232" i="49"/>
  <c r="Z108" i="50"/>
  <c r="AD32" i="50"/>
  <c r="AF32" i="50" s="1"/>
  <c r="V105" i="49"/>
  <c r="V107" i="49" s="1"/>
  <c r="Z82" i="50"/>
  <c r="G232" i="49"/>
  <c r="Z43" i="50"/>
  <c r="AA73" i="50"/>
  <c r="AJ73" i="50" s="1"/>
  <c r="Z17" i="50"/>
  <c r="X17" i="50"/>
  <c r="EV17" i="50"/>
  <c r="AA131" i="50"/>
  <c r="AB131" i="50" s="1"/>
  <c r="Z69" i="50"/>
  <c r="Y69" i="50"/>
  <c r="X24" i="49"/>
  <c r="W53" i="49"/>
  <c r="W55" i="49" s="1"/>
  <c r="AA4" i="50"/>
  <c r="AB4" i="50" s="1"/>
  <c r="X69" i="50"/>
  <c r="X43" i="50"/>
  <c r="X82" i="50"/>
  <c r="D285" i="49"/>
  <c r="D286" i="49" s="1"/>
  <c r="P26" i="49"/>
  <c r="P28" i="49" s="1"/>
  <c r="P51" i="49" s="1"/>
  <c r="Y43" i="50"/>
  <c r="Y82" i="50"/>
  <c r="X391" i="49"/>
  <c r="AB32" i="50"/>
  <c r="D78" i="49"/>
  <c r="D80" i="49" s="1"/>
  <c r="D103" i="49" s="1"/>
  <c r="AA40" i="50"/>
  <c r="AJ40" i="50" s="1"/>
  <c r="BM24" i="48"/>
  <c r="N286" i="49"/>
  <c r="X108" i="50"/>
  <c r="Y108" i="50"/>
  <c r="S157" i="49"/>
  <c r="S159" i="49" s="1"/>
  <c r="P315" i="49"/>
  <c r="P317" i="49" s="1"/>
  <c r="AH311" i="50"/>
  <c r="AJ314" i="50" s="1"/>
  <c r="J261" i="49"/>
  <c r="J263" i="49" s="1"/>
  <c r="C82" i="49"/>
  <c r="P76" i="49"/>
  <c r="X56" i="50"/>
  <c r="Z56" i="50"/>
  <c r="S128" i="49"/>
  <c r="M130" i="49"/>
  <c r="M132" i="49" s="1"/>
  <c r="M155" i="49" s="1"/>
  <c r="C105" i="49"/>
  <c r="C107" i="49" s="1"/>
  <c r="C84" i="49"/>
  <c r="C86" i="49" s="1"/>
  <c r="P105" i="49"/>
  <c r="P107" i="49" s="1"/>
  <c r="L26" i="49"/>
  <c r="L28" i="49" s="1"/>
  <c r="L51" i="49" s="1"/>
  <c r="X30" i="50"/>
  <c r="EV121" i="50"/>
  <c r="Y121" i="50"/>
  <c r="E285" i="49"/>
  <c r="E288" i="49" s="1"/>
  <c r="E290" i="49" s="1"/>
  <c r="E313" i="49" s="1"/>
  <c r="X121" i="50"/>
  <c r="EV56" i="50"/>
  <c r="Y30" i="50"/>
  <c r="EV30" i="50"/>
  <c r="G285" i="49"/>
  <c r="G288" i="49" s="1"/>
  <c r="G290" i="49" s="1"/>
  <c r="G313" i="49" s="1"/>
  <c r="Y95" i="50"/>
  <c r="Z95" i="50"/>
  <c r="EV95" i="50"/>
  <c r="M285" i="49"/>
  <c r="M288" i="49" s="1"/>
  <c r="M290" i="49" s="1"/>
  <c r="M313" i="49" s="1"/>
  <c r="H285" i="49"/>
  <c r="H288" i="49" s="1"/>
  <c r="H290" i="49" s="1"/>
  <c r="H313" i="49" s="1"/>
  <c r="K338" i="49"/>
  <c r="K341" i="49" s="1"/>
  <c r="K343" i="49" s="1"/>
  <c r="K366" i="49" s="1"/>
  <c r="V130" i="49"/>
  <c r="V132" i="49" s="1"/>
  <c r="V155" i="49" s="1"/>
  <c r="AJ14" i="50"/>
  <c r="F261" i="49"/>
  <c r="F263" i="49" s="1"/>
  <c r="AH14" i="50"/>
  <c r="M338" i="49"/>
  <c r="M341" i="49" s="1"/>
  <c r="M343" i="49" s="1"/>
  <c r="M366" i="49" s="1"/>
  <c r="G182" i="49"/>
  <c r="G184" i="49" s="1"/>
  <c r="G207" i="49" s="1"/>
  <c r="AA118" i="50"/>
  <c r="AD118" i="50" s="1"/>
  <c r="AB14" i="50"/>
  <c r="E261" i="49"/>
  <c r="E263" i="49" s="1"/>
  <c r="R209" i="49"/>
  <c r="R211" i="49" s="1"/>
  <c r="C128" i="49"/>
  <c r="E232" i="49"/>
  <c r="J285" i="49"/>
  <c r="J286" i="49" s="1"/>
  <c r="I180" i="49"/>
  <c r="I209" i="49"/>
  <c r="I211" i="49" s="1"/>
  <c r="H157" i="49"/>
  <c r="H159" i="49" s="1"/>
  <c r="E182" i="49"/>
  <c r="E184" i="49" s="1"/>
  <c r="E207" i="49" s="1"/>
  <c r="L285" i="49"/>
  <c r="L286" i="49" s="1"/>
  <c r="C76" i="49"/>
  <c r="K285" i="49"/>
  <c r="K288" i="49" s="1"/>
  <c r="K290" i="49" s="1"/>
  <c r="K313" i="49" s="1"/>
  <c r="AA58" i="50"/>
  <c r="AB58" i="50" s="1"/>
  <c r="C285" i="49"/>
  <c r="C288" i="49" s="1"/>
  <c r="C290" i="49" s="1"/>
  <c r="C292" i="49" s="1"/>
  <c r="S261" i="49"/>
  <c r="S263" i="49" s="1"/>
  <c r="AA68" i="50"/>
  <c r="AD68" i="50" s="1"/>
  <c r="AF68" i="50" s="1"/>
  <c r="F232" i="49"/>
  <c r="AA105" i="50"/>
  <c r="AB105" i="50" s="1"/>
  <c r="AD27" i="50"/>
  <c r="AH27" i="50" s="1"/>
  <c r="AJ27" i="50"/>
  <c r="N339" i="49"/>
  <c r="W368" i="49"/>
  <c r="W370" i="49" s="1"/>
  <c r="M234" i="49"/>
  <c r="M236" i="49" s="1"/>
  <c r="M259" i="49" s="1"/>
  <c r="W157" i="49"/>
  <c r="W159" i="49" s="1"/>
  <c r="P339" i="49"/>
  <c r="U234" i="49"/>
  <c r="U236" i="49" s="1"/>
  <c r="U259" i="49" s="1"/>
  <c r="AA110" i="50"/>
  <c r="AD110" i="50" s="1"/>
  <c r="AA97" i="50"/>
  <c r="AJ97" i="50" s="1"/>
  <c r="AA53" i="50"/>
  <c r="AD53" i="50" s="1"/>
  <c r="AF53" i="50" s="1"/>
  <c r="L130" i="49"/>
  <c r="L132" i="49" s="1"/>
  <c r="L155" i="49" s="1"/>
  <c r="R157" i="49"/>
  <c r="R159" i="49" s="1"/>
  <c r="U288" i="49"/>
  <c r="U290" i="49" s="1"/>
  <c r="U313" i="49" s="1"/>
  <c r="AA45" i="50"/>
  <c r="AB45" i="50" s="1"/>
  <c r="R261" i="49"/>
  <c r="R263" i="49" s="1"/>
  <c r="H78" i="49"/>
  <c r="H80" i="49" s="1"/>
  <c r="H103" i="49" s="1"/>
  <c r="AA84" i="50"/>
  <c r="AB84" i="50" s="1"/>
  <c r="AA71" i="50"/>
  <c r="AD71" i="50" s="1"/>
  <c r="AF71" i="50" s="1"/>
  <c r="S182" i="49"/>
  <c r="S184" i="49" s="1"/>
  <c r="S207" i="49" s="1"/>
  <c r="M78" i="49"/>
  <c r="AA92" i="50"/>
  <c r="AB92" i="50" s="1"/>
  <c r="Q232" i="49"/>
  <c r="AA66" i="50"/>
  <c r="AJ66" i="50" s="1"/>
  <c r="AA20" i="50"/>
  <c r="AB20" i="50" s="1"/>
  <c r="AA6" i="50"/>
  <c r="K76" i="49"/>
  <c r="AA123" i="50"/>
  <c r="AB123" i="50" s="1"/>
  <c r="K105" i="49"/>
  <c r="K107" i="49" s="1"/>
  <c r="AA21" i="50"/>
  <c r="AB21" i="50" s="1"/>
  <c r="AA42" i="50"/>
  <c r="AB42" i="50" s="1"/>
  <c r="K236" i="49"/>
  <c r="K259" i="49" s="1"/>
  <c r="K261" i="49"/>
  <c r="K263" i="49" s="1"/>
  <c r="X16" i="50"/>
  <c r="EV16" i="50"/>
  <c r="K232" i="49"/>
  <c r="Y16" i="50"/>
  <c r="U341" i="49"/>
  <c r="U343" i="49" s="1"/>
  <c r="U366" i="49" s="1"/>
  <c r="X180" i="49"/>
  <c r="F180" i="49"/>
  <c r="P132" i="49"/>
  <c r="P155" i="49" s="1"/>
  <c r="P157" i="49"/>
  <c r="P159" i="49" s="1"/>
  <c r="AA86" i="50"/>
  <c r="AB86" i="50" s="1"/>
  <c r="AA47" i="50"/>
  <c r="AJ47" i="50" s="1"/>
  <c r="AA124" i="50"/>
  <c r="AD124" i="50" s="1"/>
  <c r="AH124" i="50" s="1"/>
  <c r="AA93" i="50"/>
  <c r="AD93" i="50" s="1"/>
  <c r="AH93" i="50" s="1"/>
  <c r="P128" i="49"/>
  <c r="AA46" i="50"/>
  <c r="AJ46" i="50" s="1"/>
  <c r="N76" i="49"/>
  <c r="S339" i="49"/>
  <c r="I234" i="49"/>
  <c r="I236" i="49" s="1"/>
  <c r="I259" i="49" s="1"/>
  <c r="I76" i="49"/>
  <c r="O232" i="49"/>
  <c r="AA19" i="50"/>
  <c r="AB19" i="50" s="1"/>
  <c r="T288" i="49"/>
  <c r="T290" i="49" s="1"/>
  <c r="T313" i="49" s="1"/>
  <c r="AA101" i="50"/>
  <c r="AD101" i="50" s="1"/>
  <c r="AH101" i="50" s="1"/>
  <c r="AA111" i="50"/>
  <c r="AB111" i="50" s="1"/>
  <c r="AA114" i="50"/>
  <c r="AJ114" i="50" s="1"/>
  <c r="AA9" i="50"/>
  <c r="AB9" i="50" s="1"/>
  <c r="Q182" i="49"/>
  <c r="Q184" i="49" s="1"/>
  <c r="Q207" i="49" s="1"/>
  <c r="AA106" i="50"/>
  <c r="AD106" i="50" s="1"/>
  <c r="AA48" i="50"/>
  <c r="AJ48" i="50" s="1"/>
  <c r="AA34" i="50"/>
  <c r="AB34" i="50" s="1"/>
  <c r="F285" i="49"/>
  <c r="F288" i="49" s="1"/>
  <c r="F290" i="49" s="1"/>
  <c r="F313" i="49" s="1"/>
  <c r="L180" i="49"/>
  <c r="AA119" i="50"/>
  <c r="AJ119" i="50" s="1"/>
  <c r="U128" i="49"/>
  <c r="N232" i="49"/>
  <c r="AA125" i="50"/>
  <c r="AB125" i="50" s="1"/>
  <c r="AA60" i="50"/>
  <c r="AD60" i="50" s="1"/>
  <c r="AF60" i="50" s="1"/>
  <c r="AF296" i="50"/>
  <c r="AA8" i="50"/>
  <c r="AJ8" i="50" s="1"/>
  <c r="X209" i="49"/>
  <c r="X211" i="49" s="1"/>
  <c r="F128" i="49"/>
  <c r="AA35" i="50"/>
  <c r="AJ35" i="50" s="1"/>
  <c r="N24" i="49"/>
  <c r="R341" i="49"/>
  <c r="R343" i="49" s="1"/>
  <c r="R366" i="49" s="1"/>
  <c r="AA113" i="50"/>
  <c r="AD113" i="50" s="1"/>
  <c r="AH113" i="50" s="1"/>
  <c r="AA120" i="50"/>
  <c r="AB120" i="50" s="1"/>
  <c r="E78" i="49"/>
  <c r="E80" i="49" s="1"/>
  <c r="E103" i="49" s="1"/>
  <c r="T128" i="49"/>
  <c r="G78" i="49"/>
  <c r="G80" i="49" s="1"/>
  <c r="G103" i="49" s="1"/>
  <c r="W288" i="49"/>
  <c r="W290" i="49" s="1"/>
  <c r="W313" i="49" s="1"/>
  <c r="AA98" i="50"/>
  <c r="AA81" i="50"/>
  <c r="AD81" i="50" s="1"/>
  <c r="AH81" i="50" s="1"/>
  <c r="X128" i="49"/>
  <c r="E128" i="49"/>
  <c r="W234" i="49"/>
  <c r="W236" i="49" s="1"/>
  <c r="W259" i="49" s="1"/>
  <c r="X136" i="49"/>
  <c r="X137" i="49" s="1"/>
  <c r="F53" i="49"/>
  <c r="F55" i="49" s="1"/>
  <c r="D130" i="49"/>
  <c r="D132" i="49" s="1"/>
  <c r="D155" i="49" s="1"/>
  <c r="C157" i="49"/>
  <c r="C134" i="49"/>
  <c r="G128" i="49"/>
  <c r="AD296" i="50"/>
  <c r="AJ298" i="50" s="1"/>
  <c r="C182" i="49"/>
  <c r="C184" i="49" s="1"/>
  <c r="C186" i="49" s="1"/>
  <c r="AA79" i="50"/>
  <c r="AJ79" i="50" s="1"/>
  <c r="K128" i="49"/>
  <c r="AA74" i="50"/>
  <c r="AB74" i="50" s="1"/>
  <c r="X76" i="49"/>
  <c r="U393" i="49"/>
  <c r="U395" i="49" s="1"/>
  <c r="U418" i="49" s="1"/>
  <c r="AA80" i="50"/>
  <c r="AB80" i="50" s="1"/>
  <c r="AA132" i="50"/>
  <c r="AD132" i="50" s="1"/>
  <c r="AH132" i="50" s="1"/>
  <c r="AA59" i="50"/>
  <c r="AJ59" i="50" s="1"/>
  <c r="AA7" i="50"/>
  <c r="AB7" i="50" s="1"/>
  <c r="AA62" i="50"/>
  <c r="AJ62" i="50" s="1"/>
  <c r="AA87" i="50"/>
  <c r="AD87" i="50" s="1"/>
  <c r="N130" i="49"/>
  <c r="N132" i="49" s="1"/>
  <c r="N155" i="49" s="1"/>
  <c r="O180" i="49"/>
  <c r="T24" i="49"/>
  <c r="X285" i="49"/>
  <c r="X286" i="49" s="1"/>
  <c r="N182" i="49"/>
  <c r="N184" i="49" s="1"/>
  <c r="N207" i="49" s="1"/>
  <c r="AA88" i="50"/>
  <c r="AD88" i="50" s="1"/>
  <c r="AH88" i="50" s="1"/>
  <c r="C136" i="49"/>
  <c r="C139" i="49" s="1"/>
  <c r="C141" i="49" s="1"/>
  <c r="L184" i="49"/>
  <c r="L207" i="49" s="1"/>
  <c r="L209" i="49"/>
  <c r="L211" i="49" s="1"/>
  <c r="O24" i="49"/>
  <c r="X84" i="49"/>
  <c r="X86" i="49" s="1"/>
  <c r="X231" i="49"/>
  <c r="X234" i="49" s="1"/>
  <c r="X236" i="49" s="1"/>
  <c r="AA33" i="50"/>
  <c r="AJ33" i="50" s="1"/>
  <c r="AA36" i="50"/>
  <c r="AJ36" i="50" s="1"/>
  <c r="AA126" i="50"/>
  <c r="AD126" i="50" s="1"/>
  <c r="AH126" i="50" s="1"/>
  <c r="AA49" i="50"/>
  <c r="AB49" i="50" s="1"/>
  <c r="AA94" i="50"/>
  <c r="AD94" i="50" s="1"/>
  <c r="AH94" i="50" s="1"/>
  <c r="AA112" i="50"/>
  <c r="AB112" i="50" s="1"/>
  <c r="AA107" i="50"/>
  <c r="AJ107" i="50" s="1"/>
  <c r="L232" i="49"/>
  <c r="AA54" i="50"/>
  <c r="AJ54" i="50" s="1"/>
  <c r="I130" i="49"/>
  <c r="I132" i="49" s="1"/>
  <c r="I155" i="49" s="1"/>
  <c r="E53" i="49"/>
  <c r="E55" i="49" s="1"/>
  <c r="X420" i="49"/>
  <c r="X422" i="49" s="1"/>
  <c r="T78" i="49"/>
  <c r="T80" i="49" s="1"/>
  <c r="T103" i="49" s="1"/>
  <c r="AA85" i="50"/>
  <c r="I285" i="49"/>
  <c r="I286" i="49" s="1"/>
  <c r="AA61" i="50"/>
  <c r="AD61" i="50" s="1"/>
  <c r="H232" i="49"/>
  <c r="AA99" i="50"/>
  <c r="AJ99" i="50" s="1"/>
  <c r="AA127" i="50"/>
  <c r="AJ127" i="50" s="1"/>
  <c r="AA100" i="50"/>
  <c r="AD100" i="50" s="1"/>
  <c r="AH100" i="50" s="1"/>
  <c r="K180" i="49"/>
  <c r="H180" i="49"/>
  <c r="X339" i="49"/>
  <c r="T180" i="49"/>
  <c r="V179" i="49"/>
  <c r="P393" i="49"/>
  <c r="P395" i="49" s="1"/>
  <c r="P418" i="49" s="1"/>
  <c r="V368" i="49"/>
  <c r="V370" i="49" s="1"/>
  <c r="O393" i="49"/>
  <c r="O395" i="49" s="1"/>
  <c r="O418" i="49" s="1"/>
  <c r="F209" i="49"/>
  <c r="F211" i="49" s="1"/>
  <c r="X70" i="50"/>
  <c r="EV70" i="50"/>
  <c r="Y70" i="50"/>
  <c r="Z70" i="50"/>
  <c r="Y26" i="50"/>
  <c r="EV26" i="50"/>
  <c r="Z26" i="50"/>
  <c r="X26" i="50"/>
  <c r="Z77" i="50"/>
  <c r="Y77" i="50"/>
  <c r="EV77" i="50"/>
  <c r="X77" i="50"/>
  <c r="X25" i="50"/>
  <c r="Y25" i="50"/>
  <c r="Z25" i="50"/>
  <c r="EV25" i="50"/>
  <c r="X76" i="50"/>
  <c r="EV76" i="50"/>
  <c r="Z76" i="50"/>
  <c r="Y76" i="50"/>
  <c r="I338" i="49"/>
  <c r="I339" i="49" s="1"/>
  <c r="E157" i="49"/>
  <c r="E159" i="49" s="1"/>
  <c r="H209" i="49"/>
  <c r="H211" i="49" s="1"/>
  <c r="L133" i="50"/>
  <c r="Y109" i="50"/>
  <c r="EV109" i="50"/>
  <c r="X109" i="50"/>
  <c r="Z109" i="50"/>
  <c r="S288" i="49"/>
  <c r="S290" i="49" s="1"/>
  <c r="S313" i="49" s="1"/>
  <c r="S286" i="49"/>
  <c r="Z104" i="50"/>
  <c r="Y104" i="50"/>
  <c r="X104" i="50"/>
  <c r="EV104" i="50"/>
  <c r="Z103" i="50"/>
  <c r="X103" i="50"/>
  <c r="Y103" i="50"/>
  <c r="EV103" i="50"/>
  <c r="Z64" i="50"/>
  <c r="EV64" i="50"/>
  <c r="Y64" i="50"/>
  <c r="X64" i="50"/>
  <c r="EV50" i="50"/>
  <c r="Y50" i="50"/>
  <c r="X50" i="50"/>
  <c r="Z50" i="50"/>
  <c r="Y5" i="50"/>
  <c r="Z5" i="50"/>
  <c r="X5" i="50"/>
  <c r="EV5" i="50"/>
  <c r="Y122" i="50"/>
  <c r="EV122" i="50"/>
  <c r="Z122" i="50"/>
  <c r="X122" i="50"/>
  <c r="EV52" i="50"/>
  <c r="Z52" i="50"/>
  <c r="X52" i="50"/>
  <c r="Y52" i="50"/>
  <c r="EV116" i="50"/>
  <c r="X116" i="50"/>
  <c r="Z116" i="50"/>
  <c r="Y116" i="50"/>
  <c r="EV102" i="50"/>
  <c r="X102" i="50"/>
  <c r="Z102" i="50"/>
  <c r="Y102" i="50"/>
  <c r="Z18" i="50"/>
  <c r="Y18" i="50"/>
  <c r="X18" i="50"/>
  <c r="EV18" i="50"/>
  <c r="Z44" i="50"/>
  <c r="Y44" i="50"/>
  <c r="EV44" i="50"/>
  <c r="X44" i="50"/>
  <c r="X13" i="50"/>
  <c r="Y13" i="50"/>
  <c r="Z13" i="50"/>
  <c r="EV13" i="50"/>
  <c r="Z65" i="50"/>
  <c r="Y65" i="50"/>
  <c r="X65" i="50"/>
  <c r="EV65" i="50"/>
  <c r="X129" i="50"/>
  <c r="Y129" i="50"/>
  <c r="Z129" i="50"/>
  <c r="EV129" i="50"/>
  <c r="Y11" i="50"/>
  <c r="EV11" i="50"/>
  <c r="Z11" i="50"/>
  <c r="X11" i="50"/>
  <c r="Z89" i="50"/>
  <c r="EV89" i="50"/>
  <c r="X89" i="50"/>
  <c r="Y89" i="50"/>
  <c r="AA41" i="50"/>
  <c r="AA67" i="50"/>
  <c r="C390" i="49"/>
  <c r="C393" i="49" s="1"/>
  <c r="C395" i="49" s="1"/>
  <c r="D338" i="49"/>
  <c r="D341" i="49" s="1"/>
  <c r="D343" i="49" s="1"/>
  <c r="D366" i="49" s="1"/>
  <c r="J76" i="49"/>
  <c r="C232" i="49"/>
  <c r="G53" i="49"/>
  <c r="G55" i="49" s="1"/>
  <c r="W133" i="50"/>
  <c r="W134" i="50" s="1"/>
  <c r="Z31" i="50"/>
  <c r="Y31" i="50"/>
  <c r="X31" i="50"/>
  <c r="EV31" i="50"/>
  <c r="Z78" i="50"/>
  <c r="X78" i="50"/>
  <c r="Y78" i="50"/>
  <c r="EV78" i="50"/>
  <c r="X91" i="50"/>
  <c r="Z91" i="50"/>
  <c r="EV91" i="50"/>
  <c r="Y91" i="50"/>
  <c r="EV38" i="50"/>
  <c r="X38" i="50"/>
  <c r="Z38" i="50"/>
  <c r="Y38" i="50"/>
  <c r="Y63" i="50"/>
  <c r="EV63" i="50"/>
  <c r="Z63" i="50"/>
  <c r="X63" i="50"/>
  <c r="Y115" i="50"/>
  <c r="X115" i="50"/>
  <c r="Z115" i="50"/>
  <c r="EV115" i="50"/>
  <c r="AA22" i="50"/>
  <c r="L261" i="49"/>
  <c r="L263" i="49" s="1"/>
  <c r="T391" i="49"/>
  <c r="AA29" i="50"/>
  <c r="EV57" i="50"/>
  <c r="Z57" i="50"/>
  <c r="X57" i="50"/>
  <c r="Y57" i="50"/>
  <c r="Z117" i="50"/>
  <c r="Y117" i="50"/>
  <c r="X117" i="50"/>
  <c r="EV117" i="50"/>
  <c r="Y51" i="50"/>
  <c r="EV51" i="50"/>
  <c r="Z51" i="50"/>
  <c r="X51" i="50"/>
  <c r="EV24" i="50"/>
  <c r="Z24" i="50"/>
  <c r="Y24" i="50"/>
  <c r="X24" i="50"/>
  <c r="AA23" i="50"/>
  <c r="AA55" i="50"/>
  <c r="Z96" i="50"/>
  <c r="Y96" i="50"/>
  <c r="X96" i="50"/>
  <c r="EV96" i="50"/>
  <c r="Y130" i="50"/>
  <c r="EV130" i="50"/>
  <c r="X130" i="50"/>
  <c r="Z130" i="50"/>
  <c r="EV12" i="50"/>
  <c r="Z12" i="50"/>
  <c r="X12" i="50"/>
  <c r="Y12" i="50"/>
  <c r="X37" i="50"/>
  <c r="Y37" i="50"/>
  <c r="EV37" i="50"/>
  <c r="Z37" i="50"/>
  <c r="AD10" i="50"/>
  <c r="AB10" i="50"/>
  <c r="AJ10" i="50"/>
  <c r="AA15" i="50"/>
  <c r="Z83" i="50"/>
  <c r="Y83" i="50"/>
  <c r="X83" i="50"/>
  <c r="EV83" i="50"/>
  <c r="AA28" i="50"/>
  <c r="Z39" i="50"/>
  <c r="Y39" i="50"/>
  <c r="EV39" i="50"/>
  <c r="X39" i="50"/>
  <c r="Y90" i="50"/>
  <c r="X90" i="50"/>
  <c r="EV90" i="50"/>
  <c r="Z90" i="50"/>
  <c r="EV128" i="50"/>
  <c r="Z128" i="50"/>
  <c r="X128" i="50"/>
  <c r="Y128" i="50"/>
  <c r="AA75" i="50"/>
  <c r="AA72" i="50"/>
  <c r="AE77" i="50"/>
  <c r="AE78" i="50" s="1"/>
  <c r="AE79" i="50" s="1"/>
  <c r="AE80" i="50" s="1"/>
  <c r="AE89" i="50"/>
  <c r="AE90" i="50" s="1"/>
  <c r="AE91" i="50" s="1"/>
  <c r="AE92" i="50" s="1"/>
  <c r="AE93" i="50" s="1"/>
  <c r="AE94" i="50"/>
  <c r="AE95" i="50" s="1"/>
  <c r="AE96" i="50" s="1"/>
  <c r="AE97" i="50" s="1"/>
  <c r="AE98" i="50" s="1"/>
  <c r="AE99" i="50" s="1"/>
  <c r="AE100" i="50" s="1"/>
  <c r="AE101" i="50" s="1"/>
  <c r="AE102" i="50" s="1"/>
  <c r="AE103" i="50" s="1"/>
  <c r="AE104" i="50" s="1"/>
  <c r="AE105" i="50" s="1"/>
  <c r="AE106" i="50" s="1"/>
  <c r="AE107" i="50" s="1"/>
  <c r="AE108" i="50" s="1"/>
  <c r="AE109" i="50" s="1"/>
  <c r="AE110" i="50" s="1"/>
  <c r="AE111" i="50" s="1"/>
  <c r="AE112" i="50" s="1"/>
  <c r="AE113" i="50" s="1"/>
  <c r="AE114" i="50" s="1"/>
  <c r="AE115" i="50" s="1"/>
  <c r="AE116" i="50" s="1"/>
  <c r="AE117" i="50" s="1"/>
  <c r="AE118" i="50" s="1"/>
  <c r="AE119" i="50" s="1"/>
  <c r="AE120" i="50" s="1"/>
  <c r="AE121" i="50" s="1"/>
  <c r="AE122" i="50" s="1"/>
  <c r="AE123" i="50" s="1"/>
  <c r="AE124" i="50" s="1"/>
  <c r="AE125" i="50" s="1"/>
  <c r="AE126" i="50" s="1"/>
  <c r="AE127" i="50" s="1"/>
  <c r="AE128" i="50" s="1"/>
  <c r="AE129" i="50" s="1"/>
  <c r="AE130" i="50" s="1"/>
  <c r="AE131" i="50" s="1"/>
  <c r="AE132" i="50" s="1"/>
  <c r="AA3" i="50"/>
  <c r="N393" i="49"/>
  <c r="N395" i="49" s="1"/>
  <c r="N418" i="49" s="1"/>
  <c r="F338" i="49"/>
  <c r="F341" i="49" s="1"/>
  <c r="F343" i="49" s="1"/>
  <c r="F366" i="49" s="1"/>
  <c r="O78" i="49"/>
  <c r="O80" i="49" s="1"/>
  <c r="O103" i="49" s="1"/>
  <c r="Q76" i="49"/>
  <c r="R391" i="49"/>
  <c r="O341" i="49"/>
  <c r="O343" i="49" s="1"/>
  <c r="O366" i="49" s="1"/>
  <c r="Q391" i="49"/>
  <c r="O209" i="49"/>
  <c r="O211" i="49" s="1"/>
  <c r="O130" i="49"/>
  <c r="O132" i="49" s="1"/>
  <c r="O155" i="49" s="1"/>
  <c r="T339" i="49"/>
  <c r="U24" i="49"/>
  <c r="M391" i="49"/>
  <c r="Q26" i="49"/>
  <c r="Q28" i="49" s="1"/>
  <c r="Q51" i="49" s="1"/>
  <c r="Q130" i="49"/>
  <c r="Q132" i="49" s="1"/>
  <c r="Q155" i="49" s="1"/>
  <c r="L105" i="49"/>
  <c r="L107" i="49" s="1"/>
  <c r="M26" i="49"/>
  <c r="M28" i="49" s="1"/>
  <c r="M51" i="49" s="1"/>
  <c r="U180" i="49"/>
  <c r="Q105" i="49"/>
  <c r="Q107" i="49" s="1"/>
  <c r="U53" i="49"/>
  <c r="U55" i="49" s="1"/>
  <c r="Q288" i="49"/>
  <c r="Q290" i="49" s="1"/>
  <c r="Q313" i="49" s="1"/>
  <c r="U78" i="49"/>
  <c r="U80" i="49" s="1"/>
  <c r="U103" i="49" s="1"/>
  <c r="D390" i="49"/>
  <c r="D391" i="49" s="1"/>
  <c r="O286" i="49"/>
  <c r="T232" i="49"/>
  <c r="K53" i="49"/>
  <c r="K55" i="49" s="1"/>
  <c r="D234" i="49"/>
  <c r="D236" i="49" s="1"/>
  <c r="D259" i="49" s="1"/>
  <c r="D232" i="49"/>
  <c r="S420" i="49"/>
  <c r="S422" i="49" s="1"/>
  <c r="J390" i="49"/>
  <c r="J391" i="49" s="1"/>
  <c r="K393" i="49"/>
  <c r="K395" i="49" s="1"/>
  <c r="K418" i="49" s="1"/>
  <c r="H338" i="49"/>
  <c r="H341" i="49" s="1"/>
  <c r="H343" i="49" s="1"/>
  <c r="H366" i="49" s="1"/>
  <c r="G338" i="49"/>
  <c r="G341" i="49" s="1"/>
  <c r="G343" i="49" s="1"/>
  <c r="G366" i="49" s="1"/>
  <c r="E338" i="49"/>
  <c r="E339" i="49" s="1"/>
  <c r="H53" i="49"/>
  <c r="H55" i="49" s="1"/>
  <c r="C30" i="49"/>
  <c r="H390" i="49"/>
  <c r="H393" i="49" s="1"/>
  <c r="H395" i="49" s="1"/>
  <c r="H418" i="49" s="1"/>
  <c r="N105" i="49"/>
  <c r="N107" i="49" s="1"/>
  <c r="N368" i="49"/>
  <c r="N370" i="49" s="1"/>
  <c r="J182" i="49"/>
  <c r="M182" i="49"/>
  <c r="S78" i="49"/>
  <c r="S80" i="49" s="1"/>
  <c r="S103" i="49" s="1"/>
  <c r="S76" i="49"/>
  <c r="L338" i="49"/>
  <c r="L341" i="49" s="1"/>
  <c r="L343" i="49" s="1"/>
  <c r="L366" i="49" s="1"/>
  <c r="O53" i="49"/>
  <c r="O55" i="49" s="1"/>
  <c r="T420" i="49"/>
  <c r="T422" i="49" s="1"/>
  <c r="I390" i="49"/>
  <c r="I391" i="49" s="1"/>
  <c r="G390" i="49"/>
  <c r="G391" i="49" s="1"/>
  <c r="C338" i="49"/>
  <c r="C339" i="49" s="1"/>
  <c r="S391" i="49"/>
  <c r="N53" i="49"/>
  <c r="N55" i="49" s="1"/>
  <c r="Q420" i="49"/>
  <c r="Q422" i="49" s="1"/>
  <c r="Q339" i="49"/>
  <c r="T53" i="49"/>
  <c r="T55" i="49" s="1"/>
  <c r="I53" i="49"/>
  <c r="I55" i="49" s="1"/>
  <c r="F390" i="49"/>
  <c r="J338" i="49"/>
  <c r="J339" i="49" s="1"/>
  <c r="E390" i="49"/>
  <c r="E391" i="49" s="1"/>
  <c r="U209" i="49"/>
  <c r="U211" i="49" s="1"/>
  <c r="D180" i="49"/>
  <c r="O261" i="49"/>
  <c r="O263" i="49" s="1"/>
  <c r="S24" i="49"/>
  <c r="S26" i="49"/>
  <c r="S28" i="49" s="1"/>
  <c r="S51" i="49" s="1"/>
  <c r="J28" i="49"/>
  <c r="J51" i="49" s="1"/>
  <c r="J53" i="49"/>
  <c r="J55" i="49" s="1"/>
  <c r="U157" i="49"/>
  <c r="U159" i="49" s="1"/>
  <c r="L390" i="49"/>
  <c r="L393" i="49" s="1"/>
  <c r="L395" i="49" s="1"/>
  <c r="L418" i="49" s="1"/>
  <c r="K157" i="49"/>
  <c r="K159" i="49" s="1"/>
  <c r="C53" i="49"/>
  <c r="C32" i="49"/>
  <c r="V282" i="49"/>
  <c r="V283" i="49"/>
  <c r="V281" i="49"/>
  <c r="P368" i="49"/>
  <c r="P370" i="49" s="1"/>
  <c r="X134" i="49"/>
  <c r="X155" i="49"/>
  <c r="X418" i="49"/>
  <c r="X397" i="49"/>
  <c r="S368" i="49"/>
  <c r="S370" i="49" s="1"/>
  <c r="J105" i="49"/>
  <c r="J107" i="49" s="1"/>
  <c r="V229" i="49"/>
  <c r="V228" i="49"/>
  <c r="V227" i="49"/>
  <c r="X157" i="49"/>
  <c r="X159" i="49" s="1"/>
  <c r="T209" i="49"/>
  <c r="T211" i="49" s="1"/>
  <c r="X105" i="49"/>
  <c r="X107" i="49" s="1"/>
  <c r="Q261" i="49"/>
  <c r="Q263" i="49" s="1"/>
  <c r="H261" i="49"/>
  <c r="H263" i="49" s="1"/>
  <c r="I105" i="49"/>
  <c r="I107" i="49" s="1"/>
  <c r="F157" i="49"/>
  <c r="F159" i="49" s="1"/>
  <c r="X207" i="49"/>
  <c r="X186" i="49"/>
  <c r="X103" i="49"/>
  <c r="X82" i="49"/>
  <c r="X30" i="49"/>
  <c r="X51" i="49"/>
  <c r="C240" i="49"/>
  <c r="C238" i="49"/>
  <c r="C259" i="49"/>
  <c r="N261" i="49"/>
  <c r="N263" i="49" s="1"/>
  <c r="X188" i="49"/>
  <c r="R420" i="49"/>
  <c r="R422" i="49" s="1"/>
  <c r="G157" i="49"/>
  <c r="G159" i="49" s="1"/>
  <c r="X366" i="49"/>
  <c r="X345" i="49"/>
  <c r="O315" i="49"/>
  <c r="O317" i="49" s="1"/>
  <c r="C261" i="49"/>
  <c r="M420" i="49"/>
  <c r="M422" i="49" s="1"/>
  <c r="T157" i="49"/>
  <c r="T159" i="49" s="1"/>
  <c r="N315" i="49"/>
  <c r="N317" i="49" s="1"/>
  <c r="X399" i="49"/>
  <c r="K209" i="49"/>
  <c r="K211" i="49" s="1"/>
  <c r="X368" i="49"/>
  <c r="X370" i="49" s="1"/>
  <c r="D209" i="49"/>
  <c r="D211" i="49" s="1"/>
  <c r="T368" i="49"/>
  <c r="T370" i="49" s="1"/>
  <c r="X53" i="49"/>
  <c r="X55" i="49" s="1"/>
  <c r="Q368" i="49"/>
  <c r="Q370" i="49" s="1"/>
  <c r="X347" i="49"/>
  <c r="X32" i="49"/>
  <c r="T261" i="49"/>
  <c r="T263" i="49" s="1"/>
  <c r="BR20" i="48" l="1"/>
  <c r="BX16" i="48"/>
  <c r="BQ21" i="48"/>
  <c r="BR21" i="48" s="1"/>
  <c r="BQ25" i="48"/>
  <c r="BR25" i="48" s="1"/>
  <c r="AN20" i="33"/>
  <c r="BT17" i="48"/>
  <c r="BV17" i="48" s="1"/>
  <c r="T23" i="33"/>
  <c r="V23" i="33" s="1"/>
  <c r="X23" i="33" s="1"/>
  <c r="AD23" i="33" s="1"/>
  <c r="T26" i="33"/>
  <c r="V26" i="33" s="1"/>
  <c r="X26" i="33" s="1"/>
  <c r="AD26" i="33" s="1"/>
  <c r="Z22" i="33"/>
  <c r="AA22" i="33" s="1"/>
  <c r="BQ22" i="48"/>
  <c r="BR22" i="48" s="1"/>
  <c r="R27" i="33"/>
  <c r="Z27" i="33" s="1"/>
  <c r="BT18" i="48"/>
  <c r="BV18" i="48" s="1"/>
  <c r="BT13" i="48"/>
  <c r="BV13" i="48" s="1"/>
  <c r="BQ26" i="48"/>
  <c r="BR26" i="48" s="1"/>
  <c r="BQ27" i="48"/>
  <c r="BT27" i="48" s="1"/>
  <c r="BV27" i="48" s="1"/>
  <c r="BQ23" i="48"/>
  <c r="BR23" i="48" s="1"/>
  <c r="R24" i="33"/>
  <c r="T24" i="33" s="1"/>
  <c r="V24" i="33" s="1"/>
  <c r="X24" i="33" s="1"/>
  <c r="R25" i="33"/>
  <c r="Z25" i="33" s="1"/>
  <c r="Q29" i="33"/>
  <c r="P29" i="33"/>
  <c r="Q33" i="33"/>
  <c r="P33" i="33"/>
  <c r="R20" i="33"/>
  <c r="Q32" i="33"/>
  <c r="P32" i="33"/>
  <c r="P28" i="33"/>
  <c r="Q28" i="33"/>
  <c r="Q34" i="33"/>
  <c r="P34" i="33"/>
  <c r="Q30" i="33"/>
  <c r="P30" i="33"/>
  <c r="O31" i="33"/>
  <c r="BP24" i="48"/>
  <c r="BO24" i="48"/>
  <c r="BN24" i="48"/>
  <c r="BX20" i="48"/>
  <c r="BV20" i="48"/>
  <c r="AA26" i="33"/>
  <c r="P209" i="49"/>
  <c r="P211" i="49" s="1"/>
  <c r="F105" i="49"/>
  <c r="F107" i="49" s="1"/>
  <c r="J157" i="49"/>
  <c r="J159" i="49" s="1"/>
  <c r="AD73" i="50"/>
  <c r="AF73" i="50" s="1"/>
  <c r="AH32" i="50"/>
  <c r="D105" i="49"/>
  <c r="C108" i="49"/>
  <c r="AA17" i="50"/>
  <c r="AB17" i="50" s="1"/>
  <c r="P261" i="49"/>
  <c r="P263" i="49" s="1"/>
  <c r="AB73" i="50"/>
  <c r="AJ4" i="50"/>
  <c r="AA82" i="50"/>
  <c r="AJ82" i="50" s="1"/>
  <c r="P53" i="49"/>
  <c r="P55" i="49" s="1"/>
  <c r="AD131" i="50"/>
  <c r="AH131" i="50" s="1"/>
  <c r="AJ131" i="50"/>
  <c r="AA108" i="50"/>
  <c r="AD108" i="50" s="1"/>
  <c r="AH108" i="50" s="1"/>
  <c r="D288" i="49"/>
  <c r="D290" i="49" s="1"/>
  <c r="D313" i="49" s="1"/>
  <c r="AA43" i="50"/>
  <c r="AD43" i="50" s="1"/>
  <c r="AF43" i="50" s="1"/>
  <c r="AA69" i="50"/>
  <c r="AD69" i="50" s="1"/>
  <c r="AF69" i="50" s="1"/>
  <c r="AD4" i="50"/>
  <c r="AF4" i="50" s="1"/>
  <c r="V157" i="49"/>
  <c r="V159" i="49" s="1"/>
  <c r="AA56" i="50"/>
  <c r="AD56" i="50" s="1"/>
  <c r="AF56" i="50" s="1"/>
  <c r="AD40" i="50"/>
  <c r="AF40" i="50" s="1"/>
  <c r="AB40" i="50"/>
  <c r="AA121" i="50"/>
  <c r="AD121" i="50" s="1"/>
  <c r="AH121" i="50" s="1"/>
  <c r="M157" i="49"/>
  <c r="M159" i="49" s="1"/>
  <c r="AB68" i="50"/>
  <c r="AA30" i="50"/>
  <c r="AD30" i="50" s="1"/>
  <c r="AF30" i="50" s="1"/>
  <c r="C313" i="49"/>
  <c r="K339" i="49"/>
  <c r="H315" i="49"/>
  <c r="H317" i="49" s="1"/>
  <c r="C85" i="49"/>
  <c r="AF27" i="50"/>
  <c r="M339" i="49"/>
  <c r="E209" i="49"/>
  <c r="E211" i="49" s="1"/>
  <c r="K368" i="49"/>
  <c r="K370" i="49" s="1"/>
  <c r="H286" i="49"/>
  <c r="L53" i="49"/>
  <c r="L55" i="49" s="1"/>
  <c r="R368" i="49"/>
  <c r="R370" i="49" s="1"/>
  <c r="C87" i="49"/>
  <c r="C89" i="49" s="1"/>
  <c r="E286" i="49"/>
  <c r="G286" i="49"/>
  <c r="G315" i="49"/>
  <c r="G317" i="49" s="1"/>
  <c r="AA95" i="50"/>
  <c r="AB95" i="50" s="1"/>
  <c r="M315" i="49"/>
  <c r="M317" i="49" s="1"/>
  <c r="L288" i="49"/>
  <c r="L290" i="49" s="1"/>
  <c r="L313" i="49" s="1"/>
  <c r="M286" i="49"/>
  <c r="AH118" i="50"/>
  <c r="G209" i="49"/>
  <c r="G211" i="49" s="1"/>
  <c r="AJ92" i="50"/>
  <c r="AH110" i="50"/>
  <c r="M368" i="49"/>
  <c r="M370" i="49" s="1"/>
  <c r="AB126" i="50"/>
  <c r="AD125" i="50"/>
  <c r="AH125" i="50" s="1"/>
  <c r="J288" i="49"/>
  <c r="J290" i="49" s="1"/>
  <c r="J313" i="49" s="1"/>
  <c r="C315" i="49"/>
  <c r="C318" i="49" s="1"/>
  <c r="AB71" i="50"/>
  <c r="AJ118" i="50"/>
  <c r="AH71" i="50"/>
  <c r="AJ71" i="50"/>
  <c r="C294" i="49"/>
  <c r="C295" i="49" s="1"/>
  <c r="AB118" i="50"/>
  <c r="C286" i="49"/>
  <c r="AJ68" i="50"/>
  <c r="AH106" i="50"/>
  <c r="AB106" i="50"/>
  <c r="Q209" i="49"/>
  <c r="Q211" i="49" s="1"/>
  <c r="AJ74" i="50"/>
  <c r="M261" i="49"/>
  <c r="M263" i="49" s="1"/>
  <c r="AJ106" i="50"/>
  <c r="C391" i="49"/>
  <c r="AD105" i="50"/>
  <c r="AH105" i="50" s="1"/>
  <c r="AJ84" i="50"/>
  <c r="AD97" i="50"/>
  <c r="AH97" i="50" s="1"/>
  <c r="AJ58" i="50"/>
  <c r="AJ105" i="50"/>
  <c r="AJ42" i="50"/>
  <c r="F286" i="49"/>
  <c r="C188" i="49"/>
  <c r="C191" i="49" s="1"/>
  <c r="C193" i="49" s="1"/>
  <c r="AD35" i="50"/>
  <c r="AF35" i="50" s="1"/>
  <c r="AD20" i="50"/>
  <c r="AF20" i="50" s="1"/>
  <c r="H105" i="49"/>
  <c r="H107" i="49" s="1"/>
  <c r="K315" i="49"/>
  <c r="K317" i="49" s="1"/>
  <c r="K286" i="49"/>
  <c r="AD47" i="50"/>
  <c r="AF47" i="50" s="1"/>
  <c r="N157" i="49"/>
  <c r="N159" i="49" s="1"/>
  <c r="I341" i="49"/>
  <c r="I343" i="49" s="1"/>
  <c r="I366" i="49" s="1"/>
  <c r="S209" i="49"/>
  <c r="S211" i="49" s="1"/>
  <c r="AH68" i="50"/>
  <c r="AB97" i="50"/>
  <c r="AD58" i="50"/>
  <c r="AF58" i="50" s="1"/>
  <c r="AD84" i="50"/>
  <c r="AF84" i="50" s="1"/>
  <c r="AJ53" i="50"/>
  <c r="AJ110" i="50"/>
  <c r="AH53" i="50"/>
  <c r="AJ123" i="50"/>
  <c r="L157" i="49"/>
  <c r="L159" i="49" s="1"/>
  <c r="U315" i="49"/>
  <c r="U317" i="49" s="1"/>
  <c r="AJ101" i="50"/>
  <c r="AJ34" i="50"/>
  <c r="AD92" i="50"/>
  <c r="AH92" i="50" s="1"/>
  <c r="AJ19" i="50"/>
  <c r="AD19" i="50"/>
  <c r="AF19" i="50" s="1"/>
  <c r="AJ125" i="50"/>
  <c r="AB81" i="50"/>
  <c r="AB53" i="50"/>
  <c r="U261" i="49"/>
  <c r="U263" i="49" s="1"/>
  <c r="AB110" i="50"/>
  <c r="AD42" i="50"/>
  <c r="AF42" i="50" s="1"/>
  <c r="AD66" i="50"/>
  <c r="AB66" i="50"/>
  <c r="AD123" i="50"/>
  <c r="AH123" i="50" s="1"/>
  <c r="AB46" i="50"/>
  <c r="AJ21" i="50"/>
  <c r="AJ45" i="50"/>
  <c r="AD21" i="50"/>
  <c r="AF21" i="50" s="1"/>
  <c r="T315" i="49"/>
  <c r="T317" i="49" s="1"/>
  <c r="AD45" i="50"/>
  <c r="AF45" i="50" s="1"/>
  <c r="AJ93" i="50"/>
  <c r="M80" i="49"/>
  <c r="M103" i="49" s="1"/>
  <c r="M105" i="49"/>
  <c r="M107" i="49" s="1"/>
  <c r="AD54" i="50"/>
  <c r="AF54" i="50" s="1"/>
  <c r="U368" i="49"/>
  <c r="U370" i="49" s="1"/>
  <c r="X87" i="49"/>
  <c r="AB93" i="50"/>
  <c r="W261" i="49"/>
  <c r="W263" i="49" s="1"/>
  <c r="AJ20" i="50"/>
  <c r="I261" i="49"/>
  <c r="I263" i="49" s="1"/>
  <c r="X232" i="49"/>
  <c r="AB54" i="50"/>
  <c r="AH69" i="50"/>
  <c r="AB124" i="50"/>
  <c r="X288" i="49"/>
  <c r="X290" i="49" s="1"/>
  <c r="X313" i="49" s="1"/>
  <c r="AJ113" i="50"/>
  <c r="G105" i="49"/>
  <c r="G107" i="49" s="1"/>
  <c r="O420" i="49"/>
  <c r="O422" i="49" s="1"/>
  <c r="AF93" i="50"/>
  <c r="AD49" i="50"/>
  <c r="AF49" i="50" s="1"/>
  <c r="N209" i="49"/>
  <c r="N211" i="49" s="1"/>
  <c r="AB33" i="50"/>
  <c r="AD33" i="50"/>
  <c r="AF33" i="50" s="1"/>
  <c r="AJ60" i="50"/>
  <c r="AB6" i="50"/>
  <c r="AD6" i="50"/>
  <c r="AF6" i="50" s="1"/>
  <c r="AJ6" i="50"/>
  <c r="AB60" i="50"/>
  <c r="C137" i="49"/>
  <c r="AD114" i="50"/>
  <c r="AH114" i="50" s="1"/>
  <c r="C138" i="49"/>
  <c r="AB47" i="50"/>
  <c r="Q157" i="49"/>
  <c r="Q159" i="49" s="1"/>
  <c r="AA16" i="50"/>
  <c r="AJ16" i="50" s="1"/>
  <c r="AJ49" i="50"/>
  <c r="X85" i="49"/>
  <c r="AB119" i="50"/>
  <c r="AB100" i="50"/>
  <c r="AJ112" i="50"/>
  <c r="AB8" i="50"/>
  <c r="AJ86" i="50"/>
  <c r="C207" i="49"/>
  <c r="AD59" i="50"/>
  <c r="AF59" i="50" s="1"/>
  <c r="AD86" i="50"/>
  <c r="AH86" i="50" s="1"/>
  <c r="AD8" i="50"/>
  <c r="AF8" i="50" s="1"/>
  <c r="AD127" i="50"/>
  <c r="AH127" i="50" s="1"/>
  <c r="C209" i="49"/>
  <c r="C211" i="49" s="1"/>
  <c r="AJ9" i="50"/>
  <c r="AD112" i="50"/>
  <c r="AH112" i="50" s="1"/>
  <c r="AJ100" i="50"/>
  <c r="AB59" i="50"/>
  <c r="W315" i="49"/>
  <c r="W317" i="49" s="1"/>
  <c r="AD111" i="50"/>
  <c r="AH111" i="50" s="1"/>
  <c r="AB35" i="50"/>
  <c r="AD34" i="50"/>
  <c r="AF34" i="50" s="1"/>
  <c r="AJ111" i="50"/>
  <c r="AD46" i="50"/>
  <c r="AF46" i="50" s="1"/>
  <c r="AJ124" i="50"/>
  <c r="AA39" i="50"/>
  <c r="AJ39" i="50" s="1"/>
  <c r="U105" i="49"/>
  <c r="U107" i="49" s="1"/>
  <c r="AB101" i="50"/>
  <c r="AB127" i="50"/>
  <c r="AA5" i="50"/>
  <c r="AJ5" i="50" s="1"/>
  <c r="AA70" i="50"/>
  <c r="AB70" i="50" s="1"/>
  <c r="AD119" i="50"/>
  <c r="AH119" i="50" s="1"/>
  <c r="AD9" i="50"/>
  <c r="D157" i="49"/>
  <c r="D159" i="49" s="1"/>
  <c r="D261" i="49"/>
  <c r="D263" i="49" s="1"/>
  <c r="AD48" i="50"/>
  <c r="AF48" i="50" s="1"/>
  <c r="AA18" i="50"/>
  <c r="AD18" i="50" s="1"/>
  <c r="AF18" i="50" s="1"/>
  <c r="AJ61" i="50"/>
  <c r="AJ81" i="50"/>
  <c r="AB61" i="50"/>
  <c r="AB48" i="50"/>
  <c r="AB114" i="50"/>
  <c r="O105" i="49"/>
  <c r="O107" i="49" s="1"/>
  <c r="AH87" i="50"/>
  <c r="AF87" i="50"/>
  <c r="C160" i="49"/>
  <c r="C159" i="49"/>
  <c r="AB88" i="50"/>
  <c r="AJ88" i="50"/>
  <c r="AB62" i="50"/>
  <c r="AD79" i="50"/>
  <c r="AH79" i="50" s="1"/>
  <c r="AD107" i="50"/>
  <c r="AH107" i="50" s="1"/>
  <c r="AJ80" i="50"/>
  <c r="AD120" i="50"/>
  <c r="AH120" i="50" s="1"/>
  <c r="AA37" i="50"/>
  <c r="AJ37" i="50" s="1"/>
  <c r="AJ120" i="50"/>
  <c r="AD80" i="50"/>
  <c r="AH80" i="50" s="1"/>
  <c r="AB113" i="50"/>
  <c r="I288" i="49"/>
  <c r="I290" i="49" s="1"/>
  <c r="I313" i="49" s="1"/>
  <c r="X139" i="49"/>
  <c r="AD7" i="50"/>
  <c r="AF7" i="50" s="1"/>
  <c r="X138" i="49"/>
  <c r="AJ7" i="50"/>
  <c r="AB132" i="50"/>
  <c r="AJ98" i="50"/>
  <c r="AD98" i="50"/>
  <c r="AH98" i="50" s="1"/>
  <c r="AB98" i="50"/>
  <c r="AJ132" i="50"/>
  <c r="T105" i="49"/>
  <c r="T107" i="49" s="1"/>
  <c r="E105" i="49"/>
  <c r="AB79" i="50"/>
  <c r="AA122" i="50"/>
  <c r="AB122" i="50" s="1"/>
  <c r="AJ126" i="50"/>
  <c r="AJ87" i="50"/>
  <c r="G339" i="49"/>
  <c r="AB87" i="50"/>
  <c r="AF81" i="50"/>
  <c r="AA31" i="50"/>
  <c r="AD31" i="50" s="1"/>
  <c r="AF31" i="50" s="1"/>
  <c r="AA103" i="50"/>
  <c r="AB103" i="50" s="1"/>
  <c r="AF61" i="50"/>
  <c r="AH61" i="50"/>
  <c r="AA26" i="50"/>
  <c r="AJ26" i="50" s="1"/>
  <c r="AA130" i="50"/>
  <c r="AD130" i="50" s="1"/>
  <c r="AH60" i="50"/>
  <c r="H339" i="49"/>
  <c r="AD74" i="50"/>
  <c r="AF74" i="50" s="1"/>
  <c r="AB99" i="50"/>
  <c r="AD99" i="50"/>
  <c r="AH99" i="50" s="1"/>
  <c r="AB36" i="50"/>
  <c r="AD36" i="50"/>
  <c r="AF36" i="50" s="1"/>
  <c r="U420" i="49"/>
  <c r="U422" i="49" s="1"/>
  <c r="I157" i="49"/>
  <c r="I159" i="49" s="1"/>
  <c r="D339" i="49"/>
  <c r="AA12" i="50"/>
  <c r="AD12" i="50" s="1"/>
  <c r="AF12" i="50" s="1"/>
  <c r="AD62" i="50"/>
  <c r="AF62" i="50" s="1"/>
  <c r="AE133" i="50"/>
  <c r="AJ134" i="50" s="1"/>
  <c r="AA52" i="50"/>
  <c r="AD52" i="50" s="1"/>
  <c r="AA64" i="50"/>
  <c r="AB64" i="50" s="1"/>
  <c r="AA115" i="50"/>
  <c r="AB115" i="50" s="1"/>
  <c r="AA78" i="50"/>
  <c r="AD78" i="50" s="1"/>
  <c r="F315" i="49"/>
  <c r="F317" i="49" s="1"/>
  <c r="AA129" i="50"/>
  <c r="AB129" i="50" s="1"/>
  <c r="V180" i="49"/>
  <c r="V285" i="49"/>
  <c r="V288" i="49" s="1"/>
  <c r="V290" i="49" s="1"/>
  <c r="V313" i="49" s="1"/>
  <c r="V182" i="49"/>
  <c r="V184" i="49" s="1"/>
  <c r="V207" i="49" s="1"/>
  <c r="P420" i="49"/>
  <c r="P422" i="49" s="1"/>
  <c r="N420" i="49"/>
  <c r="N422" i="49" s="1"/>
  <c r="V231" i="49"/>
  <c r="V234" i="49" s="1"/>
  <c r="V236" i="49" s="1"/>
  <c r="V259" i="49" s="1"/>
  <c r="AJ94" i="50"/>
  <c r="G393" i="49"/>
  <c r="G395" i="49" s="1"/>
  <c r="G418" i="49" s="1"/>
  <c r="AA104" i="50"/>
  <c r="AD104" i="50" s="1"/>
  <c r="AH104" i="50" s="1"/>
  <c r="AB94" i="50"/>
  <c r="F339" i="49"/>
  <c r="AA57" i="50"/>
  <c r="AB57" i="50" s="1"/>
  <c r="AA102" i="50"/>
  <c r="AJ102" i="50" s="1"/>
  <c r="AA76" i="50"/>
  <c r="AB76" i="50" s="1"/>
  <c r="AA91" i="50"/>
  <c r="AB91" i="50" s="1"/>
  <c r="M53" i="49"/>
  <c r="M55" i="49" s="1"/>
  <c r="AA13" i="50"/>
  <c r="AD13" i="50" s="1"/>
  <c r="X133" i="50"/>
  <c r="X134" i="50" s="1"/>
  <c r="AA44" i="50"/>
  <c r="AJ44" i="50" s="1"/>
  <c r="AA25" i="50"/>
  <c r="AD25" i="50" s="1"/>
  <c r="AF25" i="50" s="1"/>
  <c r="AB107" i="50"/>
  <c r="Z133" i="50"/>
  <c r="Z134" i="50" s="1"/>
  <c r="AA116" i="50"/>
  <c r="AB116" i="50" s="1"/>
  <c r="AB85" i="50"/>
  <c r="AD85" i="50"/>
  <c r="AJ85" i="50"/>
  <c r="W314" i="50"/>
  <c r="AD75" i="50"/>
  <c r="AJ75" i="50"/>
  <c r="AB75" i="50"/>
  <c r="AA90" i="50"/>
  <c r="AA83" i="50"/>
  <c r="AA96" i="50"/>
  <c r="AB72" i="50"/>
  <c r="AD72" i="50"/>
  <c r="AF72" i="50" s="1"/>
  <c r="AJ72" i="50"/>
  <c r="I393" i="49"/>
  <c r="I395" i="49" s="1"/>
  <c r="I418" i="49" s="1"/>
  <c r="D393" i="49"/>
  <c r="D395" i="49" s="1"/>
  <c r="D418" i="49" s="1"/>
  <c r="AA51" i="50"/>
  <c r="AD22" i="50"/>
  <c r="AF22" i="50" s="1"/>
  <c r="AB22" i="50"/>
  <c r="AJ22" i="50"/>
  <c r="AB67" i="50"/>
  <c r="AD67" i="50"/>
  <c r="AJ67" i="50"/>
  <c r="AA65" i="50"/>
  <c r="AA109" i="50"/>
  <c r="AD41" i="50"/>
  <c r="AF41" i="50" s="1"/>
  <c r="AB41" i="50"/>
  <c r="AJ41" i="50"/>
  <c r="AA11" i="50"/>
  <c r="AA128" i="50"/>
  <c r="AD15" i="50"/>
  <c r="AF15" i="50" s="1"/>
  <c r="AB15" i="50"/>
  <c r="AJ15" i="50"/>
  <c r="AB55" i="50"/>
  <c r="AD55" i="50"/>
  <c r="AJ55" i="50"/>
  <c r="AA89" i="50"/>
  <c r="AA77" i="50"/>
  <c r="AD23" i="50"/>
  <c r="AF23" i="50" s="1"/>
  <c r="AB23" i="50"/>
  <c r="AJ23" i="50"/>
  <c r="AA38" i="50"/>
  <c r="AF88" i="50"/>
  <c r="AA24" i="50"/>
  <c r="AB29" i="50"/>
  <c r="AD29" i="50"/>
  <c r="AF29" i="50" s="1"/>
  <c r="AJ29" i="50"/>
  <c r="Y133" i="50"/>
  <c r="Y134" i="50" s="1"/>
  <c r="AA50" i="50"/>
  <c r="AB28" i="50"/>
  <c r="AD28" i="50"/>
  <c r="AF28" i="50" s="1"/>
  <c r="AJ28" i="50"/>
  <c r="AF10" i="50"/>
  <c r="AH10" i="50"/>
  <c r="AA117" i="50"/>
  <c r="AA63" i="50"/>
  <c r="S315" i="49"/>
  <c r="S317" i="49" s="1"/>
  <c r="AF126" i="50"/>
  <c r="AB3" i="50"/>
  <c r="AD3" i="50"/>
  <c r="AH3" i="50" s="1"/>
  <c r="AJ3" i="50"/>
  <c r="AF118" i="50"/>
  <c r="AF132" i="50"/>
  <c r="AF100" i="50"/>
  <c r="AF124" i="50"/>
  <c r="AF106" i="50"/>
  <c r="AF113" i="50"/>
  <c r="AF110" i="50"/>
  <c r="AF101" i="50"/>
  <c r="AF94" i="50"/>
  <c r="Q53" i="49"/>
  <c r="Q55" i="49" s="1"/>
  <c r="Q315" i="49"/>
  <c r="Q317" i="49" s="1"/>
  <c r="O368" i="49"/>
  <c r="O370" i="49" s="1"/>
  <c r="H391" i="49"/>
  <c r="E393" i="49"/>
  <c r="E395" i="49" s="1"/>
  <c r="E418" i="49" s="1"/>
  <c r="O157" i="49"/>
  <c r="O159" i="49" s="1"/>
  <c r="K420" i="49"/>
  <c r="K422" i="49" s="1"/>
  <c r="H420" i="49"/>
  <c r="H422" i="49" s="1"/>
  <c r="J393" i="49"/>
  <c r="J395" i="49" s="1"/>
  <c r="J418" i="49" s="1"/>
  <c r="F393" i="49"/>
  <c r="F395" i="49" s="1"/>
  <c r="F418" i="49" s="1"/>
  <c r="L391" i="49"/>
  <c r="G368" i="49"/>
  <c r="G370" i="49" s="1"/>
  <c r="E341" i="49"/>
  <c r="E343" i="49" s="1"/>
  <c r="E366" i="49" s="1"/>
  <c r="L368" i="49"/>
  <c r="L370" i="49" s="1"/>
  <c r="J341" i="49"/>
  <c r="J343" i="49" s="1"/>
  <c r="J366" i="49" s="1"/>
  <c r="L339" i="49"/>
  <c r="C341" i="49"/>
  <c r="C343" i="49" s="1"/>
  <c r="C345" i="49" s="1"/>
  <c r="E315" i="49"/>
  <c r="E317" i="49" s="1"/>
  <c r="S53" i="49"/>
  <c r="S55" i="49" s="1"/>
  <c r="M184" i="49"/>
  <c r="M207" i="49" s="1"/>
  <c r="M209" i="49"/>
  <c r="M211" i="49" s="1"/>
  <c r="J184" i="49"/>
  <c r="J207" i="49" s="1"/>
  <c r="J209" i="49"/>
  <c r="J211" i="49" s="1"/>
  <c r="F391" i="49"/>
  <c r="H368" i="49"/>
  <c r="H370" i="49" s="1"/>
  <c r="S105" i="49"/>
  <c r="S107" i="49" s="1"/>
  <c r="C35" i="49"/>
  <c r="C37" i="49" s="1"/>
  <c r="C34" i="49"/>
  <c r="C33" i="49"/>
  <c r="C55" i="49"/>
  <c r="C56" i="49"/>
  <c r="C399" i="49"/>
  <c r="X238" i="49"/>
  <c r="X259" i="49"/>
  <c r="F368" i="49"/>
  <c r="F370" i="49" s="1"/>
  <c r="X401" i="49"/>
  <c r="X400" i="49"/>
  <c r="X402" i="49"/>
  <c r="C263" i="49"/>
  <c r="C264" i="49"/>
  <c r="X261" i="49"/>
  <c r="X263" i="49" s="1"/>
  <c r="C420" i="49"/>
  <c r="X240" i="49"/>
  <c r="X189" i="49"/>
  <c r="X191" i="49"/>
  <c r="X190" i="49"/>
  <c r="X35" i="49"/>
  <c r="X34" i="49"/>
  <c r="X33" i="49"/>
  <c r="C243" i="49"/>
  <c r="C245" i="49" s="1"/>
  <c r="C241" i="49"/>
  <c r="C242" i="49"/>
  <c r="D368" i="49"/>
  <c r="D370" i="49" s="1"/>
  <c r="L420" i="49"/>
  <c r="L422" i="49" s="1"/>
  <c r="X348" i="49"/>
  <c r="X349" i="49"/>
  <c r="X350" i="49"/>
  <c r="C397" i="49"/>
  <c r="C418" i="49"/>
  <c r="BX17" i="48" l="1"/>
  <c r="BX18" i="48"/>
  <c r="BT22" i="48"/>
  <c r="BV22" i="48" s="1"/>
  <c r="BT21" i="48"/>
  <c r="BV21" i="48" s="1"/>
  <c r="T27" i="33"/>
  <c r="V27" i="33" s="1"/>
  <c r="X27" i="33" s="1"/>
  <c r="AD27" i="33" s="1"/>
  <c r="T25" i="33"/>
  <c r="V25" i="33" s="1"/>
  <c r="X25" i="33" s="1"/>
  <c r="AD25" i="33" s="1"/>
  <c r="AD22" i="33"/>
  <c r="BT25" i="48"/>
  <c r="BV25" i="48" s="1"/>
  <c r="BR27" i="48"/>
  <c r="BX13" i="48"/>
  <c r="BT23" i="48"/>
  <c r="BV23" i="48" s="1"/>
  <c r="R33" i="33"/>
  <c r="T33" i="33" s="1"/>
  <c r="V33" i="33" s="1"/>
  <c r="X33" i="33" s="1"/>
  <c r="BQ24" i="48"/>
  <c r="BT24" i="48" s="1"/>
  <c r="BV24" i="48" s="1"/>
  <c r="BT26" i="48"/>
  <c r="BV26" i="48" s="1"/>
  <c r="Z24" i="33"/>
  <c r="AA24" i="33" s="1"/>
  <c r="R29" i="33"/>
  <c r="T29" i="33" s="1"/>
  <c r="V29" i="33" s="1"/>
  <c r="X29" i="33" s="1"/>
  <c r="R28" i="33"/>
  <c r="Z28" i="33" s="1"/>
  <c r="R32" i="33"/>
  <c r="Z32" i="33" s="1"/>
  <c r="R34" i="33"/>
  <c r="T34" i="33" s="1"/>
  <c r="V34" i="33" s="1"/>
  <c r="X34" i="33" s="1"/>
  <c r="R30" i="33"/>
  <c r="T30" i="33" s="1"/>
  <c r="V30" i="33" s="1"/>
  <c r="X30" i="33" s="1"/>
  <c r="AA25" i="33"/>
  <c r="P31" i="33"/>
  <c r="Q31" i="33"/>
  <c r="AA27" i="33"/>
  <c r="T20" i="33"/>
  <c r="V20" i="33" s="1"/>
  <c r="X20" i="33" s="1"/>
  <c r="AO20" i="33"/>
  <c r="Z20" i="33"/>
  <c r="BX27" i="48"/>
  <c r="AJ17" i="50"/>
  <c r="AD17" i="50"/>
  <c r="AF17" i="50" s="1"/>
  <c r="AH73" i="50"/>
  <c r="AB82" i="50"/>
  <c r="AD82" i="50"/>
  <c r="AH82" i="50" s="1"/>
  <c r="AH40" i="50"/>
  <c r="AB69" i="50"/>
  <c r="AJ69" i="50"/>
  <c r="AF108" i="50"/>
  <c r="X292" i="49"/>
  <c r="AJ108" i="50"/>
  <c r="C190" i="49"/>
  <c r="AF121" i="50"/>
  <c r="AB108" i="50"/>
  <c r="AH43" i="50"/>
  <c r="AJ43" i="50"/>
  <c r="AB43" i="50"/>
  <c r="I368" i="49"/>
  <c r="I370" i="49" s="1"/>
  <c r="AF131" i="50"/>
  <c r="D315" i="49"/>
  <c r="D317" i="49" s="1"/>
  <c r="AB56" i="50"/>
  <c r="X315" i="49"/>
  <c r="X317" i="49" s="1"/>
  <c r="X294" i="49"/>
  <c r="X296" i="49" s="1"/>
  <c r="AB121" i="50"/>
  <c r="AJ121" i="50"/>
  <c r="AB30" i="50"/>
  <c r="AJ56" i="50"/>
  <c r="AH56" i="50"/>
  <c r="AJ30" i="50"/>
  <c r="AH4" i="50"/>
  <c r="AH30" i="50"/>
  <c r="AF125" i="50"/>
  <c r="C296" i="49"/>
  <c r="C189" i="49"/>
  <c r="AF105" i="50"/>
  <c r="AH20" i="50"/>
  <c r="AF97" i="50"/>
  <c r="L315" i="49"/>
  <c r="L317" i="49" s="1"/>
  <c r="AD95" i="50"/>
  <c r="AH95" i="50" s="1"/>
  <c r="AJ95" i="50"/>
  <c r="C297" i="49"/>
  <c r="C299" i="49" s="1"/>
  <c r="AF123" i="50"/>
  <c r="J315" i="49"/>
  <c r="J317" i="49" s="1"/>
  <c r="AB102" i="50"/>
  <c r="AF92" i="50"/>
  <c r="C317" i="49"/>
  <c r="AH35" i="50"/>
  <c r="V286" i="49"/>
  <c r="AH36" i="50"/>
  <c r="AH54" i="50"/>
  <c r="AH84" i="50"/>
  <c r="AH8" i="50"/>
  <c r="AH47" i="50"/>
  <c r="AB18" i="50"/>
  <c r="AF120" i="50"/>
  <c r="AH58" i="50"/>
  <c r="AH19" i="50"/>
  <c r="AF114" i="50"/>
  <c r="AH59" i="50"/>
  <c r="AH42" i="50"/>
  <c r="AB31" i="50"/>
  <c r="AB39" i="50"/>
  <c r="AJ18" i="50"/>
  <c r="AD39" i="50"/>
  <c r="AF39" i="50" s="1"/>
  <c r="AF127" i="50"/>
  <c r="C212" i="49"/>
  <c r="AD70" i="50"/>
  <c r="AF70" i="50" s="1"/>
  <c r="AH7" i="50"/>
  <c r="AJ70" i="50"/>
  <c r="AF66" i="50"/>
  <c r="AH66" i="50"/>
  <c r="AH46" i="50"/>
  <c r="AH45" i="50"/>
  <c r="AH34" i="50"/>
  <c r="AH21" i="50"/>
  <c r="AH74" i="50"/>
  <c r="AB16" i="50"/>
  <c r="AH6" i="50"/>
  <c r="AD129" i="50"/>
  <c r="AH129" i="50" s="1"/>
  <c r="AD122" i="50"/>
  <c r="AH122" i="50" s="1"/>
  <c r="AF111" i="50"/>
  <c r="AJ122" i="50"/>
  <c r="AB78" i="50"/>
  <c r="AD64" i="50"/>
  <c r="AF64" i="50" s="1"/>
  <c r="AJ64" i="50"/>
  <c r="AF112" i="50"/>
  <c r="AH62" i="50"/>
  <c r="AF79" i="50"/>
  <c r="AD5" i="50"/>
  <c r="AF5" i="50" s="1"/>
  <c r="AH33" i="50"/>
  <c r="AD103" i="50"/>
  <c r="AH103" i="50" s="1"/>
  <c r="AH49" i="50"/>
  <c r="AJ78" i="50"/>
  <c r="AD16" i="50"/>
  <c r="AH48" i="50"/>
  <c r="AJ76" i="50"/>
  <c r="I315" i="49"/>
  <c r="I317" i="49" s="1"/>
  <c r="AD76" i="50"/>
  <c r="AF76" i="50" s="1"/>
  <c r="AF119" i="50"/>
  <c r="AF86" i="50"/>
  <c r="AJ103" i="50"/>
  <c r="AB5" i="50"/>
  <c r="AJ91" i="50"/>
  <c r="AD102" i="50"/>
  <c r="AH102" i="50" s="1"/>
  <c r="AH22" i="50"/>
  <c r="AF9" i="50"/>
  <c r="AH9" i="50"/>
  <c r="AD115" i="50"/>
  <c r="AH115" i="50" s="1"/>
  <c r="AJ115" i="50"/>
  <c r="AF80" i="50"/>
  <c r="AD57" i="50"/>
  <c r="AF57" i="50" s="1"/>
  <c r="AJ57" i="50"/>
  <c r="AD26" i="50"/>
  <c r="AF26" i="50" s="1"/>
  <c r="AJ31" i="50"/>
  <c r="AB37" i="50"/>
  <c r="AD37" i="50"/>
  <c r="AF37" i="50" s="1"/>
  <c r="AB104" i="50"/>
  <c r="AJ104" i="50"/>
  <c r="V232" i="49"/>
  <c r="AB26" i="50"/>
  <c r="AF98" i="50"/>
  <c r="AJ25" i="50"/>
  <c r="AH15" i="50"/>
  <c r="AB25" i="50"/>
  <c r="AF107" i="50"/>
  <c r="AD44" i="50"/>
  <c r="AF44" i="50" s="1"/>
  <c r="AE134" i="50"/>
  <c r="AF52" i="50"/>
  <c r="AH52" i="50"/>
  <c r="AH130" i="50"/>
  <c r="AF130" i="50"/>
  <c r="AJ12" i="50"/>
  <c r="AB12" i="50"/>
  <c r="AB44" i="50"/>
  <c r="AJ52" i="50"/>
  <c r="AB13" i="50"/>
  <c r="AB52" i="50"/>
  <c r="AB130" i="50"/>
  <c r="AJ129" i="50"/>
  <c r="AJ130" i="50"/>
  <c r="AD91" i="50"/>
  <c r="AH91" i="50" s="1"/>
  <c r="AF99" i="50"/>
  <c r="E368" i="49"/>
  <c r="E370" i="49" s="1"/>
  <c r="AH29" i="50"/>
  <c r="AF13" i="50"/>
  <c r="AH13" i="50"/>
  <c r="AA133" i="50"/>
  <c r="AA134" i="50" s="1"/>
  <c r="AF104" i="50"/>
  <c r="E420" i="49"/>
  <c r="E422" i="49" s="1"/>
  <c r="AJ13" i="50"/>
  <c r="G420" i="49"/>
  <c r="G422" i="49" s="1"/>
  <c r="D420" i="49"/>
  <c r="D422" i="49" s="1"/>
  <c r="AD116" i="50"/>
  <c r="AH116" i="50" s="1"/>
  <c r="AJ116" i="50"/>
  <c r="AH85" i="50"/>
  <c r="AF85" i="50"/>
  <c r="I420" i="49"/>
  <c r="I422" i="49" s="1"/>
  <c r="V209" i="49"/>
  <c r="V211" i="49" s="1"/>
  <c r="AD89" i="50"/>
  <c r="AF89" i="50" s="1"/>
  <c r="AB89" i="50"/>
  <c r="AJ89" i="50"/>
  <c r="AB128" i="50"/>
  <c r="AD128" i="50"/>
  <c r="AF128" i="50" s="1"/>
  <c r="AJ128" i="50"/>
  <c r="AF67" i="50"/>
  <c r="AH67" i="50"/>
  <c r="C366" i="49"/>
  <c r="AH12" i="50"/>
  <c r="AF55" i="50"/>
  <c r="AH55" i="50"/>
  <c r="AH72" i="50"/>
  <c r="AH18" i="50"/>
  <c r="AD50" i="50"/>
  <c r="AF50" i="50" s="1"/>
  <c r="AB50" i="50"/>
  <c r="AJ50" i="50"/>
  <c r="AJ77" i="50"/>
  <c r="AB77" i="50"/>
  <c r="AD77" i="50"/>
  <c r="AB11" i="50"/>
  <c r="AJ11" i="50"/>
  <c r="AD11" i="50"/>
  <c r="AF11" i="50" s="1"/>
  <c r="AF75" i="50"/>
  <c r="AH75" i="50"/>
  <c r="AB63" i="50"/>
  <c r="AD63" i="50"/>
  <c r="AF63" i="50" s="1"/>
  <c r="AJ63" i="50"/>
  <c r="AB96" i="50"/>
  <c r="AD96" i="50"/>
  <c r="AJ96" i="50"/>
  <c r="AH31" i="50"/>
  <c r="AH23" i="50"/>
  <c r="AB117" i="50"/>
  <c r="AJ117" i="50"/>
  <c r="AD117" i="50"/>
  <c r="AF117" i="50" s="1"/>
  <c r="AH78" i="50"/>
  <c r="AF78" i="50"/>
  <c r="AD109" i="50"/>
  <c r="AF109" i="50" s="1"/>
  <c r="AJ109" i="50"/>
  <c r="AB109" i="50"/>
  <c r="AD83" i="50"/>
  <c r="AF83" i="50" s="1"/>
  <c r="AB83" i="50"/>
  <c r="AJ83" i="50"/>
  <c r="AH25" i="50"/>
  <c r="AJ137" i="50"/>
  <c r="AB24" i="50"/>
  <c r="AJ24" i="50"/>
  <c r="AD24" i="50"/>
  <c r="AF24" i="50" s="1"/>
  <c r="AJ65" i="50"/>
  <c r="AD65" i="50"/>
  <c r="AF65" i="50" s="1"/>
  <c r="AB65" i="50"/>
  <c r="AJ90" i="50"/>
  <c r="AD90" i="50"/>
  <c r="AB90" i="50"/>
  <c r="Y135" i="50"/>
  <c r="AD38" i="50"/>
  <c r="AF38" i="50" s="1"/>
  <c r="AB38" i="50"/>
  <c r="AJ38" i="50"/>
  <c r="AD51" i="50"/>
  <c r="AF51" i="50" s="1"/>
  <c r="AJ51" i="50"/>
  <c r="AB51" i="50"/>
  <c r="AH41" i="50"/>
  <c r="AH28" i="50"/>
  <c r="AF3" i="50"/>
  <c r="F420" i="49"/>
  <c r="F422" i="49" s="1"/>
  <c r="J420" i="49"/>
  <c r="J422" i="49" s="1"/>
  <c r="C368" i="49"/>
  <c r="C370" i="49" s="1"/>
  <c r="C347" i="49"/>
  <c r="C350" i="49" s="1"/>
  <c r="C352" i="49" s="1"/>
  <c r="J368" i="49"/>
  <c r="J370" i="49" s="1"/>
  <c r="C423" i="49"/>
  <c r="C422" i="49"/>
  <c r="V261" i="49"/>
  <c r="V263" i="49" s="1"/>
  <c r="C402" i="49"/>
  <c r="C404" i="49" s="1"/>
  <c r="C401" i="49"/>
  <c r="C400" i="49"/>
  <c r="X243" i="49"/>
  <c r="X241" i="49"/>
  <c r="X242" i="49"/>
  <c r="V315" i="49"/>
  <c r="V317" i="49" s="1"/>
  <c r="BX22" i="48" l="1"/>
  <c r="BX25" i="48"/>
  <c r="BR24" i="48"/>
  <c r="BX21" i="48"/>
  <c r="Z34" i="33"/>
  <c r="AA34" i="33" s="1"/>
  <c r="BX23" i="48"/>
  <c r="Z30" i="33"/>
  <c r="AA30" i="33" s="1"/>
  <c r="BX26" i="48"/>
  <c r="Z33" i="33"/>
  <c r="AD33" i="33" s="1"/>
  <c r="R31" i="33"/>
  <c r="T31" i="33" s="1"/>
  <c r="V31" i="33" s="1"/>
  <c r="X31" i="33" s="1"/>
  <c r="Z29" i="33"/>
  <c r="AA29" i="33" s="1"/>
  <c r="AD24" i="33"/>
  <c r="T32" i="33"/>
  <c r="V32" i="33" s="1"/>
  <c r="X32" i="33" s="1"/>
  <c r="AD32" i="33" s="1"/>
  <c r="T28" i="33"/>
  <c r="V28" i="33" s="1"/>
  <c r="X28" i="33" s="1"/>
  <c r="AD28" i="33" s="1"/>
  <c r="BX24" i="48"/>
  <c r="AA20" i="33"/>
  <c r="AD20" i="33"/>
  <c r="AA32" i="33"/>
  <c r="AA28" i="33"/>
  <c r="AF82" i="50"/>
  <c r="AH17" i="50"/>
  <c r="X297" i="49"/>
  <c r="X295" i="49"/>
  <c r="AF95" i="50"/>
  <c r="AF129" i="50"/>
  <c r="AH70" i="50"/>
  <c r="AH39" i="50"/>
  <c r="AH64" i="50"/>
  <c r="AF122" i="50"/>
  <c r="AH5" i="50"/>
  <c r="AH57" i="50"/>
  <c r="AF103" i="50"/>
  <c r="AH26" i="50"/>
  <c r="AH76" i="50"/>
  <c r="AF115" i="50"/>
  <c r="AF16" i="50"/>
  <c r="AH16" i="50"/>
  <c r="AF102" i="50"/>
  <c r="C371" i="49"/>
  <c r="AH63" i="50"/>
  <c r="AH37" i="50"/>
  <c r="AH51" i="50"/>
  <c r="AH44" i="50"/>
  <c r="AH11" i="50"/>
  <c r="AH65" i="50"/>
  <c r="AF91" i="50"/>
  <c r="C348" i="49"/>
  <c r="AB133" i="50"/>
  <c r="AB134" i="50" s="1"/>
  <c r="AJ133" i="50"/>
  <c r="AH117" i="50"/>
  <c r="AF116" i="50"/>
  <c r="AH77" i="50"/>
  <c r="AF77" i="50"/>
  <c r="AH83" i="50"/>
  <c r="AD133" i="50"/>
  <c r="AJ135" i="50" s="1"/>
  <c r="AH24" i="50"/>
  <c r="AH90" i="50"/>
  <c r="AF90" i="50"/>
  <c r="AH96" i="50"/>
  <c r="AF96" i="50"/>
  <c r="AH50" i="50"/>
  <c r="AH89" i="50"/>
  <c r="C349" i="49"/>
  <c r="AH38" i="50"/>
  <c r="AH109" i="50"/>
  <c r="AH128" i="50"/>
  <c r="AG146" i="33"/>
  <c r="AG147" i="33"/>
  <c r="AG148" i="33"/>
  <c r="AG149" i="33"/>
  <c r="AG150" i="33"/>
  <c r="H14" i="33"/>
  <c r="F14" i="33"/>
  <c r="AA150" i="48"/>
  <c r="M157" i="33" s="1"/>
  <c r="U150" i="48"/>
  <c r="AA149" i="48"/>
  <c r="M156" i="33" s="1"/>
  <c r="U149" i="48"/>
  <c r="AA148" i="48"/>
  <c r="M155" i="33" s="1"/>
  <c r="U148" i="48"/>
  <c r="AA147" i="48"/>
  <c r="M154" i="33" s="1"/>
  <c r="U147" i="48"/>
  <c r="AA146" i="48"/>
  <c r="M153" i="33" s="1"/>
  <c r="U146" i="48"/>
  <c r="AA145" i="48"/>
  <c r="M152" i="33" s="1"/>
  <c r="U145" i="48"/>
  <c r="AA144" i="48"/>
  <c r="M151" i="33" s="1"/>
  <c r="U144" i="48"/>
  <c r="AA143" i="48"/>
  <c r="M150" i="33" s="1"/>
  <c r="U143" i="48"/>
  <c r="AA142" i="48"/>
  <c r="M149" i="33" s="1"/>
  <c r="U142" i="48"/>
  <c r="AA141" i="48"/>
  <c r="M148" i="33" s="1"/>
  <c r="U141" i="48"/>
  <c r="AA140" i="48"/>
  <c r="M147" i="33" s="1"/>
  <c r="U140" i="48"/>
  <c r="AA139" i="48"/>
  <c r="M146" i="33" s="1"/>
  <c r="U139" i="48"/>
  <c r="AA138" i="48"/>
  <c r="M145" i="33" s="1"/>
  <c r="AA137" i="48"/>
  <c r="M144" i="33" s="1"/>
  <c r="U137" i="48"/>
  <c r="AA136" i="48"/>
  <c r="M143" i="33" s="1"/>
  <c r="U136" i="48"/>
  <c r="AA135" i="48"/>
  <c r="M142" i="33" s="1"/>
  <c r="U135" i="48"/>
  <c r="AA134" i="48"/>
  <c r="M141" i="33" s="1"/>
  <c r="U134" i="48"/>
  <c r="AA133" i="48"/>
  <c r="M140" i="33" s="1"/>
  <c r="U133" i="48"/>
  <c r="AA132" i="48"/>
  <c r="M139" i="33" s="1"/>
  <c r="U132" i="48"/>
  <c r="AA131" i="48"/>
  <c r="M138" i="33" s="1"/>
  <c r="U131" i="48"/>
  <c r="M131" i="48"/>
  <c r="Y131" i="48" s="1"/>
  <c r="AA130" i="48"/>
  <c r="M137" i="33" s="1"/>
  <c r="U130" i="48"/>
  <c r="AA129" i="48"/>
  <c r="M136" i="33" s="1"/>
  <c r="U129" i="48"/>
  <c r="AA128" i="48"/>
  <c r="M135" i="33" s="1"/>
  <c r="U128" i="48"/>
  <c r="AA127" i="48"/>
  <c r="M134" i="33" s="1"/>
  <c r="U127" i="48"/>
  <c r="AA126" i="48"/>
  <c r="M133" i="33" s="1"/>
  <c r="U126" i="48"/>
  <c r="AA125" i="48"/>
  <c r="M132" i="33" s="1"/>
  <c r="AA124" i="48"/>
  <c r="M131" i="33" s="1"/>
  <c r="AA123" i="48"/>
  <c r="M130" i="33" s="1"/>
  <c r="AA122" i="48"/>
  <c r="M129" i="33" s="1"/>
  <c r="AA121" i="48"/>
  <c r="M128" i="33" s="1"/>
  <c r="AA120" i="48"/>
  <c r="M127" i="33" s="1"/>
  <c r="AA119" i="48"/>
  <c r="M126" i="33" s="1"/>
  <c r="AA118" i="48"/>
  <c r="M125" i="33" s="1"/>
  <c r="AA117" i="48"/>
  <c r="M124" i="33" s="1"/>
  <c r="AA116" i="48"/>
  <c r="M123" i="33" s="1"/>
  <c r="AA115" i="48"/>
  <c r="M122" i="33" s="1"/>
  <c r="AA114" i="48"/>
  <c r="M121" i="33" s="1"/>
  <c r="AA113" i="48"/>
  <c r="M120" i="33" s="1"/>
  <c r="AA112" i="48"/>
  <c r="M119" i="33" s="1"/>
  <c r="AA111" i="48"/>
  <c r="M118" i="33" s="1"/>
  <c r="AA110" i="48"/>
  <c r="M117" i="33" s="1"/>
  <c r="AA109" i="48"/>
  <c r="M116" i="33" s="1"/>
  <c r="AA108" i="48"/>
  <c r="M115" i="33" s="1"/>
  <c r="AA107" i="48"/>
  <c r="M114" i="33" s="1"/>
  <c r="AA106" i="48"/>
  <c r="M113" i="33" s="1"/>
  <c r="AA105" i="48"/>
  <c r="M112" i="33" s="1"/>
  <c r="AA104" i="48"/>
  <c r="M111" i="33" s="1"/>
  <c r="AA103" i="48"/>
  <c r="M110" i="33" s="1"/>
  <c r="AA102" i="48"/>
  <c r="M109" i="33" s="1"/>
  <c r="AA101" i="48"/>
  <c r="M108" i="33" s="1"/>
  <c r="AA100" i="48"/>
  <c r="M107" i="33" s="1"/>
  <c r="AA99" i="48"/>
  <c r="M106" i="33" s="1"/>
  <c r="AA98" i="48"/>
  <c r="M105" i="33" s="1"/>
  <c r="AA97" i="48"/>
  <c r="M104" i="33" s="1"/>
  <c r="AA96" i="48"/>
  <c r="M103" i="33" s="1"/>
  <c r="AA95" i="48"/>
  <c r="M102" i="33" s="1"/>
  <c r="AA94" i="48"/>
  <c r="M101" i="33" s="1"/>
  <c r="AA93" i="48"/>
  <c r="M100" i="33" s="1"/>
  <c r="AA92" i="48"/>
  <c r="M99" i="33" s="1"/>
  <c r="AA91" i="48"/>
  <c r="M98" i="33" s="1"/>
  <c r="AA90" i="48"/>
  <c r="M97" i="33" s="1"/>
  <c r="AA89" i="48"/>
  <c r="M96" i="33" s="1"/>
  <c r="AA88" i="48"/>
  <c r="M95" i="33" s="1"/>
  <c r="AA87" i="48"/>
  <c r="M94" i="33" s="1"/>
  <c r="AA86" i="48"/>
  <c r="M93" i="33" s="1"/>
  <c r="AA85" i="48"/>
  <c r="M92" i="33" s="1"/>
  <c r="AA84" i="48"/>
  <c r="M91" i="33" s="1"/>
  <c r="AA83" i="48"/>
  <c r="M90" i="33" s="1"/>
  <c r="AA82" i="48"/>
  <c r="M89" i="33" s="1"/>
  <c r="AA81" i="48"/>
  <c r="M88" i="33" s="1"/>
  <c r="AA80" i="48"/>
  <c r="M87" i="33" s="1"/>
  <c r="AA79" i="48"/>
  <c r="M86" i="33" s="1"/>
  <c r="AA78" i="48"/>
  <c r="M85" i="33" s="1"/>
  <c r="AA77" i="48"/>
  <c r="M84" i="33" s="1"/>
  <c r="AA76" i="48"/>
  <c r="M83" i="33" s="1"/>
  <c r="AA75" i="48"/>
  <c r="M82" i="33" s="1"/>
  <c r="AA74" i="48"/>
  <c r="M81" i="33" s="1"/>
  <c r="AA73" i="48"/>
  <c r="M80" i="33" s="1"/>
  <c r="M73" i="48"/>
  <c r="Z73" i="48" s="1"/>
  <c r="AA72" i="48"/>
  <c r="M79" i="33" s="1"/>
  <c r="AA71" i="48"/>
  <c r="M78" i="33" s="1"/>
  <c r="AA70" i="48"/>
  <c r="M77" i="33" s="1"/>
  <c r="AA69" i="48"/>
  <c r="M76" i="33" s="1"/>
  <c r="AA68" i="48"/>
  <c r="M75" i="33" s="1"/>
  <c r="AA67" i="48"/>
  <c r="M74" i="33" s="1"/>
  <c r="AA66" i="48"/>
  <c r="M73" i="33" s="1"/>
  <c r="AA65" i="48"/>
  <c r="M72" i="33" s="1"/>
  <c r="AA64" i="48"/>
  <c r="M71" i="33" s="1"/>
  <c r="AA63" i="48"/>
  <c r="M70" i="33" s="1"/>
  <c r="AA62" i="48"/>
  <c r="M69" i="33" s="1"/>
  <c r="AA61" i="48"/>
  <c r="M68" i="33" s="1"/>
  <c r="AA60" i="48"/>
  <c r="M67" i="33" s="1"/>
  <c r="AA59" i="48"/>
  <c r="M66" i="33" s="1"/>
  <c r="U59" i="48"/>
  <c r="AA58" i="48"/>
  <c r="M65" i="33" s="1"/>
  <c r="U58" i="48"/>
  <c r="AA57" i="48"/>
  <c r="M64" i="33" s="1"/>
  <c r="U57" i="48"/>
  <c r="AA56" i="48"/>
  <c r="M63" i="33" s="1"/>
  <c r="U56" i="48"/>
  <c r="AA55" i="48"/>
  <c r="M62" i="33" s="1"/>
  <c r="U55" i="48"/>
  <c r="AA54" i="48"/>
  <c r="M61" i="33" s="1"/>
  <c r="AA53" i="48"/>
  <c r="M60" i="33" s="1"/>
  <c r="U53" i="48"/>
  <c r="AA52" i="48"/>
  <c r="M59" i="33" s="1"/>
  <c r="U52" i="48"/>
  <c r="AA51" i="48"/>
  <c r="M58" i="33" s="1"/>
  <c r="U51" i="48"/>
  <c r="AA50" i="48"/>
  <c r="M57" i="33" s="1"/>
  <c r="U50" i="48"/>
  <c r="AA49" i="48"/>
  <c r="M56" i="33" s="1"/>
  <c r="U49" i="48"/>
  <c r="AA48" i="48"/>
  <c r="M55" i="33" s="1"/>
  <c r="U48" i="48"/>
  <c r="BU47" i="48"/>
  <c r="AA47" i="48"/>
  <c r="M54" i="33" s="1"/>
  <c r="AA46" i="48"/>
  <c r="M53" i="33" s="1"/>
  <c r="AA45" i="48"/>
  <c r="M52" i="33" s="1"/>
  <c r="AA44" i="48"/>
  <c r="M51" i="33" s="1"/>
  <c r="AA43" i="48"/>
  <c r="M50" i="33" s="1"/>
  <c r="AA42" i="48"/>
  <c r="M49" i="33" s="1"/>
  <c r="AA41" i="48"/>
  <c r="M48" i="33" s="1"/>
  <c r="AA40" i="48"/>
  <c r="M47" i="33" s="1"/>
  <c r="AA39" i="48"/>
  <c r="M46" i="33" s="1"/>
  <c r="AA38" i="48"/>
  <c r="M45" i="33" s="1"/>
  <c r="AA37" i="48"/>
  <c r="M44" i="33" s="1"/>
  <c r="AA36" i="48"/>
  <c r="M43" i="33" s="1"/>
  <c r="AA35" i="48"/>
  <c r="M42" i="33" s="1"/>
  <c r="AA34" i="48"/>
  <c r="M41" i="33" s="1"/>
  <c r="G45" i="47"/>
  <c r="F43" i="47"/>
  <c r="F42" i="47"/>
  <c r="F41" i="47"/>
  <c r="G39" i="47"/>
  <c r="G44" i="47" s="1"/>
  <c r="F37" i="47"/>
  <c r="F33" i="47"/>
  <c r="F32" i="47"/>
  <c r="F31" i="47"/>
  <c r="H30" i="47"/>
  <c r="F30" i="47"/>
  <c r="F24" i="47"/>
  <c r="F21" i="47"/>
  <c r="F17" i="47"/>
  <c r="H15" i="47"/>
  <c r="F15" i="47"/>
  <c r="M13" i="47"/>
  <c r="M14" i="47" s="1"/>
  <c r="I11" i="47"/>
  <c r="G11" i="47"/>
  <c r="I10" i="47"/>
  <c r="F10" i="47"/>
  <c r="H9" i="47"/>
  <c r="G9" i="47"/>
  <c r="H8" i="47"/>
  <c r="G8" i="47"/>
  <c r="E8" i="47"/>
  <c r="H7" i="47"/>
  <c r="G7" i="47"/>
  <c r="E7" i="47"/>
  <c r="H6" i="47"/>
  <c r="H5" i="47"/>
  <c r="M4" i="47"/>
  <c r="M5" i="47" s="1"/>
  <c r="M6" i="47" s="1"/>
  <c r="M7" i="47" s="1"/>
  <c r="M12" i="47" s="1"/>
  <c r="H4" i="47"/>
  <c r="G4" i="47"/>
  <c r="E4" i="47"/>
  <c r="AD34" i="33" l="1"/>
  <c r="AD30" i="33"/>
  <c r="AD29" i="33"/>
  <c r="Z31" i="33"/>
  <c r="AA31" i="33" s="1"/>
  <c r="AA33" i="33"/>
  <c r="U54" i="33"/>
  <c r="S9" i="48"/>
  <c r="AE9" i="48" s="1"/>
  <c r="S10" i="48"/>
  <c r="AE10" i="48" s="1"/>
  <c r="G17" i="4"/>
  <c r="S11" i="48"/>
  <c r="AE11" i="48" s="1"/>
  <c r="S12" i="48"/>
  <c r="AE12" i="48" s="1"/>
  <c r="AF133" i="50"/>
  <c r="AF134" i="50" s="1"/>
  <c r="M7" i="48"/>
  <c r="J151" i="48"/>
  <c r="BU48" i="48"/>
  <c r="U151" i="48"/>
  <c r="AA151" i="48"/>
  <c r="M144" i="48"/>
  <c r="Y144" i="48" s="1"/>
  <c r="M150" i="48"/>
  <c r="V150" i="48" s="1"/>
  <c r="V73" i="48"/>
  <c r="Y73" i="48"/>
  <c r="V131" i="48"/>
  <c r="M28" i="48"/>
  <c r="V28" i="48" s="1"/>
  <c r="AC28" i="48" s="1"/>
  <c r="AE28" i="48" s="1"/>
  <c r="M56" i="48"/>
  <c r="V56" i="48" s="1"/>
  <c r="AC56" i="48" s="1"/>
  <c r="AE56" i="48" s="1"/>
  <c r="M116" i="48"/>
  <c r="Z116" i="48" s="1"/>
  <c r="M134" i="48"/>
  <c r="V134" i="48" s="1"/>
  <c r="AC134" i="48" s="1"/>
  <c r="AE134" i="48" s="1"/>
  <c r="AH133" i="50"/>
  <c r="AJ136" i="50" s="1"/>
  <c r="AD134" i="50"/>
  <c r="M71" i="48"/>
  <c r="M93" i="48"/>
  <c r="V93" i="48" s="1"/>
  <c r="AC93" i="48" s="1"/>
  <c r="AE93" i="48" s="1"/>
  <c r="M129" i="48"/>
  <c r="Z129" i="48" s="1"/>
  <c r="M95" i="48"/>
  <c r="V95" i="48" s="1"/>
  <c r="AC95" i="48" s="1"/>
  <c r="AE95" i="48" s="1"/>
  <c r="M53" i="48"/>
  <c r="M148" i="48"/>
  <c r="V148" i="48" s="1"/>
  <c r="AC148" i="48" s="1"/>
  <c r="AE148" i="48" s="1"/>
  <c r="M106" i="48"/>
  <c r="V106" i="48" s="1"/>
  <c r="AC106" i="48" s="1"/>
  <c r="AE106" i="48" s="1"/>
  <c r="M138" i="48"/>
  <c r="Z138" i="48" s="1"/>
  <c r="M143" i="48"/>
  <c r="V143" i="48" s="1"/>
  <c r="AC143" i="48" s="1"/>
  <c r="AE143" i="48" s="1"/>
  <c r="M90" i="48"/>
  <c r="Z90" i="48" s="1"/>
  <c r="M57" i="48"/>
  <c r="V57" i="48" s="1"/>
  <c r="AC57" i="48" s="1"/>
  <c r="AE57" i="48" s="1"/>
  <c r="M68" i="48"/>
  <c r="M77" i="48"/>
  <c r="Z77" i="48" s="1"/>
  <c r="M67" i="48"/>
  <c r="M81" i="48"/>
  <c r="V81" i="48" s="1"/>
  <c r="AC81" i="48" s="1"/>
  <c r="AE81" i="48" s="1"/>
  <c r="M115" i="48"/>
  <c r="M140" i="48"/>
  <c r="M66" i="48"/>
  <c r="Y66" i="48" s="1"/>
  <c r="M59" i="48"/>
  <c r="M102" i="48"/>
  <c r="M119" i="48"/>
  <c r="V119" i="48" s="1"/>
  <c r="AC119" i="48" s="1"/>
  <c r="AE119" i="48" s="1"/>
  <c r="M31" i="48"/>
  <c r="V31" i="48" s="1"/>
  <c r="AC31" i="48" s="1"/>
  <c r="AE31" i="48" s="1"/>
  <c r="M137" i="48"/>
  <c r="V137" i="48" s="1"/>
  <c r="AC137" i="48" s="1"/>
  <c r="AE137" i="48" s="1"/>
  <c r="M36" i="48"/>
  <c r="M63" i="48"/>
  <c r="Z63" i="48" s="1"/>
  <c r="M78" i="48"/>
  <c r="V78" i="48" s="1"/>
  <c r="AC78" i="48" s="1"/>
  <c r="AE78" i="48" s="1"/>
  <c r="M104" i="48"/>
  <c r="V104" i="48" s="1"/>
  <c r="AC104" i="48" s="1"/>
  <c r="AE104" i="48" s="1"/>
  <c r="M111" i="48"/>
  <c r="AE14" i="48"/>
  <c r="G14" i="33"/>
  <c r="M30" i="48"/>
  <c r="M61" i="48"/>
  <c r="Z61" i="48" s="1"/>
  <c r="M98" i="48"/>
  <c r="M121" i="48"/>
  <c r="V121" i="48" s="1"/>
  <c r="AC121" i="48" s="1"/>
  <c r="AE121" i="48" s="1"/>
  <c r="M124" i="48"/>
  <c r="M147" i="48"/>
  <c r="V147" i="48" s="1"/>
  <c r="AC147" i="48" s="1"/>
  <c r="AE147" i="48" s="1"/>
  <c r="M45" i="48"/>
  <c r="M70" i="48"/>
  <c r="M72" i="48"/>
  <c r="Z72" i="48" s="1"/>
  <c r="M108" i="48"/>
  <c r="V108" i="48" s="1"/>
  <c r="AC108" i="48" s="1"/>
  <c r="AE108" i="48" s="1"/>
  <c r="M79" i="48"/>
  <c r="M89" i="48"/>
  <c r="M127" i="48"/>
  <c r="I14" i="33"/>
  <c r="M37" i="48"/>
  <c r="M122" i="48"/>
  <c r="V122" i="48" s="1"/>
  <c r="AC122" i="48" s="1"/>
  <c r="AE122" i="48" s="1"/>
  <c r="M43" i="48"/>
  <c r="V43" i="48" s="1"/>
  <c r="AC43" i="48" s="1"/>
  <c r="AE43" i="48" s="1"/>
  <c r="M51" i="48"/>
  <c r="Z51" i="48" s="1"/>
  <c r="M35" i="48"/>
  <c r="M60" i="48"/>
  <c r="M62" i="48"/>
  <c r="Z62" i="48" s="1"/>
  <c r="M103" i="48"/>
  <c r="Z103" i="48" s="1"/>
  <c r="M49" i="48"/>
  <c r="M146" i="48"/>
  <c r="V146" i="48" s="1"/>
  <c r="AC146" i="48" s="1"/>
  <c r="AE146" i="48" s="1"/>
  <c r="M58" i="48"/>
  <c r="Z58" i="48" s="1"/>
  <c r="M80" i="48"/>
  <c r="V80" i="48" s="1"/>
  <c r="AC80" i="48" s="1"/>
  <c r="AE80" i="48" s="1"/>
  <c r="M128" i="48"/>
  <c r="M29" i="48"/>
  <c r="V29" i="48" s="1"/>
  <c r="AC29" i="48" s="1"/>
  <c r="AE29" i="48" s="1"/>
  <c r="M52" i="48"/>
  <c r="V52" i="48" s="1"/>
  <c r="AC52" i="48" s="1"/>
  <c r="AE52" i="48" s="1"/>
  <c r="M55" i="48"/>
  <c r="V55" i="48" s="1"/>
  <c r="AC55" i="48" s="1"/>
  <c r="AE55" i="48" s="1"/>
  <c r="M65" i="48"/>
  <c r="M126" i="48"/>
  <c r="M135" i="48"/>
  <c r="V135" i="48" s="1"/>
  <c r="AC135" i="48" s="1"/>
  <c r="AE135" i="48" s="1"/>
  <c r="M142" i="48"/>
  <c r="Z142" i="48" s="1"/>
  <c r="M54" i="48"/>
  <c r="V54" i="48" s="1"/>
  <c r="AC54" i="48" s="1"/>
  <c r="AE54" i="48" s="1"/>
  <c r="M75" i="48"/>
  <c r="M96" i="48"/>
  <c r="V96" i="48" s="1"/>
  <c r="AC96" i="48" s="1"/>
  <c r="AE96" i="48" s="1"/>
  <c r="M34" i="48"/>
  <c r="Z34" i="48" s="1"/>
  <c r="M38" i="48"/>
  <c r="Z38" i="48" s="1"/>
  <c r="M39" i="48"/>
  <c r="V39" i="48" s="1"/>
  <c r="AC39" i="48" s="1"/>
  <c r="AE39" i="48" s="1"/>
  <c r="M46" i="48"/>
  <c r="V46" i="48" s="1"/>
  <c r="AC46" i="48" s="1"/>
  <c r="AE46" i="48" s="1"/>
  <c r="M107" i="48"/>
  <c r="V107" i="48" s="1"/>
  <c r="AC107" i="48" s="1"/>
  <c r="AE107" i="48" s="1"/>
  <c r="M82" i="48"/>
  <c r="V82" i="48" s="1"/>
  <c r="AC82" i="48" s="1"/>
  <c r="AE82" i="48" s="1"/>
  <c r="M44" i="48"/>
  <c r="V44" i="48" s="1"/>
  <c r="AC44" i="48" s="1"/>
  <c r="AE44" i="48" s="1"/>
  <c r="M33" i="48"/>
  <c r="M32" i="48"/>
  <c r="Z32" i="48" s="1"/>
  <c r="M76" i="48"/>
  <c r="M42" i="48"/>
  <c r="V42" i="48" s="1"/>
  <c r="AC42" i="48" s="1"/>
  <c r="AE42" i="48" s="1"/>
  <c r="M114" i="48"/>
  <c r="M74" i="48"/>
  <c r="M50" i="48"/>
  <c r="M64" i="48"/>
  <c r="M91" i="48"/>
  <c r="V91" i="48" s="1"/>
  <c r="AC91" i="48" s="1"/>
  <c r="AE91" i="48" s="1"/>
  <c r="M48" i="48"/>
  <c r="M88" i="48"/>
  <c r="M40" i="48"/>
  <c r="M41" i="48"/>
  <c r="V41" i="48" s="1"/>
  <c r="AC41" i="48" s="1"/>
  <c r="AE41" i="48" s="1"/>
  <c r="M47" i="48"/>
  <c r="Z47" i="48" s="1"/>
  <c r="M110" i="48"/>
  <c r="Z110" i="48" s="1"/>
  <c r="M69" i="48"/>
  <c r="M87" i="48"/>
  <c r="M92" i="48"/>
  <c r="M99" i="48"/>
  <c r="Z99" i="48" s="1"/>
  <c r="M113" i="48"/>
  <c r="M86" i="48"/>
  <c r="Z86" i="48" s="1"/>
  <c r="M117" i="48"/>
  <c r="V117" i="48" s="1"/>
  <c r="AC117" i="48" s="1"/>
  <c r="AE117" i="48" s="1"/>
  <c r="M83" i="48"/>
  <c r="V83" i="48" s="1"/>
  <c r="AC83" i="48" s="1"/>
  <c r="AE83" i="48" s="1"/>
  <c r="M84" i="48"/>
  <c r="Z84" i="48" s="1"/>
  <c r="M85" i="48"/>
  <c r="M109" i="48"/>
  <c r="V109" i="48" s="1"/>
  <c r="AC109" i="48" s="1"/>
  <c r="AE109" i="48" s="1"/>
  <c r="M112" i="48"/>
  <c r="Z112" i="48" s="1"/>
  <c r="M105" i="48"/>
  <c r="M101" i="48"/>
  <c r="M94" i="48"/>
  <c r="V94" i="48" s="1"/>
  <c r="AC94" i="48" s="1"/>
  <c r="AE94" i="48" s="1"/>
  <c r="M97" i="48"/>
  <c r="Z97" i="48" s="1"/>
  <c r="M118" i="48"/>
  <c r="M100" i="48"/>
  <c r="M123" i="48"/>
  <c r="Z123" i="48" s="1"/>
  <c r="M125" i="48"/>
  <c r="Z125" i="48" s="1"/>
  <c r="M133" i="48"/>
  <c r="V133" i="48" s="1"/>
  <c r="AC133" i="48" s="1"/>
  <c r="AE133" i="48" s="1"/>
  <c r="M130" i="48"/>
  <c r="V130" i="48" s="1"/>
  <c r="AC130" i="48" s="1"/>
  <c r="AE130" i="48" s="1"/>
  <c r="M132" i="48"/>
  <c r="V132" i="48" s="1"/>
  <c r="AC132" i="48" s="1"/>
  <c r="AE132" i="48" s="1"/>
  <c r="M139" i="48"/>
  <c r="M145" i="48"/>
  <c r="V145" i="48" s="1"/>
  <c r="AC145" i="48" s="1"/>
  <c r="AE145" i="48" s="1"/>
  <c r="M120" i="48"/>
  <c r="V120" i="48" s="1"/>
  <c r="AC120" i="48" s="1"/>
  <c r="AE120" i="48" s="1"/>
  <c r="M149" i="48"/>
  <c r="Z149" i="48" s="1"/>
  <c r="M136" i="48"/>
  <c r="M141" i="48"/>
  <c r="G10" i="47"/>
  <c r="E10" i="47"/>
  <c r="M15" i="47"/>
  <c r="N14" i="47"/>
  <c r="T40" i="17"/>
  <c r="O40" i="17" s="1"/>
  <c r="I30" i="17"/>
  <c r="I24" i="44" s="1"/>
  <c r="P58" i="44"/>
  <c r="P96" i="17" s="1"/>
  <c r="I58" i="44"/>
  <c r="I96" i="17" s="1"/>
  <c r="P57" i="44"/>
  <c r="P95" i="17" s="1"/>
  <c r="I57" i="44"/>
  <c r="I95" i="17" s="1"/>
  <c r="P56" i="44"/>
  <c r="P94" i="17" s="1"/>
  <c r="I56" i="44"/>
  <c r="I94" i="17" s="1"/>
  <c r="P55" i="44"/>
  <c r="P93" i="17" s="1"/>
  <c r="I55" i="44"/>
  <c r="I93" i="17" s="1"/>
  <c r="Q48" i="44"/>
  <c r="D48" i="44"/>
  <c r="P27" i="44"/>
  <c r="G27" i="44" s="1"/>
  <c r="E8" i="44"/>
  <c r="P58" i="43"/>
  <c r="I58" i="43"/>
  <c r="P57" i="43"/>
  <c r="I57" i="43"/>
  <c r="P56" i="43"/>
  <c r="I56" i="43"/>
  <c r="P55" i="43"/>
  <c r="I55" i="43"/>
  <c r="Q48" i="43"/>
  <c r="D48" i="43"/>
  <c r="P27" i="43"/>
  <c r="G27" i="43" s="1"/>
  <c r="E8" i="43"/>
  <c r="P58" i="42"/>
  <c r="P97" i="16" s="1"/>
  <c r="I58" i="42"/>
  <c r="I97" i="16" s="1"/>
  <c r="P57" i="42"/>
  <c r="P96" i="16" s="1"/>
  <c r="I57" i="42"/>
  <c r="I96" i="16" s="1"/>
  <c r="P56" i="42"/>
  <c r="P95" i="16" s="1"/>
  <c r="I56" i="42"/>
  <c r="I95" i="16" s="1"/>
  <c r="P55" i="42"/>
  <c r="P94" i="16" s="1"/>
  <c r="I55" i="42"/>
  <c r="I94" i="16" s="1"/>
  <c r="Q48" i="42"/>
  <c r="D48" i="42"/>
  <c r="P27" i="42"/>
  <c r="G27" i="42" s="1"/>
  <c r="E8" i="42"/>
  <c r="AD31" i="33" l="1"/>
  <c r="E8" i="5"/>
  <c r="E11" i="5" s="1"/>
  <c r="AG12" i="48"/>
  <c r="AI12" i="48" s="1"/>
  <c r="AG11" i="48"/>
  <c r="AI11" i="48" s="1"/>
  <c r="AG10" i="48"/>
  <c r="AI10" i="48" s="1"/>
  <c r="AG14" i="48"/>
  <c r="AI14" i="48" s="1"/>
  <c r="AG9" i="48"/>
  <c r="AI9" i="48" s="1"/>
  <c r="BU49" i="48"/>
  <c r="U55" i="33"/>
  <c r="AF80" i="48"/>
  <c r="AG80" i="48" s="1"/>
  <c r="AF143" i="48"/>
  <c r="AG143" i="48" s="1"/>
  <c r="AF39" i="48"/>
  <c r="AG39" i="48" s="1"/>
  <c r="AF146" i="48"/>
  <c r="AG146" i="48" s="1"/>
  <c r="AF122" i="48"/>
  <c r="AG122" i="48" s="1"/>
  <c r="AF104" i="48"/>
  <c r="AG104" i="48" s="1"/>
  <c r="AF137" i="48"/>
  <c r="AG137" i="48" s="1"/>
  <c r="AF106" i="48"/>
  <c r="AG106" i="48" s="1"/>
  <c r="AF109" i="48"/>
  <c r="AG109" i="48" s="1"/>
  <c r="AF83" i="48"/>
  <c r="AG83" i="48" s="1"/>
  <c r="AF135" i="48"/>
  <c r="AG135" i="48" s="1"/>
  <c r="AF31" i="48"/>
  <c r="AG31" i="48" s="1"/>
  <c r="AF56" i="48"/>
  <c r="AG56" i="48" s="1"/>
  <c r="AF46" i="48"/>
  <c r="AG46" i="48" s="1"/>
  <c r="AF91" i="48"/>
  <c r="AG91" i="48" s="1"/>
  <c r="AF117" i="48"/>
  <c r="AG117" i="48" s="1"/>
  <c r="AF96" i="48"/>
  <c r="AG96" i="48" s="1"/>
  <c r="AF119" i="48"/>
  <c r="AG119" i="48" s="1"/>
  <c r="AF148" i="48"/>
  <c r="AG148" i="48" s="1"/>
  <c r="AF134" i="48"/>
  <c r="AG134" i="48" s="1"/>
  <c r="AF120" i="48"/>
  <c r="AG120" i="48" s="1"/>
  <c r="AF132" i="48"/>
  <c r="AG132" i="48" s="1"/>
  <c r="AF130" i="48"/>
  <c r="AG130" i="48" s="1"/>
  <c r="AF57" i="48"/>
  <c r="AG57" i="48" s="1"/>
  <c r="AF133" i="48"/>
  <c r="AG133" i="48" s="1"/>
  <c r="AF42" i="48"/>
  <c r="AG42" i="48" s="1"/>
  <c r="AF54" i="48"/>
  <c r="AG54" i="48" s="1"/>
  <c r="AF55" i="48"/>
  <c r="AG55" i="48" s="1"/>
  <c r="AF145" i="48"/>
  <c r="AG145" i="48" s="1"/>
  <c r="AF52" i="48"/>
  <c r="AG52" i="48" s="1"/>
  <c r="AF95" i="48"/>
  <c r="AG95" i="48" s="1"/>
  <c r="AF78" i="48"/>
  <c r="AG78" i="48" s="1"/>
  <c r="AF121" i="48"/>
  <c r="AG121" i="48" s="1"/>
  <c r="AF29" i="48"/>
  <c r="AG29" i="48" s="1"/>
  <c r="AF93" i="48"/>
  <c r="AG93" i="48" s="1"/>
  <c r="AF44" i="48"/>
  <c r="AG44" i="48" s="1"/>
  <c r="AF43" i="48"/>
  <c r="AG43" i="48" s="1"/>
  <c r="AF94" i="48"/>
  <c r="AG94" i="48" s="1"/>
  <c r="AF82" i="48"/>
  <c r="AG82" i="48" s="1"/>
  <c r="AF28" i="48"/>
  <c r="AF147" i="48"/>
  <c r="AG147" i="48" s="1"/>
  <c r="AF81" i="48"/>
  <c r="AG81" i="48" s="1"/>
  <c r="AF41" i="48"/>
  <c r="AG41" i="48" s="1"/>
  <c r="AF107" i="48"/>
  <c r="AG107" i="48" s="1"/>
  <c r="AF108" i="48"/>
  <c r="AG108" i="48" s="1"/>
  <c r="AH134" i="50"/>
  <c r="S7" i="48"/>
  <c r="M151" i="48"/>
  <c r="S8" i="48"/>
  <c r="AE8" i="48" s="1"/>
  <c r="V144" i="48"/>
  <c r="AC144" i="48" s="1"/>
  <c r="AE144" i="48" s="1"/>
  <c r="Z150" i="48"/>
  <c r="AC150" i="48" s="1"/>
  <c r="AE150" i="48" s="1"/>
  <c r="V50" i="48"/>
  <c r="Z50" i="48"/>
  <c r="V126" i="48"/>
  <c r="Z126" i="48"/>
  <c r="V114" i="48"/>
  <c r="Z114" i="48"/>
  <c r="Y60" i="48"/>
  <c r="Z60" i="48"/>
  <c r="V141" i="48"/>
  <c r="Z141" i="48"/>
  <c r="V74" i="48"/>
  <c r="Z74" i="48"/>
  <c r="V113" i="48"/>
  <c r="Z113" i="48"/>
  <c r="V128" i="48"/>
  <c r="Z128" i="48"/>
  <c r="V35" i="48"/>
  <c r="Z35" i="48"/>
  <c r="V127" i="48"/>
  <c r="Z127" i="48"/>
  <c r="V101" i="48"/>
  <c r="Z101" i="48"/>
  <c r="V75" i="48"/>
  <c r="Z75" i="48"/>
  <c r="V89" i="48"/>
  <c r="Z89" i="48"/>
  <c r="V102" i="48"/>
  <c r="Z102" i="48"/>
  <c r="V87" i="48"/>
  <c r="Z87" i="48"/>
  <c r="V59" i="48"/>
  <c r="Z59" i="48"/>
  <c r="V139" i="48"/>
  <c r="Z139" i="48"/>
  <c r="V33" i="48"/>
  <c r="Z33" i="48"/>
  <c r="V36" i="48"/>
  <c r="Z36" i="48"/>
  <c r="Y71" i="48"/>
  <c r="Z71" i="48"/>
  <c r="V49" i="48"/>
  <c r="Z49" i="48"/>
  <c r="V37" i="48"/>
  <c r="Z37" i="48"/>
  <c r="V124" i="48"/>
  <c r="Z124" i="48"/>
  <c r="V85" i="48"/>
  <c r="Z85" i="48"/>
  <c r="V140" i="48"/>
  <c r="Z140" i="48"/>
  <c r="V76" i="48"/>
  <c r="Z76" i="48"/>
  <c r="V88" i="48"/>
  <c r="Z88" i="48"/>
  <c r="V98" i="48"/>
  <c r="Z98" i="48"/>
  <c r="V115" i="48"/>
  <c r="Z115" i="48"/>
  <c r="V100" i="48"/>
  <c r="Z100" i="48"/>
  <c r="V48" i="48"/>
  <c r="Z48" i="48"/>
  <c r="V111" i="48"/>
  <c r="Z111" i="48"/>
  <c r="Y64" i="48"/>
  <c r="Z64" i="48"/>
  <c r="V38" i="48"/>
  <c r="Y38" i="48"/>
  <c r="V142" i="48"/>
  <c r="Y142" i="48"/>
  <c r="V116" i="48"/>
  <c r="Y116" i="48"/>
  <c r="V118" i="48"/>
  <c r="Y118" i="48"/>
  <c r="V34" i="48"/>
  <c r="Y34" i="48"/>
  <c r="V103" i="48"/>
  <c r="Y103" i="48"/>
  <c r="V136" i="48"/>
  <c r="Y136" i="48"/>
  <c r="V97" i="48"/>
  <c r="Y97" i="48"/>
  <c r="V86" i="48"/>
  <c r="Y86" i="48"/>
  <c r="V77" i="48"/>
  <c r="Y77" i="48"/>
  <c r="V53" i="48"/>
  <c r="Y53" i="48"/>
  <c r="V99" i="48"/>
  <c r="Y99" i="48"/>
  <c r="V105" i="48"/>
  <c r="Y105" i="48"/>
  <c r="V92" i="48"/>
  <c r="Y92" i="48"/>
  <c r="V129" i="48"/>
  <c r="Y129" i="48"/>
  <c r="V149" i="48"/>
  <c r="Y149" i="48"/>
  <c r="V32" i="48"/>
  <c r="Y32" i="48"/>
  <c r="V90" i="48"/>
  <c r="Y90" i="48"/>
  <c r="V110" i="48"/>
  <c r="Y110" i="48"/>
  <c r="V51" i="48"/>
  <c r="Y51" i="48"/>
  <c r="V58" i="48"/>
  <c r="Y58" i="48"/>
  <c r="V112" i="48"/>
  <c r="Y112" i="48"/>
  <c r="V47" i="48"/>
  <c r="Y47" i="48"/>
  <c r="V79" i="48"/>
  <c r="Y79" i="48"/>
  <c r="V40" i="48"/>
  <c r="Y40" i="48"/>
  <c r="V123" i="48"/>
  <c r="Y123" i="48"/>
  <c r="V84" i="48"/>
  <c r="Y84" i="48"/>
  <c r="V125" i="48"/>
  <c r="Y125" i="48"/>
  <c r="V45" i="48"/>
  <c r="Y45" i="48"/>
  <c r="V138" i="48"/>
  <c r="Y138" i="48"/>
  <c r="V67" i="48"/>
  <c r="W67" i="48"/>
  <c r="V64" i="48"/>
  <c r="W64" i="48"/>
  <c r="V68" i="48"/>
  <c r="W68" i="48"/>
  <c r="V71" i="48"/>
  <c r="W71" i="48"/>
  <c r="V69" i="48"/>
  <c r="W69" i="48"/>
  <c r="V72" i="48"/>
  <c r="W72" i="48"/>
  <c r="V70" i="48"/>
  <c r="W70" i="48"/>
  <c r="V66" i="48"/>
  <c r="W66" i="48"/>
  <c r="V61" i="48"/>
  <c r="W61" i="48"/>
  <c r="V65" i="48"/>
  <c r="W65" i="48"/>
  <c r="V62" i="48"/>
  <c r="W62" i="48"/>
  <c r="V60" i="48"/>
  <c r="W60" i="48"/>
  <c r="V63" i="48"/>
  <c r="W63" i="48"/>
  <c r="V30" i="48"/>
  <c r="AC30" i="48" s="1"/>
  <c r="AE30" i="48" s="1"/>
  <c r="AC131" i="48"/>
  <c r="AE131" i="48" s="1"/>
  <c r="AC73" i="48"/>
  <c r="AE73" i="48" s="1"/>
  <c r="M16" i="47"/>
  <c r="N16" i="47" s="1"/>
  <c r="N15" i="47"/>
  <c r="P58" i="41"/>
  <c r="P97" i="15" s="1"/>
  <c r="I58" i="41"/>
  <c r="I97" i="15" s="1"/>
  <c r="P57" i="41"/>
  <c r="P96" i="15" s="1"/>
  <c r="I57" i="41"/>
  <c r="I96" i="15" s="1"/>
  <c r="P56" i="41"/>
  <c r="P95" i="15" s="1"/>
  <c r="I56" i="41"/>
  <c r="I95" i="15" s="1"/>
  <c r="P55" i="41"/>
  <c r="P94" i="15" s="1"/>
  <c r="I55" i="41"/>
  <c r="I94" i="15" s="1"/>
  <c r="Q48" i="41"/>
  <c r="D48" i="41"/>
  <c r="P27" i="41"/>
  <c r="G27" i="41" s="1"/>
  <c r="E8" i="41"/>
  <c r="T39" i="14"/>
  <c r="O39" i="14" s="1"/>
  <c r="P58" i="40"/>
  <c r="I58" i="40"/>
  <c r="P57" i="40"/>
  <c r="I57" i="40"/>
  <c r="P56" i="40"/>
  <c r="I56" i="40"/>
  <c r="P55" i="40"/>
  <c r="I55" i="40"/>
  <c r="Q48" i="40"/>
  <c r="D48" i="40"/>
  <c r="P27" i="40"/>
  <c r="G27" i="40" s="1"/>
  <c r="E8" i="40"/>
  <c r="P58" i="39"/>
  <c r="P101" i="13" s="1"/>
  <c r="I58" i="39"/>
  <c r="I101" i="13" s="1"/>
  <c r="P57" i="39"/>
  <c r="P100" i="13" s="1"/>
  <c r="I57" i="39"/>
  <c r="I100" i="13" s="1"/>
  <c r="P56" i="39"/>
  <c r="P99" i="13" s="1"/>
  <c r="I56" i="39"/>
  <c r="I99" i="13" s="1"/>
  <c r="P55" i="39"/>
  <c r="P98" i="13" s="1"/>
  <c r="I55" i="39"/>
  <c r="I98" i="13" s="1"/>
  <c r="Q48" i="39"/>
  <c r="D48" i="39"/>
  <c r="P27" i="39"/>
  <c r="G27" i="39" s="1"/>
  <c r="E8" i="39"/>
  <c r="AG28" i="48" l="1"/>
  <c r="AH28" i="48" s="1"/>
  <c r="E12" i="5"/>
  <c r="E10" i="5"/>
  <c r="E10" i="10" s="1"/>
  <c r="AJ9" i="48"/>
  <c r="AK9" i="48" s="1"/>
  <c r="AL9" i="48" s="1"/>
  <c r="AM9" i="48" s="1"/>
  <c r="AJ10" i="48"/>
  <c r="AK10" i="48" s="1"/>
  <c r="AL10" i="48" s="1"/>
  <c r="AM10" i="48" s="1"/>
  <c r="AJ14" i="48"/>
  <c r="AJ12" i="48"/>
  <c r="AK12" i="48" s="1"/>
  <c r="AG8" i="48"/>
  <c r="AI8" i="48" s="1"/>
  <c r="AJ11" i="48"/>
  <c r="AK11" i="48" s="1"/>
  <c r="BU50" i="48"/>
  <c r="U56" i="33"/>
  <c r="AE7" i="48"/>
  <c r="AH147" i="48"/>
  <c r="AI147" i="48" s="1"/>
  <c r="AJ147" i="48" s="1"/>
  <c r="AH134" i="48"/>
  <c r="AI134" i="48" s="1"/>
  <c r="AJ134" i="48" s="1"/>
  <c r="AH109" i="48"/>
  <c r="AI109" i="48" s="1"/>
  <c r="AJ109" i="48" s="1"/>
  <c r="AH106" i="48"/>
  <c r="AI106" i="48" s="1"/>
  <c r="AJ106" i="48" s="1"/>
  <c r="AH148" i="48"/>
  <c r="AI148" i="48" s="1"/>
  <c r="AJ148" i="48" s="1"/>
  <c r="AH55" i="48"/>
  <c r="AI55" i="48" s="1"/>
  <c r="AJ55" i="48" s="1"/>
  <c r="AH96" i="48"/>
  <c r="AI96" i="48" s="1"/>
  <c r="AJ96" i="48" s="1"/>
  <c r="AH135" i="48"/>
  <c r="AI135" i="48" s="1"/>
  <c r="AJ135" i="48" s="1"/>
  <c r="AH54" i="48"/>
  <c r="AI54" i="48" s="1"/>
  <c r="AJ54" i="48" s="1"/>
  <c r="AH117" i="48"/>
  <c r="AI117" i="48" s="1"/>
  <c r="AJ117" i="48" s="1"/>
  <c r="AH122" i="48"/>
  <c r="AI122" i="48" s="1"/>
  <c r="AJ122" i="48" s="1"/>
  <c r="AH78" i="48"/>
  <c r="AI78" i="48" s="1"/>
  <c r="AJ78" i="48" s="1"/>
  <c r="AH133" i="48"/>
  <c r="AI133" i="48" s="1"/>
  <c r="AJ133" i="48" s="1"/>
  <c r="AH93" i="48"/>
  <c r="AI93" i="48" s="1"/>
  <c r="AJ93" i="48" s="1"/>
  <c r="AH143" i="48"/>
  <c r="AI143" i="48" s="1"/>
  <c r="AJ143" i="48" s="1"/>
  <c r="AH41" i="48"/>
  <c r="AI41" i="48" s="1"/>
  <c r="AJ41" i="48" s="1"/>
  <c r="AH44" i="48"/>
  <c r="AI44" i="48" s="1"/>
  <c r="AJ44" i="48" s="1"/>
  <c r="AH146" i="48"/>
  <c r="AI146" i="48" s="1"/>
  <c r="AJ146" i="48" s="1"/>
  <c r="AH57" i="48"/>
  <c r="AI57" i="48" s="1"/>
  <c r="AJ57" i="48" s="1"/>
  <c r="AH107" i="48"/>
  <c r="AI107" i="48" s="1"/>
  <c r="AJ107" i="48" s="1"/>
  <c r="AH121" i="48"/>
  <c r="AI121" i="48" s="1"/>
  <c r="AJ121" i="48" s="1"/>
  <c r="AH31" i="48"/>
  <c r="AI31" i="48" s="1"/>
  <c r="AJ31" i="48" s="1"/>
  <c r="AH80" i="48"/>
  <c r="AI80" i="48" s="1"/>
  <c r="AJ80" i="48" s="1"/>
  <c r="AF144" i="48"/>
  <c r="AG144" i="48" s="1"/>
  <c r="AH82" i="48"/>
  <c r="AI82" i="48" s="1"/>
  <c r="AJ82" i="48" s="1"/>
  <c r="AH95" i="48"/>
  <c r="AI95" i="48" s="1"/>
  <c r="AJ95" i="48" s="1"/>
  <c r="AH94" i="48"/>
  <c r="AI94" i="48" s="1"/>
  <c r="AJ94" i="48" s="1"/>
  <c r="AH52" i="48"/>
  <c r="AI52" i="48" s="1"/>
  <c r="AJ52" i="48" s="1"/>
  <c r="AH132" i="48"/>
  <c r="AI132" i="48" s="1"/>
  <c r="AJ132" i="48" s="1"/>
  <c r="AH46" i="48"/>
  <c r="AI46" i="48" s="1"/>
  <c r="AJ46" i="48" s="1"/>
  <c r="AH130" i="48"/>
  <c r="AI130" i="48" s="1"/>
  <c r="AJ130" i="48" s="1"/>
  <c r="AH137" i="48"/>
  <c r="AI137" i="48" s="1"/>
  <c r="AJ137" i="48" s="1"/>
  <c r="AH108" i="48"/>
  <c r="AI108" i="48" s="1"/>
  <c r="AJ108" i="48" s="1"/>
  <c r="AH43" i="48"/>
  <c r="AI43" i="48" s="1"/>
  <c r="AJ43" i="48" s="1"/>
  <c r="AH145" i="48"/>
  <c r="AI145" i="48" s="1"/>
  <c r="AJ145" i="48" s="1"/>
  <c r="AH120" i="48"/>
  <c r="AI120" i="48" s="1"/>
  <c r="AJ120" i="48" s="1"/>
  <c r="AH56" i="48"/>
  <c r="AI56" i="48" s="1"/>
  <c r="AJ56" i="48" s="1"/>
  <c r="AH104" i="48"/>
  <c r="AI104" i="48" s="1"/>
  <c r="AJ104" i="48" s="1"/>
  <c r="AH91" i="48"/>
  <c r="AI91" i="48" s="1"/>
  <c r="AJ91" i="48" s="1"/>
  <c r="AF131" i="48"/>
  <c r="AG131" i="48" s="1"/>
  <c r="AH81" i="48"/>
  <c r="AI81" i="48" s="1"/>
  <c r="AJ81" i="48" s="1"/>
  <c r="AH29" i="48"/>
  <c r="AI29" i="48" s="1"/>
  <c r="AJ29" i="48" s="1"/>
  <c r="AH42" i="48"/>
  <c r="AI42" i="48" s="1"/>
  <c r="AJ42" i="48" s="1"/>
  <c r="AH119" i="48"/>
  <c r="AI119" i="48" s="1"/>
  <c r="AJ119" i="48" s="1"/>
  <c r="AH83" i="48"/>
  <c r="AI83" i="48" s="1"/>
  <c r="AJ83" i="48" s="1"/>
  <c r="AH39" i="48"/>
  <c r="AI39" i="48" s="1"/>
  <c r="AJ39" i="48" s="1"/>
  <c r="AF30" i="48"/>
  <c r="AG30" i="48" s="1"/>
  <c r="AF73" i="48"/>
  <c r="AG73" i="48" s="1"/>
  <c r="AF150" i="48"/>
  <c r="AG150" i="48" s="1"/>
  <c r="S151" i="48"/>
  <c r="AC34" i="48"/>
  <c r="AC63" i="48"/>
  <c r="AE63" i="48" s="1"/>
  <c r="AC50" i="48"/>
  <c r="AC48" i="48"/>
  <c r="AE48" i="48" s="1"/>
  <c r="AC51" i="48"/>
  <c r="AE51" i="48" s="1"/>
  <c r="AC105" i="48"/>
  <c r="AC112" i="48"/>
  <c r="AE112" i="48" s="1"/>
  <c r="AC97" i="48"/>
  <c r="AC123" i="48"/>
  <c r="AE123" i="48" s="1"/>
  <c r="AC110" i="48"/>
  <c r="AC118" i="48"/>
  <c r="AC87" i="48"/>
  <c r="AC74" i="48"/>
  <c r="AE74" i="48" s="1"/>
  <c r="AC38" i="48"/>
  <c r="AE38" i="48" s="1"/>
  <c r="AC76" i="48"/>
  <c r="AC75" i="48"/>
  <c r="AE75" i="48" s="1"/>
  <c r="AC60" i="48"/>
  <c r="AE60" i="48" s="1"/>
  <c r="AC139" i="48"/>
  <c r="AE139" i="48" s="1"/>
  <c r="AC114" i="48"/>
  <c r="AE114" i="48" s="1"/>
  <c r="AC140" i="48"/>
  <c r="AE140" i="48" s="1"/>
  <c r="AC101" i="48"/>
  <c r="AE101" i="48" s="1"/>
  <c r="Z151" i="48"/>
  <c r="Y151" i="48"/>
  <c r="V151" i="48"/>
  <c r="W151" i="48"/>
  <c r="AC64" i="48"/>
  <c r="AE64" i="48" s="1"/>
  <c r="AC77" i="48"/>
  <c r="AE77" i="48" s="1"/>
  <c r="AC98" i="48"/>
  <c r="AE98" i="48" s="1"/>
  <c r="AC84" i="48"/>
  <c r="AE84" i="48" s="1"/>
  <c r="AC124" i="48"/>
  <c r="AE124" i="48" s="1"/>
  <c r="AC59" i="48"/>
  <c r="AE59" i="48" s="1"/>
  <c r="AC35" i="48"/>
  <c r="AE35" i="48" s="1"/>
  <c r="AC126" i="48"/>
  <c r="AE126" i="48" s="1"/>
  <c r="AC138" i="48"/>
  <c r="AE138" i="48" s="1"/>
  <c r="AC61" i="48"/>
  <c r="AE61" i="48" s="1"/>
  <c r="AC47" i="48"/>
  <c r="AE47" i="48" s="1"/>
  <c r="AC86" i="48"/>
  <c r="AE86" i="48" s="1"/>
  <c r="AC88" i="48"/>
  <c r="AE88" i="48" s="1"/>
  <c r="AC89" i="48"/>
  <c r="AE89" i="48" s="1"/>
  <c r="AC141" i="48"/>
  <c r="AE141" i="48" s="1"/>
  <c r="AC111" i="48"/>
  <c r="AE111" i="48" s="1"/>
  <c r="AC100" i="48"/>
  <c r="AE100" i="48" s="1"/>
  <c r="AC49" i="48"/>
  <c r="AE49" i="48" s="1"/>
  <c r="AC71" i="48"/>
  <c r="AE71" i="48" s="1"/>
  <c r="AC33" i="48"/>
  <c r="AE33" i="48" s="1"/>
  <c r="AC85" i="48"/>
  <c r="AE85" i="48" s="1"/>
  <c r="AC127" i="48"/>
  <c r="AE127" i="48" s="1"/>
  <c r="AC62" i="48"/>
  <c r="AE62" i="48" s="1"/>
  <c r="AC40" i="48"/>
  <c r="AE40" i="48" s="1"/>
  <c r="AC90" i="48"/>
  <c r="AE90" i="48" s="1"/>
  <c r="AC125" i="48"/>
  <c r="AE125" i="48" s="1"/>
  <c r="AC102" i="48"/>
  <c r="AE102" i="48" s="1"/>
  <c r="AC149" i="48"/>
  <c r="AE149" i="48" s="1"/>
  <c r="AC116" i="48"/>
  <c r="AE116" i="48" s="1"/>
  <c r="AC115" i="48"/>
  <c r="AE115" i="48" s="1"/>
  <c r="AC37" i="48"/>
  <c r="AE37" i="48" s="1"/>
  <c r="AC113" i="48"/>
  <c r="AE113" i="48" s="1"/>
  <c r="AC36" i="48"/>
  <c r="AE36" i="48" s="1"/>
  <c r="AC92" i="48"/>
  <c r="AE92" i="48" s="1"/>
  <c r="AC136" i="48"/>
  <c r="AE136" i="48" s="1"/>
  <c r="AC128" i="48"/>
  <c r="AE128" i="48" s="1"/>
  <c r="AC58" i="48"/>
  <c r="AE58" i="48" s="1"/>
  <c r="AC79" i="48"/>
  <c r="AE79" i="48" s="1"/>
  <c r="AC32" i="48"/>
  <c r="AE32" i="48" s="1"/>
  <c r="AC129" i="48"/>
  <c r="AE129" i="48" s="1"/>
  <c r="AC45" i="48"/>
  <c r="AE45" i="48" s="1"/>
  <c r="AC103" i="48"/>
  <c r="AE103" i="48" s="1"/>
  <c r="AC99" i="48"/>
  <c r="AE99" i="48" s="1"/>
  <c r="AC53" i="48"/>
  <c r="AE53" i="48" s="1"/>
  <c r="AC142" i="48"/>
  <c r="AE142" i="48" s="1"/>
  <c r="AC70" i="48"/>
  <c r="AC68" i="48"/>
  <c r="AE68" i="48" s="1"/>
  <c r="AC72" i="48"/>
  <c r="AE72" i="48" s="1"/>
  <c r="AC69" i="48"/>
  <c r="AE69" i="48" s="1"/>
  <c r="AC66" i="48"/>
  <c r="AE66" i="48" s="1"/>
  <c r="AC65" i="48"/>
  <c r="AE65" i="48" s="1"/>
  <c r="AC67" i="48"/>
  <c r="AE67" i="48" s="1"/>
  <c r="M12" i="12"/>
  <c r="P58" i="38"/>
  <c r="P100" i="12" s="1"/>
  <c r="I58" i="38"/>
  <c r="I100" i="12" s="1"/>
  <c r="P57" i="38"/>
  <c r="P99" i="12" s="1"/>
  <c r="I57" i="38"/>
  <c r="I99" i="12" s="1"/>
  <c r="P56" i="38"/>
  <c r="P98" i="12" s="1"/>
  <c r="I56" i="38"/>
  <c r="I98" i="12" s="1"/>
  <c r="P55" i="38"/>
  <c r="P97" i="12" s="1"/>
  <c r="I55" i="38"/>
  <c r="I97" i="12" s="1"/>
  <c r="Q48" i="38"/>
  <c r="D48" i="38"/>
  <c r="P27" i="38"/>
  <c r="G27" i="38" s="1"/>
  <c r="E8" i="38"/>
  <c r="T41" i="27"/>
  <c r="O41" i="27" s="1"/>
  <c r="AI28" i="48" l="1"/>
  <c r="AJ28" i="48" s="1"/>
  <c r="AE70" i="48"/>
  <c r="AF70" i="48" s="1"/>
  <c r="AG70" i="48" s="1"/>
  <c r="AJ157" i="48"/>
  <c r="AN9" i="48"/>
  <c r="AO9" i="48" s="1"/>
  <c r="AP9" i="48" s="1"/>
  <c r="AN10" i="48"/>
  <c r="AO10" i="48" s="1"/>
  <c r="AP10" i="48" s="1"/>
  <c r="AL11" i="48"/>
  <c r="AM11" i="48" s="1"/>
  <c r="AL12" i="48"/>
  <c r="AM12" i="48" s="1"/>
  <c r="AJ8" i="48"/>
  <c r="AK8" i="48" s="1"/>
  <c r="AL8" i="48" s="1"/>
  <c r="AM8" i="48" s="1"/>
  <c r="AK14" i="48"/>
  <c r="BU51" i="48"/>
  <c r="U57" i="33"/>
  <c r="AK107" i="48"/>
  <c r="AK146" i="48"/>
  <c r="AG7" i="48"/>
  <c r="AI7" i="48" s="1"/>
  <c r="AJ7" i="48" s="1"/>
  <c r="AK130" i="48"/>
  <c r="AL130" i="48" s="1"/>
  <c r="AM130" i="48" s="1"/>
  <c r="AK82" i="48"/>
  <c r="AH144" i="48"/>
  <c r="AI144" i="48" s="1"/>
  <c r="AJ144" i="48" s="1"/>
  <c r="AK95" i="48"/>
  <c r="AK81" i="48"/>
  <c r="AH131" i="48"/>
  <c r="AI131" i="48" s="1"/>
  <c r="AJ131" i="48" s="1"/>
  <c r="AK43" i="48"/>
  <c r="AK29" i="48"/>
  <c r="AK54" i="48"/>
  <c r="AK109" i="48"/>
  <c r="AK117" i="48"/>
  <c r="AK108" i="48"/>
  <c r="AH73" i="48"/>
  <c r="AI73" i="48" s="1"/>
  <c r="AJ73" i="48" s="1"/>
  <c r="AH30" i="48"/>
  <c r="AI30" i="48" s="1"/>
  <c r="AJ30" i="48" s="1"/>
  <c r="AK44" i="48"/>
  <c r="AF129" i="48"/>
  <c r="AG129" i="48" s="1"/>
  <c r="AF125" i="48"/>
  <c r="AG125" i="48" s="1"/>
  <c r="AF47" i="48"/>
  <c r="AG47" i="48" s="1"/>
  <c r="AF123" i="48"/>
  <c r="AG123" i="48" s="1"/>
  <c r="AK83" i="48"/>
  <c r="AK56" i="48"/>
  <c r="AK132" i="48"/>
  <c r="AK121" i="48"/>
  <c r="AK133" i="48"/>
  <c r="AK55" i="48"/>
  <c r="AK96" i="48"/>
  <c r="AF86" i="48"/>
  <c r="AG86" i="48" s="1"/>
  <c r="AF79" i="48"/>
  <c r="AG79" i="48" s="1"/>
  <c r="AF101" i="48"/>
  <c r="AG101" i="48" s="1"/>
  <c r="AF58" i="48"/>
  <c r="AG58" i="48" s="1"/>
  <c r="AF61" i="48"/>
  <c r="AG61" i="48" s="1"/>
  <c r="AF140" i="48"/>
  <c r="AG140" i="48" s="1"/>
  <c r="AK46" i="48"/>
  <c r="AF90" i="48"/>
  <c r="AG90" i="48" s="1"/>
  <c r="AF138" i="48"/>
  <c r="AG138" i="48" s="1"/>
  <c r="AF112" i="48"/>
  <c r="AG112" i="48" s="1"/>
  <c r="AK119" i="48"/>
  <c r="AK120" i="48"/>
  <c r="AK52" i="48"/>
  <c r="AK78" i="48"/>
  <c r="AK148" i="48"/>
  <c r="AF40" i="48"/>
  <c r="AG40" i="48" s="1"/>
  <c r="AF126" i="48"/>
  <c r="AG126" i="48" s="1"/>
  <c r="AF114" i="48"/>
  <c r="AG114" i="48" s="1"/>
  <c r="AK39" i="48"/>
  <c r="AF102" i="48"/>
  <c r="AG102" i="48" s="1"/>
  <c r="AF35" i="48"/>
  <c r="AG35" i="48" s="1"/>
  <c r="AF139" i="48"/>
  <c r="AG139" i="48" s="1"/>
  <c r="AK42" i="48"/>
  <c r="AK145" i="48"/>
  <c r="AK94" i="48"/>
  <c r="AK57" i="48"/>
  <c r="AK122" i="48"/>
  <c r="AK106" i="48"/>
  <c r="AF128" i="48"/>
  <c r="AG128" i="48" s="1"/>
  <c r="AF62" i="48"/>
  <c r="AG62" i="48" s="1"/>
  <c r="AF69" i="48"/>
  <c r="AG69" i="48" s="1"/>
  <c r="AF136" i="48"/>
  <c r="AG136" i="48" s="1"/>
  <c r="AF127" i="48"/>
  <c r="AG127" i="48" s="1"/>
  <c r="AF59" i="48"/>
  <c r="AG59" i="48" s="1"/>
  <c r="AF51" i="48"/>
  <c r="AG51" i="48" s="1"/>
  <c r="AF65" i="48"/>
  <c r="AG65" i="48" s="1"/>
  <c r="AF72" i="48"/>
  <c r="AG72" i="48" s="1"/>
  <c r="AF92" i="48"/>
  <c r="AG92" i="48" s="1"/>
  <c r="AF85" i="48"/>
  <c r="AG85" i="48" s="1"/>
  <c r="AF124" i="48"/>
  <c r="AG124" i="48" s="1"/>
  <c r="AF48" i="48"/>
  <c r="AG48" i="48" s="1"/>
  <c r="AF68" i="48"/>
  <c r="AG68" i="48" s="1"/>
  <c r="AF36" i="48"/>
  <c r="AG36" i="48" s="1"/>
  <c r="AF33" i="48"/>
  <c r="AG33" i="48" s="1"/>
  <c r="AF84" i="48"/>
  <c r="AG84" i="48" s="1"/>
  <c r="AF88" i="48"/>
  <c r="AG88" i="48" s="1"/>
  <c r="AF67" i="48"/>
  <c r="AG67" i="48" s="1"/>
  <c r="AF66" i="48"/>
  <c r="AG66" i="48" s="1"/>
  <c r="AF113" i="48"/>
  <c r="AG113" i="48" s="1"/>
  <c r="AF71" i="48"/>
  <c r="AG71" i="48" s="1"/>
  <c r="AF98" i="48"/>
  <c r="AG98" i="48" s="1"/>
  <c r="AF60" i="48"/>
  <c r="AG60" i="48" s="1"/>
  <c r="AK93" i="48"/>
  <c r="AF49" i="48"/>
  <c r="AG49" i="48" s="1"/>
  <c r="AF75" i="48"/>
  <c r="AG75" i="48" s="1"/>
  <c r="AF63" i="48"/>
  <c r="AG63" i="48" s="1"/>
  <c r="AH150" i="48"/>
  <c r="AI150" i="48" s="1"/>
  <c r="AJ150" i="48" s="1"/>
  <c r="AK104" i="48"/>
  <c r="AF32" i="48"/>
  <c r="AG32" i="48" s="1"/>
  <c r="AF100" i="48"/>
  <c r="AG100" i="48" s="1"/>
  <c r="AF77" i="48"/>
  <c r="AG77" i="48" s="1"/>
  <c r="AK137" i="48"/>
  <c r="AK41" i="48"/>
  <c r="AK135" i="48"/>
  <c r="AK134" i="48"/>
  <c r="AK31" i="48"/>
  <c r="AF142" i="48"/>
  <c r="AG142" i="48" s="1"/>
  <c r="AF99" i="48"/>
  <c r="AG99" i="48" s="1"/>
  <c r="AF116" i="48"/>
  <c r="AG116" i="48" s="1"/>
  <c r="AF111" i="48"/>
  <c r="AG111" i="48" s="1"/>
  <c r="AF64" i="48"/>
  <c r="AG64" i="48" s="1"/>
  <c r="AF38" i="48"/>
  <c r="AG38" i="48" s="1"/>
  <c r="AF103" i="48"/>
  <c r="AG103" i="48" s="1"/>
  <c r="AF141" i="48"/>
  <c r="AG141" i="48" s="1"/>
  <c r="AF74" i="48"/>
  <c r="AG74" i="48" s="1"/>
  <c r="AK91" i="48"/>
  <c r="AK80" i="48"/>
  <c r="AK143" i="48"/>
  <c r="AK147" i="48"/>
  <c r="AF37" i="48"/>
  <c r="AG37" i="48" s="1"/>
  <c r="AF53" i="48"/>
  <c r="AG53" i="48" s="1"/>
  <c r="AF115" i="48"/>
  <c r="AG115" i="48" s="1"/>
  <c r="AF45" i="48"/>
  <c r="AG45" i="48" s="1"/>
  <c r="AF149" i="48"/>
  <c r="AG149" i="48" s="1"/>
  <c r="AF89" i="48"/>
  <c r="AG89" i="48" s="1"/>
  <c r="AE110" i="48"/>
  <c r="AE50" i="48"/>
  <c r="AE97" i="48"/>
  <c r="AE105" i="48"/>
  <c r="AE76" i="48"/>
  <c r="AE34" i="48"/>
  <c r="AE87" i="48"/>
  <c r="AE118" i="48"/>
  <c r="AC151" i="48"/>
  <c r="AK28" i="48" l="1"/>
  <c r="AL28" i="48" s="1"/>
  <c r="AM28" i="48" s="1"/>
  <c r="AJ158" i="48"/>
  <c r="AJ159" i="48" s="1"/>
  <c r="AE152" i="48"/>
  <c r="AE153" i="48" s="1"/>
  <c r="AQ10" i="48"/>
  <c r="AQ9" i="48"/>
  <c r="AN8" i="48"/>
  <c r="AN12" i="48"/>
  <c r="AO12" i="48" s="1"/>
  <c r="AP12" i="48" s="1"/>
  <c r="AN11" i="48"/>
  <c r="AO11" i="48" s="1"/>
  <c r="AP11" i="48" s="1"/>
  <c r="AN130" i="48"/>
  <c r="AO130" i="48" s="1"/>
  <c r="AP130" i="48" s="1"/>
  <c r="AL43" i="48"/>
  <c r="AM43" i="48" s="1"/>
  <c r="AL95" i="48"/>
  <c r="AM95" i="48" s="1"/>
  <c r="AL42" i="48"/>
  <c r="AM42" i="48" s="1"/>
  <c r="AL46" i="48"/>
  <c r="AM46" i="48" s="1"/>
  <c r="AL94" i="48"/>
  <c r="AM94" i="48" s="1"/>
  <c r="AL93" i="48"/>
  <c r="AM93" i="48" s="1"/>
  <c r="AL82" i="48"/>
  <c r="AM82" i="48" s="1"/>
  <c r="AL145" i="48"/>
  <c r="AM145" i="48" s="1"/>
  <c r="AL44" i="48"/>
  <c r="AM44" i="48" s="1"/>
  <c r="AL81" i="48"/>
  <c r="AM81" i="48" s="1"/>
  <c r="AL31" i="48"/>
  <c r="AM31" i="48" s="1"/>
  <c r="AL39" i="48"/>
  <c r="AM39" i="48" s="1"/>
  <c r="AL146" i="48"/>
  <c r="AM146" i="48" s="1"/>
  <c r="AL132" i="48"/>
  <c r="AM132" i="48" s="1"/>
  <c r="AL107" i="48"/>
  <c r="AM107" i="48" s="1"/>
  <c r="AL108" i="48"/>
  <c r="AM108" i="48" s="1"/>
  <c r="AL119" i="48"/>
  <c r="AM119" i="48" s="1"/>
  <c r="AL134" i="48"/>
  <c r="AM134" i="48" s="1"/>
  <c r="AL41" i="48"/>
  <c r="AM41" i="48" s="1"/>
  <c r="AL117" i="48"/>
  <c r="AM117" i="48" s="1"/>
  <c r="AL135" i="48"/>
  <c r="AM135" i="48" s="1"/>
  <c r="AL147" i="48"/>
  <c r="AM147" i="48" s="1"/>
  <c r="AL143" i="48"/>
  <c r="AM143" i="48" s="1"/>
  <c r="AL137" i="48"/>
  <c r="AM137" i="48" s="1"/>
  <c r="AL148" i="48"/>
  <c r="AM148" i="48" s="1"/>
  <c r="AL96" i="48"/>
  <c r="AM96" i="48" s="1"/>
  <c r="AL109" i="48"/>
  <c r="AM109" i="48" s="1"/>
  <c r="AL122" i="48"/>
  <c r="AM122" i="48" s="1"/>
  <c r="AL83" i="48"/>
  <c r="AM83" i="48" s="1"/>
  <c r="AL78" i="48"/>
  <c r="AM78" i="48" s="1"/>
  <c r="AL55" i="48"/>
  <c r="AM55" i="48" s="1"/>
  <c r="AL54" i="48"/>
  <c r="AM54" i="48" s="1"/>
  <c r="AL104" i="48"/>
  <c r="AM104" i="48" s="1"/>
  <c r="AL80" i="48"/>
  <c r="AM80" i="48" s="1"/>
  <c r="AL91" i="48"/>
  <c r="AM91" i="48" s="1"/>
  <c r="AL52" i="48"/>
  <c r="AM52" i="48" s="1"/>
  <c r="AL133" i="48"/>
  <c r="AM133" i="48" s="1"/>
  <c r="AL106" i="48"/>
  <c r="AM106" i="48" s="1"/>
  <c r="AL120" i="48"/>
  <c r="AM120" i="48" s="1"/>
  <c r="AL121" i="48"/>
  <c r="AM121" i="48" s="1"/>
  <c r="AL29" i="48"/>
  <c r="AM29" i="48" s="1"/>
  <c r="AL14" i="48"/>
  <c r="AM14" i="48" s="1"/>
  <c r="AL57" i="48"/>
  <c r="AM57" i="48" s="1"/>
  <c r="AL56" i="48"/>
  <c r="AM56" i="48" s="1"/>
  <c r="BU52" i="48"/>
  <c r="U58" i="33"/>
  <c r="AK7" i="48"/>
  <c r="AH85" i="48"/>
  <c r="AI85" i="48" s="1"/>
  <c r="AJ85" i="48" s="1"/>
  <c r="AH53" i="48"/>
  <c r="AI53" i="48" s="1"/>
  <c r="AJ53" i="48" s="1"/>
  <c r="AH125" i="48"/>
  <c r="AI125" i="48" s="1"/>
  <c r="AJ125" i="48" s="1"/>
  <c r="AH58" i="48"/>
  <c r="AI58" i="48" s="1"/>
  <c r="AJ58" i="48" s="1"/>
  <c r="AH40" i="48"/>
  <c r="AI40" i="48" s="1"/>
  <c r="AJ40" i="48" s="1"/>
  <c r="AH116" i="48"/>
  <c r="AI116" i="48" s="1"/>
  <c r="AJ116" i="48" s="1"/>
  <c r="AK150" i="48"/>
  <c r="AH66" i="48"/>
  <c r="AI66" i="48" s="1"/>
  <c r="AJ66" i="48" s="1"/>
  <c r="AH72" i="48"/>
  <c r="AI72" i="48" s="1"/>
  <c r="AJ72" i="48" s="1"/>
  <c r="AH101" i="48"/>
  <c r="AI101" i="48" s="1"/>
  <c r="AJ101" i="48" s="1"/>
  <c r="AH99" i="48"/>
  <c r="AI99" i="48" s="1"/>
  <c r="AJ99" i="48" s="1"/>
  <c r="AH79" i="48"/>
  <c r="AI79" i="48" s="1"/>
  <c r="AJ79" i="48" s="1"/>
  <c r="AH142" i="48"/>
  <c r="AI142" i="48" s="1"/>
  <c r="AJ142" i="48" s="1"/>
  <c r="AH88" i="48"/>
  <c r="AI88" i="48" s="1"/>
  <c r="AJ88" i="48" s="1"/>
  <c r="AH86" i="48"/>
  <c r="AI86" i="48" s="1"/>
  <c r="AJ86" i="48" s="1"/>
  <c r="AH32" i="48"/>
  <c r="AI32" i="48" s="1"/>
  <c r="AJ32" i="48" s="1"/>
  <c r="AH111" i="48"/>
  <c r="AI111" i="48" s="1"/>
  <c r="AJ111" i="48" s="1"/>
  <c r="AH67" i="48"/>
  <c r="AI67" i="48" s="1"/>
  <c r="AJ67" i="48" s="1"/>
  <c r="AH84" i="48"/>
  <c r="AI84" i="48" s="1"/>
  <c r="AJ84" i="48" s="1"/>
  <c r="AS29" i="33"/>
  <c r="AH49" i="48"/>
  <c r="AI49" i="48" s="1"/>
  <c r="AJ49" i="48" s="1"/>
  <c r="AH112" i="48"/>
  <c r="AI112" i="48" s="1"/>
  <c r="AJ112" i="48" s="1"/>
  <c r="AK73" i="48"/>
  <c r="AH63" i="48"/>
  <c r="AI63" i="48" s="1"/>
  <c r="AJ63" i="48" s="1"/>
  <c r="AH36" i="48"/>
  <c r="AI36" i="48" s="1"/>
  <c r="AJ36" i="48" s="1"/>
  <c r="AH59" i="48"/>
  <c r="AI59" i="48" s="1"/>
  <c r="AJ59" i="48" s="1"/>
  <c r="AH139" i="48"/>
  <c r="AI139" i="48" s="1"/>
  <c r="AJ139" i="48" s="1"/>
  <c r="AH138" i="48"/>
  <c r="AI138" i="48" s="1"/>
  <c r="AJ138" i="48" s="1"/>
  <c r="AH74" i="48"/>
  <c r="AI74" i="48" s="1"/>
  <c r="AJ74" i="48" s="1"/>
  <c r="AH127" i="48"/>
  <c r="AI127" i="48" s="1"/>
  <c r="AJ127" i="48" s="1"/>
  <c r="AH90" i="48"/>
  <c r="AI90" i="48" s="1"/>
  <c r="AJ90" i="48" s="1"/>
  <c r="AH60" i="48"/>
  <c r="AI60" i="48" s="1"/>
  <c r="AJ60" i="48" s="1"/>
  <c r="AH136" i="48"/>
  <c r="AI136" i="48" s="1"/>
  <c r="AJ136" i="48" s="1"/>
  <c r="AH115" i="48"/>
  <c r="AI115" i="48" s="1"/>
  <c r="AJ115" i="48" s="1"/>
  <c r="AH141" i="48"/>
  <c r="AI141" i="48" s="1"/>
  <c r="AJ141" i="48" s="1"/>
  <c r="AH102" i="48"/>
  <c r="AI102" i="48" s="1"/>
  <c r="AJ102" i="48" s="1"/>
  <c r="AH62" i="48"/>
  <c r="AI62" i="48" s="1"/>
  <c r="AJ62" i="48" s="1"/>
  <c r="AH77" i="48"/>
  <c r="AI77" i="48" s="1"/>
  <c r="AJ77" i="48" s="1"/>
  <c r="AH48" i="48"/>
  <c r="AI48" i="48" s="1"/>
  <c r="AJ48" i="48" s="1"/>
  <c r="AH114" i="48"/>
  <c r="AI114" i="48" s="1"/>
  <c r="AJ114" i="48" s="1"/>
  <c r="AH140" i="48"/>
  <c r="AI140" i="48" s="1"/>
  <c r="AJ140" i="48" s="1"/>
  <c r="AH123" i="48"/>
  <c r="AI123" i="48" s="1"/>
  <c r="AJ123" i="48" s="1"/>
  <c r="AK144" i="48"/>
  <c r="AH37" i="48"/>
  <c r="AI37" i="48" s="1"/>
  <c r="AJ37" i="48" s="1"/>
  <c r="AH98" i="48"/>
  <c r="AI98" i="48" s="1"/>
  <c r="AJ98" i="48" s="1"/>
  <c r="AH69" i="48"/>
  <c r="AI69" i="48" s="1"/>
  <c r="AJ69" i="48" s="1"/>
  <c r="AH149" i="48"/>
  <c r="AI149" i="48" s="1"/>
  <c r="AJ149" i="48" s="1"/>
  <c r="AH45" i="48"/>
  <c r="AI45" i="48" s="1"/>
  <c r="AJ45" i="48" s="1"/>
  <c r="AH38" i="48"/>
  <c r="AI38" i="48" s="1"/>
  <c r="AJ38" i="48" s="1"/>
  <c r="AH100" i="48"/>
  <c r="AI100" i="48" s="1"/>
  <c r="AJ100" i="48" s="1"/>
  <c r="AH113" i="48"/>
  <c r="AI113" i="48" s="1"/>
  <c r="AJ113" i="48" s="1"/>
  <c r="AH124" i="48"/>
  <c r="AI124" i="48" s="1"/>
  <c r="AJ124" i="48" s="1"/>
  <c r="AH126" i="48"/>
  <c r="AI126" i="48" s="1"/>
  <c r="AJ126" i="48" s="1"/>
  <c r="AK30" i="48"/>
  <c r="AK131" i="48"/>
  <c r="AH51" i="48"/>
  <c r="AI51" i="48" s="1"/>
  <c r="AJ51" i="48" s="1"/>
  <c r="AF118" i="48"/>
  <c r="AG118" i="48" s="1"/>
  <c r="AF87" i="48"/>
  <c r="AG87" i="48" s="1"/>
  <c r="AF34" i="48"/>
  <c r="AG34" i="48" s="1"/>
  <c r="AH103" i="48"/>
  <c r="AI103" i="48" s="1"/>
  <c r="AJ103" i="48" s="1"/>
  <c r="AH71" i="48"/>
  <c r="AI71" i="48" s="1"/>
  <c r="AJ71" i="48" s="1"/>
  <c r="AH33" i="48"/>
  <c r="AI33" i="48" s="1"/>
  <c r="AJ33" i="48" s="1"/>
  <c r="AH92" i="48"/>
  <c r="AI92" i="48" s="1"/>
  <c r="AJ92" i="48" s="1"/>
  <c r="AH47" i="48"/>
  <c r="AI47" i="48" s="1"/>
  <c r="AJ47" i="48" s="1"/>
  <c r="AF76" i="48"/>
  <c r="AG76" i="48" s="1"/>
  <c r="AF105" i="48"/>
  <c r="AG105" i="48" s="1"/>
  <c r="AF97" i="48"/>
  <c r="AG97" i="48" s="1"/>
  <c r="AH128" i="48"/>
  <c r="AI128" i="48" s="1"/>
  <c r="AJ128" i="48" s="1"/>
  <c r="AH35" i="48"/>
  <c r="AI35" i="48" s="1"/>
  <c r="AJ35" i="48" s="1"/>
  <c r="AF50" i="48"/>
  <c r="AG50" i="48" s="1"/>
  <c r="AH89" i="48"/>
  <c r="AI89" i="48" s="1"/>
  <c r="AJ89" i="48" s="1"/>
  <c r="AH64" i="48"/>
  <c r="AI64" i="48" s="1"/>
  <c r="AJ64" i="48" s="1"/>
  <c r="AH75" i="48"/>
  <c r="AI75" i="48" s="1"/>
  <c r="AJ75" i="48" s="1"/>
  <c r="AH70" i="48"/>
  <c r="AI70" i="48" s="1"/>
  <c r="AJ70" i="48" s="1"/>
  <c r="AH68" i="48"/>
  <c r="AI68" i="48" s="1"/>
  <c r="AJ68" i="48" s="1"/>
  <c r="AH65" i="48"/>
  <c r="AI65" i="48" s="1"/>
  <c r="AJ65" i="48" s="1"/>
  <c r="AH61" i="48"/>
  <c r="AI61" i="48" s="1"/>
  <c r="AJ61" i="48" s="1"/>
  <c r="AH129" i="48"/>
  <c r="AI129" i="48" s="1"/>
  <c r="AJ129" i="48" s="1"/>
  <c r="AF110" i="48"/>
  <c r="AG110" i="48" s="1"/>
  <c r="AE151" i="48"/>
  <c r="AS28" i="33" l="1"/>
  <c r="AF151" i="48"/>
  <c r="AG151" i="48" s="1"/>
  <c r="AR9" i="48"/>
  <c r="AS9" i="48" s="1"/>
  <c r="AR10" i="48"/>
  <c r="AS10" i="48" s="1"/>
  <c r="AQ130" i="48"/>
  <c r="AQ11" i="48"/>
  <c r="AQ12" i="48"/>
  <c r="AO8" i="48"/>
  <c r="AP8" i="48" s="1"/>
  <c r="AN14" i="48"/>
  <c r="AO14" i="48" s="1"/>
  <c r="AP14" i="48" s="1"/>
  <c r="AN52" i="48"/>
  <c r="AO52" i="48" s="1"/>
  <c r="AP52" i="48" s="1"/>
  <c r="AN122" i="48"/>
  <c r="AO122" i="48" s="1"/>
  <c r="AP122" i="48" s="1"/>
  <c r="AN135" i="48"/>
  <c r="AO135" i="48" s="1"/>
  <c r="AP135" i="48" s="1"/>
  <c r="AN146" i="48"/>
  <c r="AO146" i="48" s="1"/>
  <c r="AP146" i="48" s="1"/>
  <c r="AN82" i="48"/>
  <c r="AO82" i="48" s="1"/>
  <c r="AP82" i="48" s="1"/>
  <c r="AN29" i="48"/>
  <c r="AO29" i="48" s="1"/>
  <c r="AP29" i="48" s="1"/>
  <c r="AN91" i="48"/>
  <c r="AO91" i="48" s="1"/>
  <c r="AP91" i="48" s="1"/>
  <c r="AN109" i="48"/>
  <c r="AO109" i="48" s="1"/>
  <c r="AP109" i="48" s="1"/>
  <c r="AN117" i="48"/>
  <c r="AO117" i="48" s="1"/>
  <c r="AP117" i="48" s="1"/>
  <c r="AN39" i="48"/>
  <c r="AO39" i="48" s="1"/>
  <c r="AP39" i="48" s="1"/>
  <c r="AN93" i="48"/>
  <c r="AO93" i="48" s="1"/>
  <c r="AP93" i="48" s="1"/>
  <c r="AN121" i="48"/>
  <c r="AO121" i="48" s="1"/>
  <c r="AP121" i="48" s="1"/>
  <c r="AN80" i="48"/>
  <c r="AO80" i="48" s="1"/>
  <c r="AP80" i="48" s="1"/>
  <c r="AN96" i="48"/>
  <c r="AO96" i="48" s="1"/>
  <c r="AP96" i="48" s="1"/>
  <c r="AN41" i="48"/>
  <c r="AO41" i="48" s="1"/>
  <c r="AP41" i="48" s="1"/>
  <c r="AN31" i="48"/>
  <c r="AO31" i="48" s="1"/>
  <c r="AP31" i="48" s="1"/>
  <c r="AN94" i="48"/>
  <c r="AO94" i="48" s="1"/>
  <c r="AP94" i="48" s="1"/>
  <c r="AN120" i="48"/>
  <c r="AO120" i="48" s="1"/>
  <c r="AP120" i="48" s="1"/>
  <c r="AN104" i="48"/>
  <c r="AO104" i="48" s="1"/>
  <c r="AP104" i="48" s="1"/>
  <c r="AN148" i="48"/>
  <c r="AO148" i="48" s="1"/>
  <c r="AP148" i="48" s="1"/>
  <c r="AN134" i="48"/>
  <c r="AO134" i="48" s="1"/>
  <c r="AP134" i="48" s="1"/>
  <c r="AN81" i="48"/>
  <c r="AO81" i="48" s="1"/>
  <c r="AP81" i="48" s="1"/>
  <c r="AN46" i="48"/>
  <c r="AO46" i="48" s="1"/>
  <c r="AP46" i="48" s="1"/>
  <c r="AN57" i="48"/>
  <c r="AO57" i="48" s="1"/>
  <c r="AP57" i="48" s="1"/>
  <c r="AN133" i="48"/>
  <c r="AO133" i="48" s="1"/>
  <c r="AP133" i="48" s="1"/>
  <c r="AN106" i="48"/>
  <c r="AO106" i="48" s="1"/>
  <c r="AP106" i="48" s="1"/>
  <c r="AN54" i="48"/>
  <c r="AO54" i="48" s="1"/>
  <c r="AP54" i="48" s="1"/>
  <c r="AN137" i="48"/>
  <c r="AO137" i="48" s="1"/>
  <c r="AP137" i="48" s="1"/>
  <c r="AN119" i="48"/>
  <c r="AO119" i="48" s="1"/>
  <c r="AP119" i="48" s="1"/>
  <c r="AN44" i="48"/>
  <c r="AO44" i="48" s="1"/>
  <c r="AP44" i="48" s="1"/>
  <c r="AN42" i="48"/>
  <c r="AO42" i="48" s="1"/>
  <c r="AP42" i="48" s="1"/>
  <c r="AN83" i="48"/>
  <c r="AO83" i="48" s="1"/>
  <c r="AP83" i="48" s="1"/>
  <c r="AN55" i="48"/>
  <c r="AO55" i="48" s="1"/>
  <c r="AP55" i="48" s="1"/>
  <c r="AN143" i="48"/>
  <c r="AO143" i="48" s="1"/>
  <c r="AP143" i="48" s="1"/>
  <c r="AN108" i="48"/>
  <c r="AO108" i="48" s="1"/>
  <c r="AP108" i="48" s="1"/>
  <c r="AN145" i="48"/>
  <c r="AO145" i="48" s="1"/>
  <c r="AP145" i="48" s="1"/>
  <c r="AN95" i="48"/>
  <c r="AO95" i="48" s="1"/>
  <c r="AP95" i="48" s="1"/>
  <c r="AN56" i="48"/>
  <c r="AO56" i="48" s="1"/>
  <c r="AP56" i="48" s="1"/>
  <c r="AN28" i="48"/>
  <c r="AO28" i="48" s="1"/>
  <c r="AP28" i="48" s="1"/>
  <c r="AN78" i="48"/>
  <c r="AO78" i="48" s="1"/>
  <c r="AP78" i="48" s="1"/>
  <c r="AN147" i="48"/>
  <c r="AO147" i="48" s="1"/>
  <c r="AP147" i="48" s="1"/>
  <c r="AN107" i="48"/>
  <c r="AO107" i="48" s="1"/>
  <c r="AP107" i="48" s="1"/>
  <c r="AN43" i="48"/>
  <c r="AO43" i="48" s="1"/>
  <c r="AP43" i="48" s="1"/>
  <c r="AL7" i="48"/>
  <c r="AL144" i="48"/>
  <c r="AM144" i="48" s="1"/>
  <c r="AL150" i="48"/>
  <c r="AM150" i="48" s="1"/>
  <c r="AL30" i="48"/>
  <c r="AM30" i="48" s="1"/>
  <c r="AL73" i="48"/>
  <c r="AM73" i="48" s="1"/>
  <c r="AL131" i="48"/>
  <c r="AM131" i="48" s="1"/>
  <c r="AN132" i="48"/>
  <c r="AO132" i="48" s="1"/>
  <c r="AP132" i="48" s="1"/>
  <c r="BU53" i="48"/>
  <c r="U59" i="33"/>
  <c r="AK113" i="48"/>
  <c r="AK51" i="48"/>
  <c r="AL51" i="48" s="1"/>
  <c r="AM51" i="48" s="1"/>
  <c r="AK67" i="48"/>
  <c r="AL67" i="48" s="1"/>
  <c r="AM67" i="48" s="1"/>
  <c r="AK123" i="48"/>
  <c r="AK59" i="48"/>
  <c r="AU26" i="33"/>
  <c r="AK138" i="48"/>
  <c r="AH110" i="48"/>
  <c r="AI110" i="48" s="1"/>
  <c r="AJ110" i="48" s="1"/>
  <c r="AH105" i="48"/>
  <c r="AI105" i="48" s="1"/>
  <c r="AJ105" i="48" s="1"/>
  <c r="AH118" i="48"/>
  <c r="AI118" i="48" s="1"/>
  <c r="AJ118" i="48" s="1"/>
  <c r="AK139" i="48"/>
  <c r="AK40" i="48"/>
  <c r="AK65" i="48"/>
  <c r="AH76" i="48"/>
  <c r="AI76" i="48" s="1"/>
  <c r="AJ76" i="48" s="1"/>
  <c r="AK149" i="48"/>
  <c r="AK58" i="48"/>
  <c r="AK68" i="48"/>
  <c r="AK36" i="48"/>
  <c r="AK129" i="48"/>
  <c r="AK88" i="48"/>
  <c r="AK37" i="48"/>
  <c r="AK75" i="48"/>
  <c r="AH34" i="48"/>
  <c r="AI34" i="48" s="1"/>
  <c r="AJ34" i="48" s="1"/>
  <c r="AH87" i="48"/>
  <c r="AI87" i="48" s="1"/>
  <c r="AJ87" i="48" s="1"/>
  <c r="AK90" i="48"/>
  <c r="AK32" i="48"/>
  <c r="AK89" i="48"/>
  <c r="AK126" i="48"/>
  <c r="AK127" i="48"/>
  <c r="AK77" i="48"/>
  <c r="AH50" i="48"/>
  <c r="AI50" i="48" s="1"/>
  <c r="AJ50" i="48" s="1"/>
  <c r="AK92" i="48"/>
  <c r="AK62" i="48"/>
  <c r="AK38" i="48"/>
  <c r="AS30" i="33"/>
  <c r="AK53" i="48"/>
  <c r="AH97" i="48"/>
  <c r="AI97" i="48" s="1"/>
  <c r="AJ97" i="48" s="1"/>
  <c r="AK102" i="48"/>
  <c r="AK100" i="48"/>
  <c r="AK98" i="48"/>
  <c r="AK85" i="48"/>
  <c r="AK112" i="48"/>
  <c r="AK35" i="48"/>
  <c r="AK140" i="48"/>
  <c r="AK115" i="48"/>
  <c r="AK136" i="48"/>
  <c r="AK49" i="48"/>
  <c r="AK79" i="48"/>
  <c r="AK101" i="48"/>
  <c r="AK28" i="33"/>
  <c r="AK128" i="48"/>
  <c r="AK114" i="48"/>
  <c r="AK60" i="48"/>
  <c r="AK72" i="48"/>
  <c r="AK86" i="48"/>
  <c r="AK69" i="48"/>
  <c r="AK48" i="48"/>
  <c r="AK63" i="48"/>
  <c r="AK66" i="48"/>
  <c r="AK61" i="48"/>
  <c r="AK70" i="48"/>
  <c r="AK33" i="48"/>
  <c r="AK45" i="48"/>
  <c r="AK84" i="48"/>
  <c r="AK125" i="48"/>
  <c r="AM26" i="33"/>
  <c r="AK29" i="33"/>
  <c r="AK71" i="48"/>
  <c r="AK47" i="48"/>
  <c r="AK142" i="48"/>
  <c r="AK26" i="33"/>
  <c r="AS26" i="33"/>
  <c r="AK99" i="48"/>
  <c r="AK116" i="48"/>
  <c r="AK124" i="48"/>
  <c r="AK74" i="48"/>
  <c r="AK64" i="48"/>
  <c r="AK103" i="48"/>
  <c r="AK111" i="48"/>
  <c r="AK141" i="48"/>
  <c r="AK31" i="33"/>
  <c r="AS31" i="33"/>
  <c r="AJ151" i="48" l="1"/>
  <c r="AH151" i="48"/>
  <c r="AI151" i="48" s="1"/>
  <c r="AM7" i="48"/>
  <c r="AN7" i="48" s="1"/>
  <c r="AU9" i="48"/>
  <c r="AW9" i="48" s="1"/>
  <c r="AT9" i="48"/>
  <c r="AU10" i="48"/>
  <c r="AW10" i="48" s="1"/>
  <c r="AT10" i="48"/>
  <c r="AR130" i="48"/>
  <c r="AS130" i="48" s="1"/>
  <c r="AR12" i="48"/>
  <c r="AS12" i="48" s="1"/>
  <c r="AR11" i="48"/>
  <c r="AS11" i="48" s="1"/>
  <c r="AQ31" i="48"/>
  <c r="AQ132" i="48"/>
  <c r="AQ107" i="48"/>
  <c r="AQ134" i="48"/>
  <c r="AQ108" i="48"/>
  <c r="AQ78" i="48"/>
  <c r="AQ54" i="48"/>
  <c r="AQ148" i="48"/>
  <c r="AQ96" i="48"/>
  <c r="AQ29" i="48"/>
  <c r="AQ14" i="48"/>
  <c r="AQ109" i="48"/>
  <c r="AQ91" i="48"/>
  <c r="AQ28" i="48"/>
  <c r="AQ143" i="48"/>
  <c r="AQ106" i="48"/>
  <c r="AQ104" i="48"/>
  <c r="AQ80" i="48"/>
  <c r="AQ82" i="48"/>
  <c r="AQ119" i="48"/>
  <c r="AQ41" i="48"/>
  <c r="AQ56" i="48"/>
  <c r="AQ55" i="48"/>
  <c r="AQ133" i="48"/>
  <c r="AQ120" i="48"/>
  <c r="AQ121" i="48"/>
  <c r="AQ146" i="48"/>
  <c r="AQ145" i="48"/>
  <c r="AQ83" i="48"/>
  <c r="AQ57" i="48"/>
  <c r="AQ93" i="48"/>
  <c r="AQ135" i="48"/>
  <c r="AQ137" i="48"/>
  <c r="AQ42" i="48"/>
  <c r="AQ46" i="48"/>
  <c r="AQ39" i="48"/>
  <c r="AQ122" i="48"/>
  <c r="AQ147" i="48"/>
  <c r="AQ43" i="48"/>
  <c r="AQ95" i="48"/>
  <c r="AQ44" i="48"/>
  <c r="AQ81" i="48"/>
  <c r="AQ94" i="48"/>
  <c r="AQ117" i="48"/>
  <c r="AQ52" i="48"/>
  <c r="AQ8" i="48"/>
  <c r="AN30" i="48"/>
  <c r="AO30" i="48" s="1"/>
  <c r="AP30" i="48" s="1"/>
  <c r="AN150" i="48"/>
  <c r="AO150" i="48" s="1"/>
  <c r="AP150" i="48" s="1"/>
  <c r="AN67" i="48"/>
  <c r="AO67" i="48" s="1"/>
  <c r="AP67" i="48" s="1"/>
  <c r="AN131" i="48"/>
  <c r="AO131" i="48" s="1"/>
  <c r="AP131" i="48" s="1"/>
  <c r="AN73" i="48"/>
  <c r="AO73" i="48" s="1"/>
  <c r="AP73" i="48" s="1"/>
  <c r="AN51" i="48"/>
  <c r="AO51" i="48" s="1"/>
  <c r="AP51" i="48" s="1"/>
  <c r="AN144" i="48"/>
  <c r="AO144" i="48" s="1"/>
  <c r="AP144" i="48" s="1"/>
  <c r="AL103" i="48"/>
  <c r="AM103" i="48" s="1"/>
  <c r="AL125" i="48"/>
  <c r="AM125" i="48" s="1"/>
  <c r="AL112" i="48"/>
  <c r="AM112" i="48" s="1"/>
  <c r="AL92" i="48"/>
  <c r="AM92" i="48" s="1"/>
  <c r="AL138" i="48"/>
  <c r="AM138" i="48" s="1"/>
  <c r="AL64" i="48"/>
  <c r="AM64" i="48" s="1"/>
  <c r="AL98" i="48"/>
  <c r="AM98" i="48" s="1"/>
  <c r="AL77" i="48"/>
  <c r="AM77" i="48" s="1"/>
  <c r="AL68" i="48"/>
  <c r="AM68" i="48" s="1"/>
  <c r="AL62" i="48"/>
  <c r="AM62" i="48" s="1"/>
  <c r="AL74" i="48"/>
  <c r="AM74" i="48" s="1"/>
  <c r="AL100" i="48"/>
  <c r="AM100" i="48" s="1"/>
  <c r="AL127" i="48"/>
  <c r="AM127" i="48" s="1"/>
  <c r="AL58" i="48"/>
  <c r="AM58" i="48" s="1"/>
  <c r="AL113" i="48"/>
  <c r="AM113" i="48" s="1"/>
  <c r="AL33" i="48"/>
  <c r="AM33" i="48" s="1"/>
  <c r="AL60" i="48"/>
  <c r="AM60" i="48" s="1"/>
  <c r="AL102" i="48"/>
  <c r="AM102" i="48" s="1"/>
  <c r="AL126" i="48"/>
  <c r="AM126" i="48" s="1"/>
  <c r="AL149" i="48"/>
  <c r="AM149" i="48" s="1"/>
  <c r="AL38" i="48"/>
  <c r="AM38" i="48" s="1"/>
  <c r="AL114" i="48"/>
  <c r="AM114" i="48" s="1"/>
  <c r="AL35" i="48"/>
  <c r="AM35" i="48" s="1"/>
  <c r="AL89" i="48"/>
  <c r="AM89" i="48" s="1"/>
  <c r="AL71" i="48"/>
  <c r="AM71" i="48" s="1"/>
  <c r="AL59" i="48"/>
  <c r="AM59" i="48" s="1"/>
  <c r="AL53" i="48"/>
  <c r="AM53" i="48" s="1"/>
  <c r="AL32" i="48"/>
  <c r="AM32" i="48" s="1"/>
  <c r="AL65" i="48"/>
  <c r="AM65" i="48" s="1"/>
  <c r="AL84" i="48"/>
  <c r="AM84" i="48" s="1"/>
  <c r="AL47" i="48"/>
  <c r="AM47" i="48" s="1"/>
  <c r="AL66" i="48"/>
  <c r="AM66" i="48" s="1"/>
  <c r="AL90" i="48"/>
  <c r="AM90" i="48" s="1"/>
  <c r="AL40" i="48"/>
  <c r="AM40" i="48" s="1"/>
  <c r="AL116" i="48"/>
  <c r="AM116" i="48" s="1"/>
  <c r="AL79" i="48"/>
  <c r="AM79" i="48" s="1"/>
  <c r="AL141" i="48"/>
  <c r="AM141" i="48" s="1"/>
  <c r="AL63" i="48"/>
  <c r="AM63" i="48" s="1"/>
  <c r="AL49" i="48"/>
  <c r="AM49" i="48" s="1"/>
  <c r="AL139" i="48"/>
  <c r="AM139" i="48" s="1"/>
  <c r="AL101" i="48"/>
  <c r="AM101" i="48" s="1"/>
  <c r="AL142" i="48"/>
  <c r="AM142" i="48" s="1"/>
  <c r="AL61" i="48"/>
  <c r="AM61" i="48" s="1"/>
  <c r="AL111" i="48"/>
  <c r="AM111" i="48" s="1"/>
  <c r="AL48" i="48"/>
  <c r="AM48" i="48" s="1"/>
  <c r="AL128" i="48"/>
  <c r="AM128" i="48" s="1"/>
  <c r="AL136" i="48"/>
  <c r="AM136" i="48" s="1"/>
  <c r="AL115" i="48"/>
  <c r="AM115" i="48" s="1"/>
  <c r="AL75" i="48"/>
  <c r="AM75" i="48" s="1"/>
  <c r="AL123" i="48"/>
  <c r="AM123" i="48" s="1"/>
  <c r="AL124" i="48"/>
  <c r="AM124" i="48" s="1"/>
  <c r="AL99" i="48"/>
  <c r="AM99" i="48" s="1"/>
  <c r="AL86" i="48"/>
  <c r="AM86" i="48" s="1"/>
  <c r="AL140" i="48"/>
  <c r="AM140" i="48" s="1"/>
  <c r="AL37" i="48"/>
  <c r="AM37" i="48" s="1"/>
  <c r="AL45" i="48"/>
  <c r="AM45" i="48" s="1"/>
  <c r="AL88" i="48"/>
  <c r="AM88" i="48" s="1"/>
  <c r="AL72" i="48"/>
  <c r="AM72" i="48" s="1"/>
  <c r="AL36" i="48"/>
  <c r="AM36" i="48" s="1"/>
  <c r="AL70" i="48"/>
  <c r="AM70" i="48" s="1"/>
  <c r="AL69" i="48"/>
  <c r="AM69" i="48" s="1"/>
  <c r="AL85" i="48"/>
  <c r="AM85" i="48" s="1"/>
  <c r="AL129" i="48"/>
  <c r="AM129" i="48" s="1"/>
  <c r="BU55" i="48"/>
  <c r="U60" i="33"/>
  <c r="BU54" i="48"/>
  <c r="AV26" i="33"/>
  <c r="AN26" i="33"/>
  <c r="AK118" i="48"/>
  <c r="AK34" i="48"/>
  <c r="AS33" i="33"/>
  <c r="AK110" i="48"/>
  <c r="AT26" i="33"/>
  <c r="AL26" i="33"/>
  <c r="AS24" i="33"/>
  <c r="AK97" i="48"/>
  <c r="AS32" i="33"/>
  <c r="AK76" i="48"/>
  <c r="AS27" i="33"/>
  <c r="AK105" i="48"/>
  <c r="AS23" i="33"/>
  <c r="AK50" i="48"/>
  <c r="AK30" i="33"/>
  <c r="AS22" i="33"/>
  <c r="AK87" i="48"/>
  <c r="AK151" i="48" l="1"/>
  <c r="AX10" i="48"/>
  <c r="AX9" i="48"/>
  <c r="AT12" i="48"/>
  <c r="AU130" i="48"/>
  <c r="AW130" i="48" s="1"/>
  <c r="AT130" i="48"/>
  <c r="AU11" i="48"/>
  <c r="AW11" i="48" s="1"/>
  <c r="AT11" i="48"/>
  <c r="AU12" i="48"/>
  <c r="AW12" i="48" s="1"/>
  <c r="AR8" i="48"/>
  <c r="AS8" i="48" s="1"/>
  <c r="AR44" i="48"/>
  <c r="AS44" i="48" s="1"/>
  <c r="AR120" i="48"/>
  <c r="AS120" i="48" s="1"/>
  <c r="AR82" i="48"/>
  <c r="AS82" i="48" s="1"/>
  <c r="AR28" i="48"/>
  <c r="AS28" i="48" s="1"/>
  <c r="AR95" i="48"/>
  <c r="AS95" i="48" s="1"/>
  <c r="AR39" i="48"/>
  <c r="AS39" i="48" s="1"/>
  <c r="AR83" i="48"/>
  <c r="AS83" i="48" s="1"/>
  <c r="AR133" i="48"/>
  <c r="AS133" i="48" s="1"/>
  <c r="AR80" i="48"/>
  <c r="AS80" i="48" s="1"/>
  <c r="AR14" i="48"/>
  <c r="AS14" i="48" s="1"/>
  <c r="AR54" i="48"/>
  <c r="AS54" i="48" s="1"/>
  <c r="AR31" i="48"/>
  <c r="AS31" i="48" s="1"/>
  <c r="AR43" i="48"/>
  <c r="AS43" i="48" s="1"/>
  <c r="AR46" i="48"/>
  <c r="AS46" i="48" s="1"/>
  <c r="AR55" i="48"/>
  <c r="AS55" i="48" s="1"/>
  <c r="AR104" i="48"/>
  <c r="AS104" i="48" s="1"/>
  <c r="AY9" i="48"/>
  <c r="BA9" i="48" s="1"/>
  <c r="BB9" i="48" s="1"/>
  <c r="AR52" i="48"/>
  <c r="AS52" i="48" s="1"/>
  <c r="AR147" i="48"/>
  <c r="AS147" i="48" s="1"/>
  <c r="AR42" i="48"/>
  <c r="AS42" i="48" s="1"/>
  <c r="AR145" i="48"/>
  <c r="AS145" i="48" s="1"/>
  <c r="AR29" i="48"/>
  <c r="AS29" i="48" s="1"/>
  <c r="AR78" i="48"/>
  <c r="AS78" i="48" s="1"/>
  <c r="AR117" i="48"/>
  <c r="AS117" i="48" s="1"/>
  <c r="AR135" i="48"/>
  <c r="AS135" i="48" s="1"/>
  <c r="AR56" i="48"/>
  <c r="AS56" i="48" s="1"/>
  <c r="AR106" i="48"/>
  <c r="AS106" i="48" s="1"/>
  <c r="AR91" i="48"/>
  <c r="AS91" i="48" s="1"/>
  <c r="AR108" i="48"/>
  <c r="AS108" i="48" s="1"/>
  <c r="AR94" i="48"/>
  <c r="AS94" i="48" s="1"/>
  <c r="AR93" i="48"/>
  <c r="AS93" i="48" s="1"/>
  <c r="AR41" i="48"/>
  <c r="AS41" i="48" s="1"/>
  <c r="AR109" i="48"/>
  <c r="AS109" i="48" s="1"/>
  <c r="AR96" i="48"/>
  <c r="AS96" i="48" s="1"/>
  <c r="AR134" i="48"/>
  <c r="AS134" i="48" s="1"/>
  <c r="AR81" i="48"/>
  <c r="AS81" i="48" s="1"/>
  <c r="AR146" i="48"/>
  <c r="AS146" i="48" s="1"/>
  <c r="AR119" i="48"/>
  <c r="AS119" i="48" s="1"/>
  <c r="AR143" i="48"/>
  <c r="AS143" i="48" s="1"/>
  <c r="AR107" i="48"/>
  <c r="AS107" i="48" s="1"/>
  <c r="AR122" i="48"/>
  <c r="AS122" i="48" s="1"/>
  <c r="AR137" i="48"/>
  <c r="AS137" i="48" s="1"/>
  <c r="AR57" i="48"/>
  <c r="AS57" i="48" s="1"/>
  <c r="AR121" i="48"/>
  <c r="AS121" i="48" s="1"/>
  <c r="AR148" i="48"/>
  <c r="AS148" i="48" s="1"/>
  <c r="AR132" i="48"/>
  <c r="AS132" i="48" s="1"/>
  <c r="AY10" i="48"/>
  <c r="BA10" i="48" s="1"/>
  <c r="BB10" i="48" s="1"/>
  <c r="AQ150" i="48"/>
  <c r="AQ73" i="48"/>
  <c r="AQ51" i="48"/>
  <c r="AQ131" i="48"/>
  <c r="AQ67" i="48"/>
  <c r="AQ144" i="48"/>
  <c r="AQ30" i="48"/>
  <c r="AO7" i="48"/>
  <c r="AN38" i="48"/>
  <c r="AO38" i="48" s="1"/>
  <c r="AP38" i="48" s="1"/>
  <c r="AN63" i="48"/>
  <c r="AO63" i="48" s="1"/>
  <c r="AP63" i="48" s="1"/>
  <c r="AN77" i="48"/>
  <c r="AO77" i="48" s="1"/>
  <c r="AP77" i="48" s="1"/>
  <c r="AN36" i="48"/>
  <c r="AO36" i="48" s="1"/>
  <c r="AP36" i="48" s="1"/>
  <c r="AN101" i="48"/>
  <c r="AO101" i="48" s="1"/>
  <c r="AP101" i="48" s="1"/>
  <c r="AN141" i="48"/>
  <c r="AO141" i="48" s="1"/>
  <c r="AP141" i="48" s="1"/>
  <c r="AN47" i="48"/>
  <c r="AO47" i="48" s="1"/>
  <c r="AP47" i="48" s="1"/>
  <c r="AN114" i="48"/>
  <c r="AO114" i="48" s="1"/>
  <c r="AP114" i="48" s="1"/>
  <c r="AN102" i="48"/>
  <c r="AO102" i="48" s="1"/>
  <c r="AP102" i="48" s="1"/>
  <c r="AN127" i="48"/>
  <c r="AO127" i="48" s="1"/>
  <c r="AP127" i="48" s="1"/>
  <c r="AN98" i="48"/>
  <c r="AO98" i="48" s="1"/>
  <c r="AP98" i="48" s="1"/>
  <c r="AN103" i="48"/>
  <c r="AO103" i="48" s="1"/>
  <c r="AP103" i="48" s="1"/>
  <c r="AN142" i="48"/>
  <c r="AO142" i="48" s="1"/>
  <c r="AP142" i="48" s="1"/>
  <c r="AN58" i="48"/>
  <c r="AO58" i="48" s="1"/>
  <c r="AP58" i="48" s="1"/>
  <c r="AN140" i="48"/>
  <c r="AO140" i="48" s="1"/>
  <c r="AP140" i="48" s="1"/>
  <c r="AN123" i="48"/>
  <c r="AO123" i="48" s="1"/>
  <c r="AP123" i="48" s="1"/>
  <c r="AN128" i="48"/>
  <c r="AO128" i="48" s="1"/>
  <c r="AP128" i="48" s="1"/>
  <c r="AN59" i="48"/>
  <c r="AO59" i="48" s="1"/>
  <c r="AP59" i="48" s="1"/>
  <c r="AN64" i="48"/>
  <c r="AO64" i="48" s="1"/>
  <c r="AP64" i="48" s="1"/>
  <c r="AN72" i="48"/>
  <c r="AO72" i="48" s="1"/>
  <c r="AP72" i="48" s="1"/>
  <c r="AN79" i="48"/>
  <c r="AO79" i="48" s="1"/>
  <c r="AP79" i="48" s="1"/>
  <c r="AN84" i="48"/>
  <c r="AO84" i="48" s="1"/>
  <c r="AP84" i="48" s="1"/>
  <c r="AN71" i="48"/>
  <c r="AO71" i="48" s="1"/>
  <c r="AN60" i="48"/>
  <c r="AO60" i="48" s="1"/>
  <c r="AP60" i="48" s="1"/>
  <c r="AN100" i="48"/>
  <c r="AO100" i="48" s="1"/>
  <c r="AP100" i="48" s="1"/>
  <c r="AN70" i="48"/>
  <c r="AO70" i="48" s="1"/>
  <c r="AP70" i="48" s="1"/>
  <c r="AN53" i="48"/>
  <c r="AO53" i="48" s="1"/>
  <c r="AP53" i="48" s="1"/>
  <c r="AN125" i="48"/>
  <c r="AO125" i="48" s="1"/>
  <c r="AP125" i="48" s="1"/>
  <c r="AN88" i="48"/>
  <c r="AO88" i="48" s="1"/>
  <c r="AP88" i="48" s="1"/>
  <c r="AN86" i="48"/>
  <c r="AO86" i="48" s="1"/>
  <c r="AP86" i="48" s="1"/>
  <c r="AN75" i="48"/>
  <c r="AO75" i="48" s="1"/>
  <c r="AP75" i="48" s="1"/>
  <c r="AN48" i="48"/>
  <c r="AO48" i="48" s="1"/>
  <c r="AP48" i="48" s="1"/>
  <c r="AN139" i="48"/>
  <c r="AO139" i="48" s="1"/>
  <c r="AP139" i="48" s="1"/>
  <c r="AN116" i="48"/>
  <c r="AO116" i="48" s="1"/>
  <c r="AP116" i="48" s="1"/>
  <c r="AN33" i="48"/>
  <c r="AO33" i="48" s="1"/>
  <c r="AP33" i="48" s="1"/>
  <c r="AN74" i="48"/>
  <c r="AO74" i="48" s="1"/>
  <c r="AP74" i="48" s="1"/>
  <c r="AN124" i="48"/>
  <c r="AO124" i="48" s="1"/>
  <c r="AP124" i="48" s="1"/>
  <c r="AN129" i="48"/>
  <c r="AO129" i="48" s="1"/>
  <c r="AP129" i="48" s="1"/>
  <c r="AN40" i="48"/>
  <c r="AO40" i="48" s="1"/>
  <c r="AP40" i="48" s="1"/>
  <c r="AN65" i="48"/>
  <c r="AO65" i="48" s="1"/>
  <c r="AP65" i="48" s="1"/>
  <c r="AN89" i="48"/>
  <c r="AO89" i="48" s="1"/>
  <c r="AP89" i="48" s="1"/>
  <c r="AN92" i="48"/>
  <c r="AO92" i="48" s="1"/>
  <c r="AP92" i="48" s="1"/>
  <c r="AN37" i="48"/>
  <c r="AO37" i="48" s="1"/>
  <c r="AP37" i="48" s="1"/>
  <c r="AN85" i="48"/>
  <c r="AO85" i="48" s="1"/>
  <c r="AP85" i="48" s="1"/>
  <c r="AN45" i="48"/>
  <c r="AO45" i="48" s="1"/>
  <c r="AP45" i="48" s="1"/>
  <c r="AN99" i="48"/>
  <c r="AO99" i="48" s="1"/>
  <c r="AP99" i="48" s="1"/>
  <c r="AN115" i="48"/>
  <c r="AO115" i="48" s="1"/>
  <c r="AP115" i="48" s="1"/>
  <c r="AN111" i="48"/>
  <c r="AO111" i="48" s="1"/>
  <c r="AP111" i="48" s="1"/>
  <c r="AN49" i="48"/>
  <c r="AO49" i="48" s="1"/>
  <c r="AP49" i="48" s="1"/>
  <c r="AN90" i="48"/>
  <c r="AO90" i="48" s="1"/>
  <c r="AP90" i="48" s="1"/>
  <c r="AN32" i="48"/>
  <c r="AO32" i="48" s="1"/>
  <c r="AP32" i="48" s="1"/>
  <c r="AN149" i="48"/>
  <c r="AO149" i="48" s="1"/>
  <c r="AP149" i="48" s="1"/>
  <c r="AN113" i="48"/>
  <c r="AO113" i="48" s="1"/>
  <c r="AP113" i="48" s="1"/>
  <c r="AN62" i="48"/>
  <c r="AO62" i="48" s="1"/>
  <c r="AP62" i="48" s="1"/>
  <c r="AN112" i="48"/>
  <c r="AO112" i="48" s="1"/>
  <c r="AP112" i="48" s="1"/>
  <c r="AN136" i="48"/>
  <c r="AO136" i="48" s="1"/>
  <c r="AP136" i="48" s="1"/>
  <c r="AN69" i="48"/>
  <c r="AO69" i="48" s="1"/>
  <c r="AP69" i="48" s="1"/>
  <c r="AN61" i="48"/>
  <c r="AO61" i="48" s="1"/>
  <c r="AP61" i="48" s="1"/>
  <c r="AN66" i="48"/>
  <c r="AO66" i="48" s="1"/>
  <c r="AP66" i="48" s="1"/>
  <c r="AN35" i="48"/>
  <c r="AO35" i="48" s="1"/>
  <c r="AP35" i="48" s="1"/>
  <c r="AN126" i="48"/>
  <c r="AO126" i="48" s="1"/>
  <c r="AP126" i="48" s="1"/>
  <c r="AN68" i="48"/>
  <c r="AO68" i="48" s="1"/>
  <c r="AP68" i="48" s="1"/>
  <c r="AL105" i="48"/>
  <c r="AM105" i="48" s="1"/>
  <c r="AL87" i="48"/>
  <c r="AM87" i="48" s="1"/>
  <c r="AL76" i="48"/>
  <c r="AM76" i="48" s="1"/>
  <c r="AL110" i="48"/>
  <c r="AM110" i="48" s="1"/>
  <c r="AN138" i="48"/>
  <c r="AO138" i="48" s="1"/>
  <c r="AP138" i="48" s="1"/>
  <c r="AL50" i="48"/>
  <c r="AM50" i="48" s="1"/>
  <c r="AL118" i="48"/>
  <c r="AM118" i="48" s="1"/>
  <c r="AL97" i="48"/>
  <c r="AM97" i="48" s="1"/>
  <c r="AL34" i="48"/>
  <c r="BU56" i="48"/>
  <c r="U61" i="33"/>
  <c r="U62" i="33"/>
  <c r="BU57" i="48"/>
  <c r="BU60" i="48"/>
  <c r="AS34" i="33"/>
  <c r="AM23" i="33"/>
  <c r="AU23" i="33"/>
  <c r="AK22" i="33"/>
  <c r="AT22" i="33"/>
  <c r="AK25" i="33"/>
  <c r="AM25" i="33"/>
  <c r="AU25" i="33"/>
  <c r="AK23" i="33"/>
  <c r="AL23" i="33"/>
  <c r="AK32" i="33"/>
  <c r="AK33" i="33"/>
  <c r="AU21" i="33"/>
  <c r="AM21" i="33"/>
  <c r="AM27" i="33"/>
  <c r="AU27" i="33"/>
  <c r="AK27" i="33"/>
  <c r="AM22" i="33"/>
  <c r="AU22" i="33"/>
  <c r="AM24" i="33"/>
  <c r="AU24" i="33"/>
  <c r="AO26" i="33"/>
  <c r="AW26" i="33"/>
  <c r="AL24" i="33"/>
  <c r="AK24" i="33"/>
  <c r="AS25" i="33"/>
  <c r="AM34" i="48" l="1"/>
  <c r="AM151" i="48" s="1"/>
  <c r="AM152" i="48" s="1"/>
  <c r="AL151" i="48"/>
  <c r="AX11" i="48"/>
  <c r="AX12" i="48"/>
  <c r="AX130" i="48"/>
  <c r="AT94" i="48"/>
  <c r="AT134" i="48"/>
  <c r="AT54" i="48"/>
  <c r="AT80" i="48"/>
  <c r="AT95" i="48"/>
  <c r="AT133" i="48"/>
  <c r="AT120" i="48"/>
  <c r="AT146" i="48"/>
  <c r="AT148" i="48"/>
  <c r="AT57" i="48"/>
  <c r="AT119" i="48"/>
  <c r="AT81" i="48"/>
  <c r="AT93" i="48"/>
  <c r="AT91" i="48"/>
  <c r="AT56" i="48"/>
  <c r="AT117" i="48"/>
  <c r="AT83" i="48"/>
  <c r="AT39" i="48"/>
  <c r="AT132" i="48"/>
  <c r="AT143" i="48"/>
  <c r="AT96" i="48"/>
  <c r="AT106" i="48"/>
  <c r="AT29" i="48"/>
  <c r="AT42" i="48"/>
  <c r="AT104" i="48"/>
  <c r="AT46" i="48"/>
  <c r="AT121" i="48"/>
  <c r="AT135" i="48"/>
  <c r="AT14" i="48"/>
  <c r="AT31" i="48"/>
  <c r="AT137" i="48"/>
  <c r="AT78" i="48"/>
  <c r="AT147" i="48"/>
  <c r="AT55" i="48"/>
  <c r="AU43" i="48"/>
  <c r="AW43" i="48" s="1"/>
  <c r="AT43" i="48"/>
  <c r="AU44" i="48"/>
  <c r="AW44" i="48" s="1"/>
  <c r="AT44" i="48"/>
  <c r="AU109" i="48"/>
  <c r="AW109" i="48" s="1"/>
  <c r="AT109" i="48"/>
  <c r="AU122" i="48"/>
  <c r="AW122" i="48" s="1"/>
  <c r="AT122" i="48"/>
  <c r="AU28" i="48"/>
  <c r="AW28" i="48" s="1"/>
  <c r="AT28" i="48"/>
  <c r="AU108" i="48"/>
  <c r="AW108" i="48" s="1"/>
  <c r="AT108" i="48"/>
  <c r="AU107" i="48"/>
  <c r="AW107" i="48" s="1"/>
  <c r="AT107" i="48"/>
  <c r="AU8" i="48"/>
  <c r="AW8" i="48" s="1"/>
  <c r="AT8" i="48"/>
  <c r="AU52" i="48"/>
  <c r="AW52" i="48" s="1"/>
  <c r="AT52" i="48"/>
  <c r="AU82" i="48"/>
  <c r="AW82" i="48" s="1"/>
  <c r="AT82" i="48"/>
  <c r="AU41" i="48"/>
  <c r="AW41" i="48" s="1"/>
  <c r="AT41" i="48"/>
  <c r="AU145" i="48"/>
  <c r="AW145" i="48" s="1"/>
  <c r="AT145" i="48"/>
  <c r="AY11" i="48"/>
  <c r="BA11" i="48" s="1"/>
  <c r="AS163" i="48"/>
  <c r="AU132" i="48"/>
  <c r="AU133" i="48"/>
  <c r="AU96" i="48"/>
  <c r="AW96" i="48" s="1"/>
  <c r="AU121" i="48"/>
  <c r="AW121" i="48" s="1"/>
  <c r="AU135" i="48"/>
  <c r="AW135" i="48" s="1"/>
  <c r="AS153" i="48"/>
  <c r="AU83" i="48"/>
  <c r="AW83" i="48" s="1"/>
  <c r="AP71" i="48"/>
  <c r="AQ71" i="48" s="1"/>
  <c r="AP7" i="48"/>
  <c r="AU81" i="48"/>
  <c r="AW81" i="48" s="1"/>
  <c r="AU134" i="48"/>
  <c r="AU93" i="48"/>
  <c r="AW93" i="48" s="1"/>
  <c r="AU143" i="48"/>
  <c r="AW143" i="48" s="1"/>
  <c r="AU106" i="48"/>
  <c r="AW106" i="48" s="1"/>
  <c r="AU117" i="48"/>
  <c r="AW117" i="48" s="1"/>
  <c r="AU54" i="48"/>
  <c r="AW54" i="48" s="1"/>
  <c r="AU55" i="48"/>
  <c r="AW55" i="48" s="1"/>
  <c r="AU146" i="48"/>
  <c r="AU80" i="48"/>
  <c r="AW80" i="48" s="1"/>
  <c r="AU95" i="48"/>
  <c r="AW95" i="48" s="1"/>
  <c r="BC10" i="48"/>
  <c r="BE10" i="48" s="1"/>
  <c r="BF10" i="48" s="1"/>
  <c r="AU91" i="48"/>
  <c r="AW91" i="48" s="1"/>
  <c r="AU29" i="48"/>
  <c r="AW29" i="48" s="1"/>
  <c r="AU147" i="48"/>
  <c r="BC9" i="48"/>
  <c r="BE9" i="48" s="1"/>
  <c r="BF9" i="48" s="1"/>
  <c r="AU31" i="48"/>
  <c r="AW31" i="48" s="1"/>
  <c r="AU148" i="48"/>
  <c r="AW148" i="48" s="1"/>
  <c r="AU137" i="48"/>
  <c r="AW137" i="48" s="1"/>
  <c r="AU94" i="48"/>
  <c r="AW94" i="48" s="1"/>
  <c r="AU104" i="48"/>
  <c r="AW104" i="48" s="1"/>
  <c r="AU120" i="48"/>
  <c r="AW120" i="48" s="1"/>
  <c r="AU119" i="48"/>
  <c r="AW119" i="48" s="1"/>
  <c r="AU56" i="48"/>
  <c r="AW56" i="48" s="1"/>
  <c r="AU14" i="48"/>
  <c r="AW14" i="48" s="1"/>
  <c r="AU39" i="48"/>
  <c r="AW39" i="48" s="1"/>
  <c r="AU57" i="48"/>
  <c r="AW57" i="48" s="1"/>
  <c r="AU78" i="48"/>
  <c r="AW78" i="48" s="1"/>
  <c r="AU42" i="48"/>
  <c r="AW42" i="48" s="1"/>
  <c r="AU46" i="48"/>
  <c r="AW46" i="48" s="1"/>
  <c r="AR30" i="48"/>
  <c r="AS30" i="48" s="1"/>
  <c r="AR150" i="48"/>
  <c r="AS150" i="48" s="1"/>
  <c r="AY130" i="48"/>
  <c r="BA130" i="48" s="1"/>
  <c r="BB130" i="48" s="1"/>
  <c r="AR131" i="48"/>
  <c r="AS131" i="48" s="1"/>
  <c r="AR67" i="48"/>
  <c r="AS67" i="48" s="1"/>
  <c r="AR144" i="48"/>
  <c r="AS144" i="48" s="1"/>
  <c r="AR51" i="48"/>
  <c r="AS51" i="48" s="1"/>
  <c r="AR73" i="48"/>
  <c r="AS73" i="48" s="1"/>
  <c r="AY12" i="48"/>
  <c r="BA12" i="48" s="1"/>
  <c r="BB12" i="48" s="1"/>
  <c r="AQ98" i="48"/>
  <c r="AQ68" i="48"/>
  <c r="AQ149" i="48"/>
  <c r="AQ99" i="48"/>
  <c r="AQ40" i="48"/>
  <c r="AQ74" i="48"/>
  <c r="AQ86" i="48"/>
  <c r="AQ72" i="48"/>
  <c r="AQ36" i="48"/>
  <c r="AQ61" i="48"/>
  <c r="AQ138" i="48"/>
  <c r="AQ126" i="48"/>
  <c r="AQ32" i="48"/>
  <c r="AQ129" i="48"/>
  <c r="AQ33" i="48"/>
  <c r="AQ75" i="48"/>
  <c r="AQ140" i="48"/>
  <c r="AQ45" i="48"/>
  <c r="AQ88" i="48"/>
  <c r="AQ58" i="48"/>
  <c r="AQ136" i="48"/>
  <c r="AQ112" i="48"/>
  <c r="AQ90" i="48"/>
  <c r="AQ85" i="48"/>
  <c r="AQ92" i="48"/>
  <c r="AQ116" i="48"/>
  <c r="AQ125" i="48"/>
  <c r="AQ64" i="48"/>
  <c r="AQ142" i="48"/>
  <c r="AQ102" i="48"/>
  <c r="AQ77" i="48"/>
  <c r="AQ100" i="48"/>
  <c r="AQ101" i="48"/>
  <c r="AQ69" i="48"/>
  <c r="AQ127" i="48"/>
  <c r="AQ35" i="48"/>
  <c r="AQ89" i="48"/>
  <c r="AQ124" i="48"/>
  <c r="AQ139" i="48"/>
  <c r="AQ53" i="48"/>
  <c r="AQ84" i="48"/>
  <c r="AQ59" i="48"/>
  <c r="AQ114" i="48"/>
  <c r="AQ63" i="48"/>
  <c r="AQ115" i="48"/>
  <c r="AQ66" i="48"/>
  <c r="AQ62" i="48"/>
  <c r="AQ37" i="48"/>
  <c r="AQ70" i="48"/>
  <c r="AQ128" i="48"/>
  <c r="AQ47" i="48"/>
  <c r="AQ60" i="48"/>
  <c r="AQ49" i="48"/>
  <c r="AQ113" i="48"/>
  <c r="AQ111" i="48"/>
  <c r="AQ65" i="48"/>
  <c r="AQ48" i="48"/>
  <c r="AQ79" i="48"/>
  <c r="AQ123" i="48"/>
  <c r="AQ103" i="48"/>
  <c r="AQ141" i="48"/>
  <c r="AQ38" i="48"/>
  <c r="AN50" i="48"/>
  <c r="AO50" i="48" s="1"/>
  <c r="AP50" i="48" s="1"/>
  <c r="AN87" i="48"/>
  <c r="AO87" i="48" s="1"/>
  <c r="AP87" i="48" s="1"/>
  <c r="AN110" i="48"/>
  <c r="AO110" i="48" s="1"/>
  <c r="AP110" i="48" s="1"/>
  <c r="AN76" i="48"/>
  <c r="AO76" i="48" s="1"/>
  <c r="AP76" i="48" s="1"/>
  <c r="AN118" i="48"/>
  <c r="AO118" i="48" s="1"/>
  <c r="AP118" i="48" s="1"/>
  <c r="AN105" i="48"/>
  <c r="AO105" i="48" s="1"/>
  <c r="AP105" i="48" s="1"/>
  <c r="AN97" i="48"/>
  <c r="AO97" i="48" s="1"/>
  <c r="AP97" i="48" s="1"/>
  <c r="U64" i="33"/>
  <c r="BU59" i="48"/>
  <c r="U66" i="33" s="1"/>
  <c r="BU58" i="48"/>
  <c r="U65" i="33" s="1"/>
  <c r="U63" i="33"/>
  <c r="BU61" i="48"/>
  <c r="U67" i="33"/>
  <c r="AN22" i="33"/>
  <c r="AV23" i="33"/>
  <c r="AV25" i="33"/>
  <c r="AV27" i="33"/>
  <c r="AT24" i="33"/>
  <c r="AN23" i="33"/>
  <c r="AN24" i="33"/>
  <c r="AT23" i="33"/>
  <c r="AV24" i="33"/>
  <c r="AN25" i="33"/>
  <c r="AO23" i="33"/>
  <c r="AK34" i="33"/>
  <c r="AL25" i="33"/>
  <c r="AT25" i="33"/>
  <c r="AO25" i="33"/>
  <c r="AV22" i="33"/>
  <c r="AL22" i="33"/>
  <c r="AN27" i="33"/>
  <c r="AO24" i="33"/>
  <c r="AL27" i="33"/>
  <c r="AT27" i="33"/>
  <c r="AN34" i="48" l="1"/>
  <c r="AO34" i="48" s="1"/>
  <c r="AP34" i="48" s="1"/>
  <c r="AP151" i="48" s="1"/>
  <c r="AQ7" i="48"/>
  <c r="AR7" i="48" s="1"/>
  <c r="AX93" i="48"/>
  <c r="AX122" i="48"/>
  <c r="AX80" i="48"/>
  <c r="AX14" i="48"/>
  <c r="AX31" i="48"/>
  <c r="AX81" i="48"/>
  <c r="AX41" i="48"/>
  <c r="AX107" i="48"/>
  <c r="AX109" i="48"/>
  <c r="AX95" i="48"/>
  <c r="AX145" i="48"/>
  <c r="AX39" i="48"/>
  <c r="AX56" i="48"/>
  <c r="AX55" i="48"/>
  <c r="AX137" i="48"/>
  <c r="AX96" i="48"/>
  <c r="AX148" i="48"/>
  <c r="AX119" i="48"/>
  <c r="AX54" i="48"/>
  <c r="AX82" i="48"/>
  <c r="AX108" i="48"/>
  <c r="AX44" i="48"/>
  <c r="AX135" i="48"/>
  <c r="AX57" i="48"/>
  <c r="AX120" i="48"/>
  <c r="AX117" i="48"/>
  <c r="AX42" i="48"/>
  <c r="AX104" i="48"/>
  <c r="AX91" i="48"/>
  <c r="AX106" i="48"/>
  <c r="AX52" i="48"/>
  <c r="AX28" i="48"/>
  <c r="AX43" i="48"/>
  <c r="AX8" i="48"/>
  <c r="AX46" i="48"/>
  <c r="AX29" i="48"/>
  <c r="AX78" i="48"/>
  <c r="AX94" i="48"/>
  <c r="AX143" i="48"/>
  <c r="AX83" i="48"/>
  <c r="AX121" i="48"/>
  <c r="AV147" i="48"/>
  <c r="AV133" i="48"/>
  <c r="AV132" i="48"/>
  <c r="AV146" i="48"/>
  <c r="AT73" i="48"/>
  <c r="AT131" i="48"/>
  <c r="AT144" i="48"/>
  <c r="AT30" i="48"/>
  <c r="AV134" i="48"/>
  <c r="AU51" i="48"/>
  <c r="AW51" i="48" s="1"/>
  <c r="AT51" i="48"/>
  <c r="AU67" i="48"/>
  <c r="AW67" i="48" s="1"/>
  <c r="AT67" i="48"/>
  <c r="AU150" i="48"/>
  <c r="AW150" i="48" s="1"/>
  <c r="AT150" i="48"/>
  <c r="BC11" i="48"/>
  <c r="BE11" i="48" s="1"/>
  <c r="BF11" i="48" s="1"/>
  <c r="BB11" i="48"/>
  <c r="AY41" i="48"/>
  <c r="BA41" i="48" s="1"/>
  <c r="BB41" i="48" s="1"/>
  <c r="AW132" i="48"/>
  <c r="AW134" i="48"/>
  <c r="AW133" i="48"/>
  <c r="AW146" i="48"/>
  <c r="AW147" i="48"/>
  <c r="BG9" i="48"/>
  <c r="BI9" i="48" s="1"/>
  <c r="BJ9" i="48" s="1"/>
  <c r="AQ163" i="48"/>
  <c r="AQ164" i="48" s="1"/>
  <c r="BG10" i="48"/>
  <c r="BI10" i="48" s="1"/>
  <c r="BJ10" i="48" s="1"/>
  <c r="AY83" i="48"/>
  <c r="BA83" i="48" s="1"/>
  <c r="BB83" i="48" s="1"/>
  <c r="AY28" i="48"/>
  <c r="BA28" i="48" s="1"/>
  <c r="BB28" i="48" s="1"/>
  <c r="AN152" i="48"/>
  <c r="AO152" i="48" s="1"/>
  <c r="AP152" i="48" s="1"/>
  <c r="AY119" i="48"/>
  <c r="AY78" i="48"/>
  <c r="BA78" i="48" s="1"/>
  <c r="BB78" i="48" s="1"/>
  <c r="AY54" i="48"/>
  <c r="BA54" i="48" s="1"/>
  <c r="BB54" i="48" s="1"/>
  <c r="AU144" i="48"/>
  <c r="AW144" i="48" s="1"/>
  <c r="AY57" i="48"/>
  <c r="BA57" i="48" s="1"/>
  <c r="BB57" i="48" s="1"/>
  <c r="AY95" i="48"/>
  <c r="BA95" i="48" s="1"/>
  <c r="BB95" i="48" s="1"/>
  <c r="AU30" i="48"/>
  <c r="AW30" i="48" s="1"/>
  <c r="AY94" i="48"/>
  <c r="BA94" i="48" s="1"/>
  <c r="BB94" i="48" s="1"/>
  <c r="AU73" i="48"/>
  <c r="AW73" i="48" s="1"/>
  <c r="AU131" i="48"/>
  <c r="AW131" i="48" s="1"/>
  <c r="AY137" i="48"/>
  <c r="BA137" i="48" s="1"/>
  <c r="BB137" i="48" s="1"/>
  <c r="AY56" i="48"/>
  <c r="BA56" i="48" s="1"/>
  <c r="BB56" i="48" s="1"/>
  <c r="AR113" i="48"/>
  <c r="AS113" i="48" s="1"/>
  <c r="AR127" i="48"/>
  <c r="AS127" i="48" s="1"/>
  <c r="AR71" i="48"/>
  <c r="AS71" i="48" s="1"/>
  <c r="AR85" i="48"/>
  <c r="AS85" i="48" s="1"/>
  <c r="AR61" i="48"/>
  <c r="AS61" i="48" s="1"/>
  <c r="AR74" i="48"/>
  <c r="AS74" i="48" s="1"/>
  <c r="AY107" i="48"/>
  <c r="BA107" i="48" s="1"/>
  <c r="BB107" i="48" s="1"/>
  <c r="AY109" i="48"/>
  <c r="BA109" i="48" s="1"/>
  <c r="BB109" i="48" s="1"/>
  <c r="AY43" i="48"/>
  <c r="BA43" i="48" s="1"/>
  <c r="BB43" i="48" s="1"/>
  <c r="AR141" i="48"/>
  <c r="AS141" i="48" s="1"/>
  <c r="AR47" i="48"/>
  <c r="AS47" i="48" s="1"/>
  <c r="AR62" i="48"/>
  <c r="AS62" i="48" s="1"/>
  <c r="AR59" i="48"/>
  <c r="AS59" i="48" s="1"/>
  <c r="AR124" i="48"/>
  <c r="AS124" i="48" s="1"/>
  <c r="AR102" i="48"/>
  <c r="AS102" i="48" s="1"/>
  <c r="AR58" i="48"/>
  <c r="AS58" i="48" s="1"/>
  <c r="AR129" i="48"/>
  <c r="AS129" i="48" s="1"/>
  <c r="AR40" i="48"/>
  <c r="AS40" i="48" s="1"/>
  <c r="BC12" i="48"/>
  <c r="BE12" i="48" s="1"/>
  <c r="BF12" i="48" s="1"/>
  <c r="AY8" i="48"/>
  <c r="BA8" i="48" s="1"/>
  <c r="BB8" i="48" s="1"/>
  <c r="AY135" i="48"/>
  <c r="BA135" i="48" s="1"/>
  <c r="BB135" i="48" s="1"/>
  <c r="AR48" i="48"/>
  <c r="AS48" i="48" s="1"/>
  <c r="AR49" i="48"/>
  <c r="AS49" i="48" s="1"/>
  <c r="AR66" i="48"/>
  <c r="AS66" i="48" s="1"/>
  <c r="AR69" i="48"/>
  <c r="AS69" i="48" s="1"/>
  <c r="AR125" i="48"/>
  <c r="AS125" i="48" s="1"/>
  <c r="AR90" i="48"/>
  <c r="AS90" i="48" s="1"/>
  <c r="AR99" i="48"/>
  <c r="AS99" i="48" s="1"/>
  <c r="AY44" i="48"/>
  <c r="BA44" i="48" s="1"/>
  <c r="BB44" i="48" s="1"/>
  <c r="AY46" i="48"/>
  <c r="BA46" i="48" s="1"/>
  <c r="BB46" i="48" s="1"/>
  <c r="AY39" i="48"/>
  <c r="BA39" i="48" s="1"/>
  <c r="BB39" i="48" s="1"/>
  <c r="AY120" i="48"/>
  <c r="AY148" i="48"/>
  <c r="BA148" i="48" s="1"/>
  <c r="BB148" i="48" s="1"/>
  <c r="AY29" i="48"/>
  <c r="BA29" i="48" s="1"/>
  <c r="BB29" i="48" s="1"/>
  <c r="AY80" i="48"/>
  <c r="BA80" i="48" s="1"/>
  <c r="BB80" i="48" s="1"/>
  <c r="AY117" i="48"/>
  <c r="BA117" i="48" s="1"/>
  <c r="BB117" i="48" s="1"/>
  <c r="AY93" i="48"/>
  <c r="BA93" i="48" s="1"/>
  <c r="BB93" i="48" s="1"/>
  <c r="AR103" i="48"/>
  <c r="AS103" i="48" s="1"/>
  <c r="AR60" i="48"/>
  <c r="AS60" i="48" s="1"/>
  <c r="AR128" i="48"/>
  <c r="AS128" i="48" s="1"/>
  <c r="AR84" i="48"/>
  <c r="AS84" i="48" s="1"/>
  <c r="AR89" i="48"/>
  <c r="AS89" i="48" s="1"/>
  <c r="AR101" i="48"/>
  <c r="AS101" i="48" s="1"/>
  <c r="AR142" i="48"/>
  <c r="AS142" i="48" s="1"/>
  <c r="AR116" i="48"/>
  <c r="AS116" i="48" s="1"/>
  <c r="AR88" i="48"/>
  <c r="AS88" i="48" s="1"/>
  <c r="AR36" i="48"/>
  <c r="AS36" i="48" s="1"/>
  <c r="AY145" i="48"/>
  <c r="BA145" i="48" s="1"/>
  <c r="BB145" i="48" s="1"/>
  <c r="AR65" i="48"/>
  <c r="AS65" i="48" s="1"/>
  <c r="AR70" i="48"/>
  <c r="AS70" i="48" s="1"/>
  <c r="AR115" i="48"/>
  <c r="AS115" i="48" s="1"/>
  <c r="AR63" i="48"/>
  <c r="AS63" i="48" s="1"/>
  <c r="AR112" i="48"/>
  <c r="AS112" i="48" s="1"/>
  <c r="AR45" i="48"/>
  <c r="AS45" i="48" s="1"/>
  <c r="AR32" i="48"/>
  <c r="AS32" i="48" s="1"/>
  <c r="AR149" i="48"/>
  <c r="AS149" i="48" s="1"/>
  <c r="AY52" i="48"/>
  <c r="BA52" i="48" s="1"/>
  <c r="BB52" i="48" s="1"/>
  <c r="AY122" i="48"/>
  <c r="BA122" i="48" s="1"/>
  <c r="BB122" i="48" s="1"/>
  <c r="AY42" i="48"/>
  <c r="BA42" i="48" s="1"/>
  <c r="BB42" i="48" s="1"/>
  <c r="AY14" i="48"/>
  <c r="BA14" i="48" s="1"/>
  <c r="BB14" i="48" s="1"/>
  <c r="AY104" i="48"/>
  <c r="BA104" i="48" s="1"/>
  <c r="BB104" i="48" s="1"/>
  <c r="AY31" i="48"/>
  <c r="BA31" i="48" s="1"/>
  <c r="BB31" i="48" s="1"/>
  <c r="AY91" i="48"/>
  <c r="BA91" i="48" s="1"/>
  <c r="BB91" i="48" s="1"/>
  <c r="AY106" i="48"/>
  <c r="BA106" i="48" s="1"/>
  <c r="BB106" i="48" s="1"/>
  <c r="AR123" i="48"/>
  <c r="AS123" i="48" s="1"/>
  <c r="AR111" i="48"/>
  <c r="AS111" i="48" s="1"/>
  <c r="AR53" i="48"/>
  <c r="AS53" i="48" s="1"/>
  <c r="AR100" i="48"/>
  <c r="AS100" i="48" s="1"/>
  <c r="AR92" i="48"/>
  <c r="AS92" i="48" s="1"/>
  <c r="AR72" i="48"/>
  <c r="AS72" i="48" s="1"/>
  <c r="AR98" i="48"/>
  <c r="AS98" i="48" s="1"/>
  <c r="AY82" i="48"/>
  <c r="BA82" i="48" s="1"/>
  <c r="BB82" i="48" s="1"/>
  <c r="AR37" i="48"/>
  <c r="AS37" i="48" s="1"/>
  <c r="AR114" i="48"/>
  <c r="AS114" i="48" s="1"/>
  <c r="AR35" i="48"/>
  <c r="AS35" i="48" s="1"/>
  <c r="AR64" i="48"/>
  <c r="AS64" i="48" s="1"/>
  <c r="AR136" i="48"/>
  <c r="AS136" i="48" s="1"/>
  <c r="AR140" i="48"/>
  <c r="AS140" i="48" s="1"/>
  <c r="AR33" i="48"/>
  <c r="AS33" i="48" s="1"/>
  <c r="AR126" i="48"/>
  <c r="AS126" i="48" s="1"/>
  <c r="AR138" i="48"/>
  <c r="AS138" i="48" s="1"/>
  <c r="AR68" i="48"/>
  <c r="AS68" i="48" s="1"/>
  <c r="AY108" i="48"/>
  <c r="BC130" i="48"/>
  <c r="BE130" i="48" s="1"/>
  <c r="BF130" i="48" s="1"/>
  <c r="AY55" i="48"/>
  <c r="BA55" i="48" s="1"/>
  <c r="BB55" i="48" s="1"/>
  <c r="AY143" i="48"/>
  <c r="BA143" i="48" s="1"/>
  <c r="BB143" i="48" s="1"/>
  <c r="AY81" i="48"/>
  <c r="BA81" i="48" s="1"/>
  <c r="BB81" i="48" s="1"/>
  <c r="AR38" i="48"/>
  <c r="AS38" i="48" s="1"/>
  <c r="AR79" i="48"/>
  <c r="AS79" i="48" s="1"/>
  <c r="AR139" i="48"/>
  <c r="AS139" i="48" s="1"/>
  <c r="AR77" i="48"/>
  <c r="AS77" i="48" s="1"/>
  <c r="AR75" i="48"/>
  <c r="AS75" i="48" s="1"/>
  <c r="AR86" i="48"/>
  <c r="AS86" i="48" s="1"/>
  <c r="AY121" i="48"/>
  <c r="AY96" i="48"/>
  <c r="BA96" i="48" s="1"/>
  <c r="BB96" i="48" s="1"/>
  <c r="AQ118" i="48"/>
  <c r="AQ76" i="48"/>
  <c r="AQ97" i="48"/>
  <c r="AQ110" i="48"/>
  <c r="AQ87" i="48"/>
  <c r="AQ105" i="48"/>
  <c r="AQ50" i="48"/>
  <c r="BU62" i="48"/>
  <c r="U68" i="33"/>
  <c r="AW23" i="33"/>
  <c r="AW24" i="33"/>
  <c r="AW25" i="33"/>
  <c r="AO27" i="33"/>
  <c r="AW27" i="33"/>
  <c r="AW22" i="33"/>
  <c r="AO22" i="33"/>
  <c r="AQ34" i="48" l="1"/>
  <c r="AQ151" i="48" s="1"/>
  <c r="AN151" i="48"/>
  <c r="AO151" i="48" s="1"/>
  <c r="AS7" i="48"/>
  <c r="AZ108" i="48"/>
  <c r="AZ121" i="48"/>
  <c r="AZ120" i="48"/>
  <c r="AX30" i="48"/>
  <c r="AX132" i="48"/>
  <c r="AX51" i="48"/>
  <c r="AX144" i="48"/>
  <c r="AX147" i="48"/>
  <c r="AX131" i="48"/>
  <c r="AX146" i="48"/>
  <c r="AX150" i="48"/>
  <c r="AX73" i="48"/>
  <c r="AZ119" i="48"/>
  <c r="AX133" i="48"/>
  <c r="AX67" i="48"/>
  <c r="AV151" i="48"/>
  <c r="AT124" i="48"/>
  <c r="AT66" i="48"/>
  <c r="AT40" i="48"/>
  <c r="AT126" i="48"/>
  <c r="AT92" i="48"/>
  <c r="AT101" i="48"/>
  <c r="AT60" i="48"/>
  <c r="AT127" i="48"/>
  <c r="AT75" i="48"/>
  <c r="AT62" i="48"/>
  <c r="AT33" i="48"/>
  <c r="AT37" i="48"/>
  <c r="AT32" i="48"/>
  <c r="AT112" i="48"/>
  <c r="AT65" i="48"/>
  <c r="AT86" i="48"/>
  <c r="AT77" i="48"/>
  <c r="AT72" i="48"/>
  <c r="AT100" i="48"/>
  <c r="AT69" i="48"/>
  <c r="AT129" i="48"/>
  <c r="AT102" i="48"/>
  <c r="AT59" i="48"/>
  <c r="AT141" i="48"/>
  <c r="AT139" i="48"/>
  <c r="AT53" i="48"/>
  <c r="AT99" i="48"/>
  <c r="AT88" i="48"/>
  <c r="AT142" i="48"/>
  <c r="AT128" i="48"/>
  <c r="AT103" i="48"/>
  <c r="AT61" i="48"/>
  <c r="AT71" i="48"/>
  <c r="AT58" i="48"/>
  <c r="AT68" i="48"/>
  <c r="AT64" i="48"/>
  <c r="AT149" i="48"/>
  <c r="AT45" i="48"/>
  <c r="AT70" i="48"/>
  <c r="AT7" i="48"/>
  <c r="BG11" i="48"/>
  <c r="BI11" i="48" s="1"/>
  <c r="BJ11" i="48" s="1"/>
  <c r="AU63" i="48"/>
  <c r="AW63" i="48" s="1"/>
  <c r="AT63" i="48"/>
  <c r="AU74" i="48"/>
  <c r="AW74" i="48" s="1"/>
  <c r="AT74" i="48"/>
  <c r="AU38" i="48"/>
  <c r="AW38" i="48" s="1"/>
  <c r="AT38" i="48"/>
  <c r="AU35" i="48"/>
  <c r="AW35" i="48" s="1"/>
  <c r="AT35" i="48"/>
  <c r="AU98" i="48"/>
  <c r="AW98" i="48" s="1"/>
  <c r="AT98" i="48"/>
  <c r="AU116" i="48"/>
  <c r="AW116" i="48" s="1"/>
  <c r="AT116" i="48"/>
  <c r="AU125" i="48"/>
  <c r="AW125" i="48" s="1"/>
  <c r="AT125" i="48"/>
  <c r="AU138" i="48"/>
  <c r="AW138" i="48" s="1"/>
  <c r="AT138" i="48"/>
  <c r="AS164" i="48"/>
  <c r="AT115" i="48"/>
  <c r="AU136" i="48"/>
  <c r="AW136" i="48" s="1"/>
  <c r="AT136" i="48"/>
  <c r="AU36" i="48"/>
  <c r="AW36" i="48" s="1"/>
  <c r="AT36" i="48"/>
  <c r="BC41" i="48"/>
  <c r="BE41" i="48" s="1"/>
  <c r="BF41" i="48" s="1"/>
  <c r="AU90" i="48"/>
  <c r="AW90" i="48" s="1"/>
  <c r="AT90" i="48"/>
  <c r="AU140" i="48"/>
  <c r="AW140" i="48" s="1"/>
  <c r="AT140" i="48"/>
  <c r="AU89" i="48"/>
  <c r="AW89" i="48" s="1"/>
  <c r="AT89" i="48"/>
  <c r="AU49" i="48"/>
  <c r="AW49" i="48" s="1"/>
  <c r="AT49" i="48"/>
  <c r="AU84" i="48"/>
  <c r="AW84" i="48" s="1"/>
  <c r="AT84" i="48"/>
  <c r="AU79" i="48"/>
  <c r="AW79" i="48" s="1"/>
  <c r="AT79" i="48"/>
  <c r="AU47" i="48"/>
  <c r="AW47" i="48" s="1"/>
  <c r="AT47" i="48"/>
  <c r="AU48" i="48"/>
  <c r="AW48" i="48" s="1"/>
  <c r="AT48" i="48"/>
  <c r="AU113" i="48"/>
  <c r="AW113" i="48" s="1"/>
  <c r="AT113" i="48"/>
  <c r="AU114" i="48"/>
  <c r="AW114" i="48" s="1"/>
  <c r="AT114" i="48"/>
  <c r="AU111" i="48"/>
  <c r="AW111" i="48" s="1"/>
  <c r="AT111" i="48"/>
  <c r="AU123" i="48"/>
  <c r="AW123" i="48" s="1"/>
  <c r="AT123" i="48"/>
  <c r="AU85" i="48"/>
  <c r="AW85" i="48" s="1"/>
  <c r="AT85" i="48"/>
  <c r="AY134" i="48"/>
  <c r="BA134" i="48" s="1"/>
  <c r="BB134" i="48" s="1"/>
  <c r="AX134" i="48"/>
  <c r="AY132" i="48"/>
  <c r="BA132" i="48" s="1"/>
  <c r="BB132" i="48" s="1"/>
  <c r="BC28" i="48"/>
  <c r="BE28" i="48" s="1"/>
  <c r="BF28" i="48" s="1"/>
  <c r="BA120" i="48"/>
  <c r="BB120" i="48" s="1"/>
  <c r="BA108" i="48"/>
  <c r="BB108" i="48" s="1"/>
  <c r="BA121" i="48"/>
  <c r="BB121" i="48" s="1"/>
  <c r="BA119" i="48"/>
  <c r="BB119" i="48" s="1"/>
  <c r="AY147" i="48"/>
  <c r="BA147" i="48" s="1"/>
  <c r="BB147" i="48" s="1"/>
  <c r="AY133" i="48"/>
  <c r="BA133" i="48" s="1"/>
  <c r="BB133" i="48" s="1"/>
  <c r="AY146" i="48"/>
  <c r="BA146" i="48" s="1"/>
  <c r="BK10" i="48"/>
  <c r="BM10" i="48" s="1"/>
  <c r="BK9" i="48"/>
  <c r="BM9" i="48" s="1"/>
  <c r="BC83" i="48"/>
  <c r="BD83" i="48" s="1"/>
  <c r="BG130" i="48"/>
  <c r="BI130" i="48" s="1"/>
  <c r="BJ130" i="48" s="1"/>
  <c r="BG12" i="48"/>
  <c r="BI12" i="48" s="1"/>
  <c r="BJ12" i="48" s="1"/>
  <c r="AU115" i="48"/>
  <c r="AW115" i="48" s="1"/>
  <c r="AW154" i="48"/>
  <c r="BA153" i="48"/>
  <c r="AU128" i="48"/>
  <c r="AW128" i="48" s="1"/>
  <c r="AU112" i="48"/>
  <c r="AW112" i="48" s="1"/>
  <c r="AU68" i="48"/>
  <c r="AW68" i="48" s="1"/>
  <c r="AU77" i="48"/>
  <c r="AW77" i="48" s="1"/>
  <c r="AU124" i="48"/>
  <c r="AW124" i="48" s="1"/>
  <c r="AU126" i="48"/>
  <c r="AW126" i="48" s="1"/>
  <c r="AU103" i="48"/>
  <c r="AW103" i="48" s="1"/>
  <c r="AU69" i="48"/>
  <c r="AW69" i="48" s="1"/>
  <c r="BC135" i="48"/>
  <c r="BE135" i="48" s="1"/>
  <c r="BF135" i="48" s="1"/>
  <c r="BC109" i="48"/>
  <c r="BE109" i="48" s="1"/>
  <c r="BF109" i="48" s="1"/>
  <c r="BC56" i="48"/>
  <c r="BE56" i="48" s="1"/>
  <c r="BF56" i="48" s="1"/>
  <c r="BC54" i="48"/>
  <c r="BE54" i="48" s="1"/>
  <c r="BF54" i="48" s="1"/>
  <c r="AU139" i="48"/>
  <c r="AW139" i="48" s="1"/>
  <c r="AU92" i="48"/>
  <c r="AW92" i="48" s="1"/>
  <c r="BC29" i="48"/>
  <c r="BE29" i="48" s="1"/>
  <c r="BF29" i="48" s="1"/>
  <c r="AU141" i="48"/>
  <c r="AW141" i="48" s="1"/>
  <c r="BC137" i="48"/>
  <c r="BE137" i="48" s="1"/>
  <c r="BF137" i="48" s="1"/>
  <c r="BC78" i="48"/>
  <c r="BE78" i="48" s="1"/>
  <c r="BF78" i="48" s="1"/>
  <c r="BC31" i="48"/>
  <c r="BE31" i="48" s="1"/>
  <c r="BF31" i="48" s="1"/>
  <c r="AU32" i="48"/>
  <c r="AW32" i="48" s="1"/>
  <c r="BC145" i="48"/>
  <c r="BE145" i="48" s="1"/>
  <c r="BF145" i="48" s="1"/>
  <c r="AU129" i="48"/>
  <c r="AW129" i="48" s="1"/>
  <c r="AY131" i="48"/>
  <c r="BA131" i="48" s="1"/>
  <c r="BB131" i="48" s="1"/>
  <c r="AU53" i="48"/>
  <c r="AW53" i="48" s="1"/>
  <c r="BC104" i="48"/>
  <c r="BE104" i="48" s="1"/>
  <c r="BF104" i="48" s="1"/>
  <c r="AU101" i="48"/>
  <c r="AW101" i="48" s="1"/>
  <c r="AU60" i="48"/>
  <c r="AW60" i="48" s="1"/>
  <c r="AU61" i="48"/>
  <c r="AW61" i="48" s="1"/>
  <c r="AU75" i="48"/>
  <c r="AW75" i="48" s="1"/>
  <c r="AU33" i="48"/>
  <c r="AW33" i="48" s="1"/>
  <c r="AU72" i="48"/>
  <c r="AW72" i="48" s="1"/>
  <c r="BC14" i="48"/>
  <c r="BE14" i="48" s="1"/>
  <c r="BF14" i="48" s="1"/>
  <c r="AU88" i="48"/>
  <c r="AW88" i="48" s="1"/>
  <c r="AU102" i="48"/>
  <c r="AW102" i="48" s="1"/>
  <c r="BC107" i="48"/>
  <c r="BD107" i="48" s="1"/>
  <c r="AU127" i="48"/>
  <c r="AW127" i="48" s="1"/>
  <c r="BC95" i="48"/>
  <c r="BD95" i="48" s="1"/>
  <c r="AU64" i="48"/>
  <c r="AW64" i="48" s="1"/>
  <c r="BC42" i="48"/>
  <c r="BE42" i="48" s="1"/>
  <c r="BF42" i="48" s="1"/>
  <c r="AU149" i="48"/>
  <c r="AW149" i="48" s="1"/>
  <c r="BC93" i="48"/>
  <c r="BE93" i="48" s="1"/>
  <c r="BF93" i="48" s="1"/>
  <c r="BC39" i="48"/>
  <c r="BE39" i="48" s="1"/>
  <c r="BF39" i="48" s="1"/>
  <c r="BC57" i="48"/>
  <c r="BE57" i="48" s="1"/>
  <c r="BF57" i="48" s="1"/>
  <c r="BC143" i="48"/>
  <c r="BE143" i="48" s="1"/>
  <c r="BF143" i="48" s="1"/>
  <c r="AU100" i="48"/>
  <c r="AW100" i="48" s="1"/>
  <c r="BC106" i="48"/>
  <c r="BE106" i="48" s="1"/>
  <c r="BF106" i="48" s="1"/>
  <c r="AU142" i="48"/>
  <c r="AW142" i="48" s="1"/>
  <c r="BC117" i="48"/>
  <c r="BE117" i="48" s="1"/>
  <c r="BF117" i="48" s="1"/>
  <c r="AU40" i="48"/>
  <c r="AW40" i="48" s="1"/>
  <c r="AU62" i="48"/>
  <c r="AW62" i="48" s="1"/>
  <c r="BC96" i="48"/>
  <c r="BD96" i="48" s="1"/>
  <c r="AU86" i="48"/>
  <c r="AW86" i="48" s="1"/>
  <c r="BC55" i="48"/>
  <c r="BE55" i="48" s="1"/>
  <c r="BF55" i="48" s="1"/>
  <c r="AU37" i="48"/>
  <c r="AW37" i="48" s="1"/>
  <c r="BC122" i="48"/>
  <c r="BE122" i="48" s="1"/>
  <c r="BF122" i="48" s="1"/>
  <c r="AU45" i="48"/>
  <c r="AW45" i="48" s="1"/>
  <c r="AU70" i="48"/>
  <c r="AW70" i="48" s="1"/>
  <c r="AU99" i="48"/>
  <c r="AW99" i="48" s="1"/>
  <c r="AU58" i="48"/>
  <c r="AW58" i="48" s="1"/>
  <c r="AR105" i="48"/>
  <c r="AS105" i="48" s="1"/>
  <c r="AR97" i="48"/>
  <c r="AS97" i="48" s="1"/>
  <c r="BC81" i="48"/>
  <c r="BE81" i="48" s="1"/>
  <c r="BF81" i="48" s="1"/>
  <c r="BC46" i="48"/>
  <c r="BE46" i="48" s="1"/>
  <c r="BF46" i="48" s="1"/>
  <c r="AU66" i="48"/>
  <c r="AW66" i="48" s="1"/>
  <c r="BC43" i="48"/>
  <c r="BE43" i="48" s="1"/>
  <c r="BF43" i="48" s="1"/>
  <c r="AU71" i="48"/>
  <c r="AW71" i="48" s="1"/>
  <c r="BC82" i="48"/>
  <c r="BD82" i="48" s="1"/>
  <c r="BC52" i="48"/>
  <c r="BE52" i="48" s="1"/>
  <c r="BF52" i="48" s="1"/>
  <c r="AU65" i="48"/>
  <c r="AW65" i="48" s="1"/>
  <c r="BC148" i="48"/>
  <c r="BE148" i="48" s="1"/>
  <c r="BF148" i="48" s="1"/>
  <c r="AY73" i="48"/>
  <c r="BA73" i="48" s="1"/>
  <c r="BB73" i="48" s="1"/>
  <c r="AY144" i="48"/>
  <c r="BA144" i="48" s="1"/>
  <c r="BB144" i="48" s="1"/>
  <c r="AR76" i="48"/>
  <c r="AS76" i="48" s="1"/>
  <c r="AY67" i="48"/>
  <c r="BA67" i="48" s="1"/>
  <c r="BB67" i="48" s="1"/>
  <c r="BC91" i="48"/>
  <c r="BE91" i="48" s="1"/>
  <c r="BF91" i="48" s="1"/>
  <c r="BC8" i="48"/>
  <c r="BE8" i="48" s="1"/>
  <c r="BF8" i="48" s="1"/>
  <c r="AU59" i="48"/>
  <c r="AW59" i="48" s="1"/>
  <c r="BC94" i="48"/>
  <c r="BE94" i="48" s="1"/>
  <c r="BF94" i="48" s="1"/>
  <c r="AY30" i="48"/>
  <c r="BA30" i="48" s="1"/>
  <c r="BB30" i="48" s="1"/>
  <c r="AR87" i="48"/>
  <c r="AS87" i="48" s="1"/>
  <c r="AR110" i="48"/>
  <c r="AS110" i="48" s="1"/>
  <c r="AR50" i="48"/>
  <c r="AS50" i="48" s="1"/>
  <c r="AR118" i="48"/>
  <c r="AS118" i="48" s="1"/>
  <c r="AY150" i="48"/>
  <c r="BA150" i="48" s="1"/>
  <c r="BB150" i="48" s="1"/>
  <c r="BC80" i="48"/>
  <c r="BE80" i="48" s="1"/>
  <c r="BF80" i="48" s="1"/>
  <c r="BC44" i="48"/>
  <c r="BE44" i="48" s="1"/>
  <c r="BF44" i="48" s="1"/>
  <c r="AY51" i="48"/>
  <c r="BA51" i="48" s="1"/>
  <c r="BB51" i="48" s="1"/>
  <c r="BU63" i="48"/>
  <c r="U69" i="33"/>
  <c r="AR34" i="48" l="1"/>
  <c r="AS34" i="48" s="1"/>
  <c r="AT34" i="48" s="1"/>
  <c r="O17" i="33"/>
  <c r="BP10" i="48"/>
  <c r="BO10" i="48"/>
  <c r="BN10" i="48"/>
  <c r="O16" i="33"/>
  <c r="BP9" i="48"/>
  <c r="BO9" i="48"/>
  <c r="BN9" i="48"/>
  <c r="AX45" i="48"/>
  <c r="AX69" i="48"/>
  <c r="AX36" i="48"/>
  <c r="AX125" i="48"/>
  <c r="AX38" i="48"/>
  <c r="AX123" i="48"/>
  <c r="AX59" i="48"/>
  <c r="AX142" i="48"/>
  <c r="AX72" i="48"/>
  <c r="AX103" i="48"/>
  <c r="AX128" i="48"/>
  <c r="AX115" i="48"/>
  <c r="AX111" i="48"/>
  <c r="AX47" i="48"/>
  <c r="AX89" i="48"/>
  <c r="AX40" i="48"/>
  <c r="AX48" i="48"/>
  <c r="AX65" i="48"/>
  <c r="AX37" i="48"/>
  <c r="AX64" i="48"/>
  <c r="AX33" i="48"/>
  <c r="AX129" i="48"/>
  <c r="AX92" i="48"/>
  <c r="AX126" i="48"/>
  <c r="AX136" i="48"/>
  <c r="AX116" i="48"/>
  <c r="AX74" i="48"/>
  <c r="AX66" i="48"/>
  <c r="AX100" i="48"/>
  <c r="AX75" i="48"/>
  <c r="AX139" i="48"/>
  <c r="AX124" i="48"/>
  <c r="AX114" i="48"/>
  <c r="AX79" i="48"/>
  <c r="AX140" i="48"/>
  <c r="AX70" i="48"/>
  <c r="AX149" i="48"/>
  <c r="AX86" i="48"/>
  <c r="AX127" i="48"/>
  <c r="AX61" i="48"/>
  <c r="AX32" i="48"/>
  <c r="AX77" i="48"/>
  <c r="AX98" i="48"/>
  <c r="AX63" i="48"/>
  <c r="AX141" i="48"/>
  <c r="AX71" i="48"/>
  <c r="AX58" i="48"/>
  <c r="AX60" i="48"/>
  <c r="AX68" i="48"/>
  <c r="AX85" i="48"/>
  <c r="AX113" i="48"/>
  <c r="AX84" i="48"/>
  <c r="AX90" i="48"/>
  <c r="AX88" i="48"/>
  <c r="AX49" i="48"/>
  <c r="AX53" i="48"/>
  <c r="AX99" i="48"/>
  <c r="AX62" i="48"/>
  <c r="AX102" i="48"/>
  <c r="AX101" i="48"/>
  <c r="AX112" i="48"/>
  <c r="AX138" i="48"/>
  <c r="AX35" i="48"/>
  <c r="BG41" i="48"/>
  <c r="BI41" i="48" s="1"/>
  <c r="BJ41" i="48" s="1"/>
  <c r="BC134" i="48"/>
  <c r="BE134" i="48" s="1"/>
  <c r="BF134" i="48" s="1"/>
  <c r="AT97" i="48"/>
  <c r="AT118" i="48"/>
  <c r="AT76" i="48"/>
  <c r="AT110" i="48"/>
  <c r="BK11" i="48"/>
  <c r="BM11" i="48" s="1"/>
  <c r="AT105" i="48"/>
  <c r="AT50" i="48"/>
  <c r="AU87" i="48"/>
  <c r="AW87" i="48" s="1"/>
  <c r="AT87" i="48"/>
  <c r="BC132" i="48"/>
  <c r="BE132" i="48" s="1"/>
  <c r="BF132" i="48" s="1"/>
  <c r="BC120" i="48"/>
  <c r="BE120" i="48" s="1"/>
  <c r="BF120" i="48" s="1"/>
  <c r="BD151" i="48"/>
  <c r="BC146" i="48"/>
  <c r="BE146" i="48" s="1"/>
  <c r="BF146" i="48" s="1"/>
  <c r="BB146" i="48"/>
  <c r="BG28" i="48"/>
  <c r="BI28" i="48" s="1"/>
  <c r="BJ28" i="48" s="1"/>
  <c r="BC108" i="48"/>
  <c r="BE108" i="48" s="1"/>
  <c r="BE82" i="48"/>
  <c r="BF82" i="48" s="1"/>
  <c r="BE96" i="48"/>
  <c r="BF96" i="48" s="1"/>
  <c r="BE95" i="48"/>
  <c r="BF95" i="48" s="1"/>
  <c r="BE83" i="48"/>
  <c r="BF83" i="48" s="1"/>
  <c r="BE107" i="48"/>
  <c r="BF107" i="48" s="1"/>
  <c r="BC133" i="48"/>
  <c r="BE133" i="48" s="1"/>
  <c r="BF133" i="48" s="1"/>
  <c r="BC119" i="48"/>
  <c r="BE119" i="48" s="1"/>
  <c r="BF119" i="48" s="1"/>
  <c r="BC121" i="48"/>
  <c r="BE121" i="48" s="1"/>
  <c r="BF121" i="48" s="1"/>
  <c r="BC147" i="48"/>
  <c r="BE147" i="48" s="1"/>
  <c r="BF147" i="48" s="1"/>
  <c r="AY112" i="48"/>
  <c r="BA112" i="48" s="1"/>
  <c r="BB112" i="48" s="1"/>
  <c r="AY49" i="48"/>
  <c r="BA49" i="48" s="1"/>
  <c r="BB49" i="48" s="1"/>
  <c r="AY113" i="48"/>
  <c r="BA113" i="48" s="1"/>
  <c r="BB113" i="48" s="1"/>
  <c r="AY77" i="48"/>
  <c r="BA77" i="48" s="1"/>
  <c r="BB77" i="48" s="1"/>
  <c r="AY79" i="48"/>
  <c r="BA79" i="48" s="1"/>
  <c r="BB79" i="48" s="1"/>
  <c r="AY68" i="48"/>
  <c r="BA68" i="48" s="1"/>
  <c r="BB68" i="48" s="1"/>
  <c r="AY124" i="48"/>
  <c r="BA124" i="48" s="1"/>
  <c r="BB124" i="48" s="1"/>
  <c r="BK12" i="48"/>
  <c r="BM12" i="48" s="1"/>
  <c r="BK130" i="48"/>
  <c r="BM130" i="48" s="1"/>
  <c r="BG80" i="48"/>
  <c r="BI80" i="48" s="1"/>
  <c r="BJ80" i="48" s="1"/>
  <c r="BG94" i="48"/>
  <c r="BI94" i="48" s="1"/>
  <c r="BJ94" i="48" s="1"/>
  <c r="BG54" i="48"/>
  <c r="BH54" i="48" s="1"/>
  <c r="AW163" i="48"/>
  <c r="AW164" i="48" s="1"/>
  <c r="BG57" i="48"/>
  <c r="BI57" i="48" s="1"/>
  <c r="BJ57" i="48" s="1"/>
  <c r="BG91" i="48"/>
  <c r="BI91" i="48" s="1"/>
  <c r="BJ91" i="48" s="1"/>
  <c r="BG43" i="48"/>
  <c r="BI43" i="48" s="1"/>
  <c r="BJ43" i="48" s="1"/>
  <c r="BG55" i="48"/>
  <c r="BH55" i="48" s="1"/>
  <c r="BG39" i="48"/>
  <c r="BI39" i="48" s="1"/>
  <c r="BJ39" i="48" s="1"/>
  <c r="BG14" i="48"/>
  <c r="BI14" i="48" s="1"/>
  <c r="BJ14" i="48" s="1"/>
  <c r="BG56" i="48"/>
  <c r="BI56" i="48" s="1"/>
  <c r="BJ56" i="48" s="1"/>
  <c r="BG93" i="48"/>
  <c r="BI93" i="48" s="1"/>
  <c r="BJ93" i="48" s="1"/>
  <c r="BG109" i="48"/>
  <c r="BI109" i="48" s="1"/>
  <c r="BJ109" i="48" s="1"/>
  <c r="BG42" i="48"/>
  <c r="BI42" i="48" s="1"/>
  <c r="BJ42" i="48" s="1"/>
  <c r="BG31" i="48"/>
  <c r="BI31" i="48" s="1"/>
  <c r="BJ31" i="48" s="1"/>
  <c r="BG78" i="48"/>
  <c r="BI78" i="48" s="1"/>
  <c r="BJ78" i="48" s="1"/>
  <c r="BG81" i="48"/>
  <c r="BH81" i="48" s="1"/>
  <c r="BG117" i="48"/>
  <c r="BI117" i="48" s="1"/>
  <c r="BJ117" i="48" s="1"/>
  <c r="BG52" i="48"/>
  <c r="BI52" i="48" s="1"/>
  <c r="BJ52" i="48" s="1"/>
  <c r="BG46" i="48"/>
  <c r="BI46" i="48" s="1"/>
  <c r="BJ46" i="48" s="1"/>
  <c r="BG106" i="48"/>
  <c r="BI106" i="48" s="1"/>
  <c r="BJ106" i="48" s="1"/>
  <c r="BG104" i="48"/>
  <c r="BI104" i="48" s="1"/>
  <c r="BJ104" i="48" s="1"/>
  <c r="BG29" i="48"/>
  <c r="BI29" i="48" s="1"/>
  <c r="BJ29" i="48" s="1"/>
  <c r="BG44" i="48"/>
  <c r="BI44" i="48" s="1"/>
  <c r="BJ44" i="48" s="1"/>
  <c r="BG8" i="48"/>
  <c r="BI8" i="48" s="1"/>
  <c r="BJ8" i="48" s="1"/>
  <c r="BG122" i="48"/>
  <c r="BI122" i="48" s="1"/>
  <c r="BJ122" i="48" s="1"/>
  <c r="BG143" i="48"/>
  <c r="BI143" i="48" s="1"/>
  <c r="BJ143" i="48" s="1"/>
  <c r="BG145" i="48"/>
  <c r="BI145" i="48" s="1"/>
  <c r="BJ145" i="48" s="1"/>
  <c r="BG135" i="48"/>
  <c r="BI135" i="48" s="1"/>
  <c r="BJ135" i="48" s="1"/>
  <c r="BG137" i="48"/>
  <c r="BI137" i="48" s="1"/>
  <c r="BJ137" i="48" s="1"/>
  <c r="BG148" i="48"/>
  <c r="BI148" i="48" s="1"/>
  <c r="BJ148" i="48" s="1"/>
  <c r="AU118" i="48"/>
  <c r="AW118" i="48" s="1"/>
  <c r="AW153" i="48"/>
  <c r="AW156" i="48" s="1"/>
  <c r="AY128" i="48"/>
  <c r="BA128" i="48" s="1"/>
  <c r="BB128" i="48" s="1"/>
  <c r="AS154" i="48"/>
  <c r="AS156" i="48" s="1"/>
  <c r="AU76" i="48"/>
  <c r="AW76" i="48" s="1"/>
  <c r="AY75" i="48"/>
  <c r="BA75" i="48" s="1"/>
  <c r="BB75" i="48" s="1"/>
  <c r="AY61" i="48"/>
  <c r="BA61" i="48" s="1"/>
  <c r="BB61" i="48" s="1"/>
  <c r="AY32" i="48"/>
  <c r="BA32" i="48" s="1"/>
  <c r="BB32" i="48" s="1"/>
  <c r="AY99" i="48"/>
  <c r="BA99" i="48" s="1"/>
  <c r="BB99" i="48" s="1"/>
  <c r="AY142" i="48"/>
  <c r="BA142" i="48" s="1"/>
  <c r="BB142" i="48" s="1"/>
  <c r="AY127" i="48"/>
  <c r="BA127" i="48" s="1"/>
  <c r="BB127" i="48" s="1"/>
  <c r="AY60" i="48"/>
  <c r="BA60" i="48" s="1"/>
  <c r="BB60" i="48" s="1"/>
  <c r="AY139" i="48"/>
  <c r="BA139" i="48" s="1"/>
  <c r="BB139" i="48" s="1"/>
  <c r="AY59" i="48"/>
  <c r="BA59" i="48" s="1"/>
  <c r="BB59" i="48" s="1"/>
  <c r="AU34" i="48"/>
  <c r="AW34" i="48" s="1"/>
  <c r="AU105" i="48"/>
  <c r="AW105" i="48" s="1"/>
  <c r="AY70" i="48"/>
  <c r="BA70" i="48" s="1"/>
  <c r="BB70" i="48" s="1"/>
  <c r="BC131" i="48"/>
  <c r="BE131" i="48" s="1"/>
  <c r="BF131" i="48" s="1"/>
  <c r="BC51" i="48"/>
  <c r="BE51" i="48" s="1"/>
  <c r="BF51" i="48" s="1"/>
  <c r="AY45" i="48"/>
  <c r="BA45" i="48" s="1"/>
  <c r="BB45" i="48" s="1"/>
  <c r="AY62" i="48"/>
  <c r="BA62" i="48" s="1"/>
  <c r="BB62" i="48" s="1"/>
  <c r="AY149" i="48"/>
  <c r="BA149" i="48" s="1"/>
  <c r="BB149" i="48" s="1"/>
  <c r="AU50" i="48"/>
  <c r="AW50" i="48" s="1"/>
  <c r="AY40" i="48"/>
  <c r="BA40" i="48" s="1"/>
  <c r="BB40" i="48" s="1"/>
  <c r="AY72" i="48"/>
  <c r="BA72" i="48" s="1"/>
  <c r="BB72" i="48" s="1"/>
  <c r="AY65" i="48"/>
  <c r="BA65" i="48" s="1"/>
  <c r="BB65" i="48" s="1"/>
  <c r="AU97" i="48"/>
  <c r="AW97" i="48" s="1"/>
  <c r="AY102" i="48"/>
  <c r="BA102" i="48" s="1"/>
  <c r="BB102" i="48" s="1"/>
  <c r="AY53" i="48"/>
  <c r="BA53" i="48" s="1"/>
  <c r="BB53" i="48" s="1"/>
  <c r="AY141" i="48"/>
  <c r="BA141" i="48" s="1"/>
  <c r="BB141" i="48" s="1"/>
  <c r="AU110" i="48"/>
  <c r="AW110" i="48" s="1"/>
  <c r="AY37" i="48"/>
  <c r="BA37" i="48" s="1"/>
  <c r="BB37" i="48" s="1"/>
  <c r="AY64" i="48"/>
  <c r="BA64" i="48" s="1"/>
  <c r="BB64" i="48" s="1"/>
  <c r="AY116" i="48"/>
  <c r="BA116" i="48" s="1"/>
  <c r="BB116" i="48" s="1"/>
  <c r="AY89" i="48"/>
  <c r="BA89" i="48" s="1"/>
  <c r="BB89" i="48" s="1"/>
  <c r="AY136" i="48"/>
  <c r="BA136" i="48" s="1"/>
  <c r="BB136" i="48" s="1"/>
  <c r="AY48" i="48"/>
  <c r="BA48" i="48" s="1"/>
  <c r="BB48" i="48" s="1"/>
  <c r="AY114" i="48"/>
  <c r="BA114" i="48" s="1"/>
  <c r="BB114" i="48" s="1"/>
  <c r="BC150" i="48"/>
  <c r="BE150" i="48" s="1"/>
  <c r="BF150" i="48" s="1"/>
  <c r="AY125" i="48"/>
  <c r="BA125" i="48" s="1"/>
  <c r="BB125" i="48" s="1"/>
  <c r="BC67" i="48"/>
  <c r="BE67" i="48" s="1"/>
  <c r="BF67" i="48" s="1"/>
  <c r="AY98" i="48"/>
  <c r="BA98" i="48" s="1"/>
  <c r="BB98" i="48" s="1"/>
  <c r="AY85" i="48"/>
  <c r="BA85" i="48" s="1"/>
  <c r="BB85" i="48" s="1"/>
  <c r="AY84" i="48"/>
  <c r="BA84" i="48" s="1"/>
  <c r="BB84" i="48" s="1"/>
  <c r="AY71" i="48"/>
  <c r="BA71" i="48" s="1"/>
  <c r="BB71" i="48" s="1"/>
  <c r="AY69" i="48"/>
  <c r="BA69" i="48" s="1"/>
  <c r="BB69" i="48" s="1"/>
  <c r="AY74" i="48"/>
  <c r="BA74" i="48" s="1"/>
  <c r="BB74" i="48" s="1"/>
  <c r="AY123" i="48"/>
  <c r="BA123" i="48" s="1"/>
  <c r="BB123" i="48" s="1"/>
  <c r="AY36" i="48"/>
  <c r="BA36" i="48" s="1"/>
  <c r="BB36" i="48" s="1"/>
  <c r="AY90" i="48"/>
  <c r="BA90" i="48" s="1"/>
  <c r="BB90" i="48" s="1"/>
  <c r="AY111" i="48"/>
  <c r="BA111" i="48" s="1"/>
  <c r="BB111" i="48" s="1"/>
  <c r="AY35" i="48"/>
  <c r="BA35" i="48" s="1"/>
  <c r="BB35" i="48" s="1"/>
  <c r="AY115" i="48"/>
  <c r="AY66" i="48"/>
  <c r="BA66" i="48" s="1"/>
  <c r="BB66" i="48" s="1"/>
  <c r="AY58" i="48"/>
  <c r="BA58" i="48" s="1"/>
  <c r="BB58" i="48" s="1"/>
  <c r="AY86" i="48"/>
  <c r="BA86" i="48" s="1"/>
  <c r="BB86" i="48" s="1"/>
  <c r="AY100" i="48"/>
  <c r="BA100" i="48" s="1"/>
  <c r="BB100" i="48" s="1"/>
  <c r="AY88" i="48"/>
  <c r="BA88" i="48" s="1"/>
  <c r="BB88" i="48" s="1"/>
  <c r="AY33" i="48"/>
  <c r="BA33" i="48" s="1"/>
  <c r="BB33" i="48" s="1"/>
  <c r="AY101" i="48"/>
  <c r="BA101" i="48" s="1"/>
  <c r="BB101" i="48" s="1"/>
  <c r="AY129" i="48"/>
  <c r="BA129" i="48" s="1"/>
  <c r="BB129" i="48" s="1"/>
  <c r="AY92" i="48"/>
  <c r="BA92" i="48" s="1"/>
  <c r="BB92" i="48" s="1"/>
  <c r="AY103" i="48"/>
  <c r="BA103" i="48" s="1"/>
  <c r="BB103" i="48" s="1"/>
  <c r="AY140" i="48"/>
  <c r="BA140" i="48" s="1"/>
  <c r="BB140" i="48" s="1"/>
  <c r="AY63" i="48"/>
  <c r="BA63" i="48" s="1"/>
  <c r="BB63" i="48" s="1"/>
  <c r="AY47" i="48"/>
  <c r="BA47" i="48" s="1"/>
  <c r="BB47" i="48" s="1"/>
  <c r="AY138" i="48"/>
  <c r="BA138" i="48" s="1"/>
  <c r="BB138" i="48" s="1"/>
  <c r="BC30" i="48"/>
  <c r="BE30" i="48" s="1"/>
  <c r="BF30" i="48" s="1"/>
  <c r="BC144" i="48"/>
  <c r="BE144" i="48" s="1"/>
  <c r="BF144" i="48" s="1"/>
  <c r="AY126" i="48"/>
  <c r="BA126" i="48" s="1"/>
  <c r="BB126" i="48" s="1"/>
  <c r="AY38" i="48"/>
  <c r="BA38" i="48" s="1"/>
  <c r="BB38" i="48" s="1"/>
  <c r="BC73" i="48"/>
  <c r="BE73" i="48" s="1"/>
  <c r="BF73" i="48" s="1"/>
  <c r="AS151" i="48"/>
  <c r="AU7" i="48"/>
  <c r="BU64" i="48"/>
  <c r="U70" i="33"/>
  <c r="AR151" i="48" l="1"/>
  <c r="AU151" i="48"/>
  <c r="BQ9" i="48"/>
  <c r="BT9" i="48" s="1"/>
  <c r="BV9" i="48" s="1"/>
  <c r="BO12" i="48"/>
  <c r="BN12" i="48"/>
  <c r="O19" i="33"/>
  <c r="BP12" i="48"/>
  <c r="Q16" i="33"/>
  <c r="P16" i="33"/>
  <c r="AL16" i="33" s="1"/>
  <c r="AK16" i="33"/>
  <c r="AS16" i="33"/>
  <c r="AM17" i="33"/>
  <c r="AU17" i="33"/>
  <c r="BN11" i="48"/>
  <c r="O18" i="33"/>
  <c r="BP11" i="48"/>
  <c r="BO11" i="48"/>
  <c r="AU16" i="33"/>
  <c r="AM16" i="33"/>
  <c r="BQ10" i="48"/>
  <c r="O137" i="33"/>
  <c r="BP130" i="48"/>
  <c r="BO130" i="48"/>
  <c r="BN130" i="48"/>
  <c r="Q17" i="33"/>
  <c r="AK17" i="33"/>
  <c r="P17" i="33"/>
  <c r="AS17" i="33"/>
  <c r="AZ115" i="48"/>
  <c r="AZ151" i="48" s="1"/>
  <c r="AX34" i="48"/>
  <c r="AX76" i="48"/>
  <c r="AX87" i="48"/>
  <c r="AX110" i="48"/>
  <c r="AX118" i="48"/>
  <c r="AX97" i="48"/>
  <c r="AX50" i="48"/>
  <c r="AX105" i="48"/>
  <c r="BK41" i="48"/>
  <c r="BL41" i="48" s="1"/>
  <c r="BG120" i="48"/>
  <c r="BI120" i="48" s="1"/>
  <c r="BJ120" i="48" s="1"/>
  <c r="BG132" i="48"/>
  <c r="BI132" i="48" s="1"/>
  <c r="BJ132" i="48" s="1"/>
  <c r="BG146" i="48"/>
  <c r="BI146" i="48" s="1"/>
  <c r="BJ146" i="48" s="1"/>
  <c r="BG134" i="48"/>
  <c r="BI134" i="48" s="1"/>
  <c r="BJ134" i="48" s="1"/>
  <c r="AT151" i="48"/>
  <c r="BK28" i="48"/>
  <c r="BL28" i="48" s="1"/>
  <c r="BG108" i="48"/>
  <c r="BI108" i="48" s="1"/>
  <c r="BJ108" i="48" s="1"/>
  <c r="BF108" i="48"/>
  <c r="BG96" i="48"/>
  <c r="BI96" i="48" s="1"/>
  <c r="BG119" i="48"/>
  <c r="BI119" i="48" s="1"/>
  <c r="BJ119" i="48" s="1"/>
  <c r="BG147" i="48"/>
  <c r="BI147" i="48" s="1"/>
  <c r="BJ147" i="48" s="1"/>
  <c r="BG82" i="48"/>
  <c r="BI82" i="48" s="1"/>
  <c r="BJ82" i="48" s="1"/>
  <c r="BG95" i="48"/>
  <c r="BI95" i="48" s="1"/>
  <c r="BC112" i="48"/>
  <c r="BE112" i="48" s="1"/>
  <c r="BF112" i="48" s="1"/>
  <c r="BG121" i="48"/>
  <c r="BI121" i="48" s="1"/>
  <c r="BJ121" i="48" s="1"/>
  <c r="BG83" i="48"/>
  <c r="BI83" i="48" s="1"/>
  <c r="BJ83" i="48" s="1"/>
  <c r="BI54" i="48"/>
  <c r="BJ54" i="48" s="1"/>
  <c r="BI55" i="48"/>
  <c r="BJ55" i="48" s="1"/>
  <c r="BI81" i="48"/>
  <c r="BJ81" i="48" s="1"/>
  <c r="BG107" i="48"/>
  <c r="BI107" i="48" s="1"/>
  <c r="BJ107" i="48" s="1"/>
  <c r="BC77" i="48"/>
  <c r="BE77" i="48" s="1"/>
  <c r="BF77" i="48" s="1"/>
  <c r="BG133" i="48"/>
  <c r="BI133" i="48" s="1"/>
  <c r="BJ133" i="48" s="1"/>
  <c r="BC113" i="48"/>
  <c r="BE113" i="48" s="1"/>
  <c r="BF113" i="48" s="1"/>
  <c r="BC79" i="48"/>
  <c r="BE79" i="48" s="1"/>
  <c r="BF79" i="48" s="1"/>
  <c r="BC49" i="48"/>
  <c r="BE49" i="48" s="1"/>
  <c r="BF49" i="48" s="1"/>
  <c r="BA163" i="48"/>
  <c r="BC128" i="48"/>
  <c r="BE128" i="48" s="1"/>
  <c r="BF128" i="48" s="1"/>
  <c r="BC68" i="48"/>
  <c r="BE68" i="48" s="1"/>
  <c r="BF68" i="48" s="1"/>
  <c r="BC124" i="48"/>
  <c r="BE124" i="48" s="1"/>
  <c r="BF124" i="48" s="1"/>
  <c r="BA115" i="48"/>
  <c r="BB115" i="48" s="1"/>
  <c r="BK117" i="48"/>
  <c r="BM117" i="48" s="1"/>
  <c r="BK78" i="48"/>
  <c r="BM78" i="48" s="1"/>
  <c r="BK106" i="48"/>
  <c r="BM106" i="48" s="1"/>
  <c r="BK31" i="48"/>
  <c r="BM31" i="48" s="1"/>
  <c r="BK46" i="48"/>
  <c r="BM46" i="48" s="1"/>
  <c r="BK57" i="48"/>
  <c r="BM57" i="48" s="1"/>
  <c r="BK143" i="48"/>
  <c r="BM143" i="48" s="1"/>
  <c r="BK52" i="48"/>
  <c r="BM52" i="48" s="1"/>
  <c r="BK109" i="48"/>
  <c r="BM109" i="48" s="1"/>
  <c r="BK145" i="48"/>
  <c r="BM145" i="48" s="1"/>
  <c r="BK122" i="48"/>
  <c r="BM122" i="48" s="1"/>
  <c r="BK93" i="48"/>
  <c r="BM93" i="48" s="1"/>
  <c r="BK104" i="48"/>
  <c r="BM104" i="48" s="1"/>
  <c r="BK56" i="48"/>
  <c r="BM56" i="48" s="1"/>
  <c r="BK148" i="48"/>
  <c r="BM148" i="48" s="1"/>
  <c r="BK8" i="48"/>
  <c r="BM8" i="48" s="1"/>
  <c r="BK14" i="48"/>
  <c r="BM14" i="48" s="1"/>
  <c r="BK94" i="48"/>
  <c r="BM94" i="48" s="1"/>
  <c r="BK137" i="48"/>
  <c r="BM137" i="48" s="1"/>
  <c r="BK39" i="48"/>
  <c r="BM39" i="48" s="1"/>
  <c r="BK80" i="48"/>
  <c r="BM80" i="48" s="1"/>
  <c r="BK91" i="48"/>
  <c r="BM91" i="48" s="1"/>
  <c r="BK135" i="48"/>
  <c r="BM135" i="48" s="1"/>
  <c r="BK29" i="48"/>
  <c r="BM29" i="48" s="1"/>
  <c r="BK43" i="48"/>
  <c r="BL43" i="48" s="1"/>
  <c r="BK42" i="48"/>
  <c r="BL42" i="48" s="1"/>
  <c r="BK44" i="48"/>
  <c r="BL44" i="48" s="1"/>
  <c r="BG51" i="48"/>
  <c r="BI51" i="48" s="1"/>
  <c r="BJ51" i="48" s="1"/>
  <c r="BG131" i="48"/>
  <c r="BI131" i="48" s="1"/>
  <c r="BJ131" i="48" s="1"/>
  <c r="BG73" i="48"/>
  <c r="BI73" i="48" s="1"/>
  <c r="BJ73" i="48" s="1"/>
  <c r="BG30" i="48"/>
  <c r="BI30" i="48" s="1"/>
  <c r="BJ30" i="48" s="1"/>
  <c r="BG67" i="48"/>
  <c r="BI67" i="48" s="1"/>
  <c r="BJ67" i="48" s="1"/>
  <c r="BG144" i="48"/>
  <c r="BI144" i="48" s="1"/>
  <c r="BJ144" i="48" s="1"/>
  <c r="BG150" i="48"/>
  <c r="BI150" i="48" s="1"/>
  <c r="BJ150" i="48" s="1"/>
  <c r="AW158" i="48"/>
  <c r="AW159" i="48" s="1"/>
  <c r="AW7" i="48"/>
  <c r="BC103" i="48"/>
  <c r="BE103" i="48" s="1"/>
  <c r="BF103" i="48" s="1"/>
  <c r="BC84" i="48"/>
  <c r="BE84" i="48" s="1"/>
  <c r="BF84" i="48" s="1"/>
  <c r="BC136" i="48"/>
  <c r="BE136" i="48" s="1"/>
  <c r="BF136" i="48" s="1"/>
  <c r="BC64" i="48"/>
  <c r="BE64" i="48" s="1"/>
  <c r="BF64" i="48" s="1"/>
  <c r="BC102" i="48"/>
  <c r="BE102" i="48" s="1"/>
  <c r="BF102" i="48" s="1"/>
  <c r="BC59" i="48"/>
  <c r="BE59" i="48" s="1"/>
  <c r="BF59" i="48" s="1"/>
  <c r="BC98" i="48"/>
  <c r="BE98" i="48" s="1"/>
  <c r="BF98" i="48" s="1"/>
  <c r="BC37" i="48"/>
  <c r="BE37" i="48" s="1"/>
  <c r="BF37" i="48" s="1"/>
  <c r="BC63" i="48"/>
  <c r="BE63" i="48" s="1"/>
  <c r="BF63" i="48" s="1"/>
  <c r="BC140" i="48"/>
  <c r="BE140" i="48" s="1"/>
  <c r="BF140" i="48" s="1"/>
  <c r="BC123" i="48"/>
  <c r="BE123" i="48" s="1"/>
  <c r="BF123" i="48" s="1"/>
  <c r="BC149" i="48"/>
  <c r="BE149" i="48" s="1"/>
  <c r="BF149" i="48" s="1"/>
  <c r="BC139" i="48"/>
  <c r="BE139" i="48" s="1"/>
  <c r="BF139" i="48" s="1"/>
  <c r="BC32" i="48"/>
  <c r="BE32" i="48" s="1"/>
  <c r="BF32" i="48" s="1"/>
  <c r="BC129" i="48"/>
  <c r="BE129" i="48" s="1"/>
  <c r="BF129" i="48" s="1"/>
  <c r="BC74" i="48"/>
  <c r="BE74" i="48" s="1"/>
  <c r="BF74" i="48" s="1"/>
  <c r="BC65" i="48"/>
  <c r="BE65" i="48" s="1"/>
  <c r="BF65" i="48" s="1"/>
  <c r="BC62" i="48"/>
  <c r="BE62" i="48" s="1"/>
  <c r="BF62" i="48" s="1"/>
  <c r="BC126" i="48"/>
  <c r="BE126" i="48" s="1"/>
  <c r="BF126" i="48" s="1"/>
  <c r="BC138" i="48"/>
  <c r="BE138" i="48" s="1"/>
  <c r="BF138" i="48" s="1"/>
  <c r="BC45" i="48"/>
  <c r="BE45" i="48" s="1"/>
  <c r="BF45" i="48" s="1"/>
  <c r="BC47" i="48"/>
  <c r="BE47" i="48" s="1"/>
  <c r="BF47" i="48" s="1"/>
  <c r="BC58" i="48"/>
  <c r="BE58" i="48" s="1"/>
  <c r="BF58" i="48" s="1"/>
  <c r="BC35" i="48"/>
  <c r="BE35" i="48" s="1"/>
  <c r="BF35" i="48" s="1"/>
  <c r="BC141" i="48"/>
  <c r="BE141" i="48" s="1"/>
  <c r="BF141" i="48" s="1"/>
  <c r="BC75" i="48"/>
  <c r="BE75" i="48" s="1"/>
  <c r="BF75" i="48" s="1"/>
  <c r="BC33" i="48"/>
  <c r="BE33" i="48" s="1"/>
  <c r="BF33" i="48" s="1"/>
  <c r="BC111" i="48"/>
  <c r="BE111" i="48" s="1"/>
  <c r="BF111" i="48" s="1"/>
  <c r="BC114" i="48"/>
  <c r="BE114" i="48" s="1"/>
  <c r="BF114" i="48" s="1"/>
  <c r="BC116" i="48"/>
  <c r="BE116" i="48" s="1"/>
  <c r="BF116" i="48" s="1"/>
  <c r="AY34" i="48"/>
  <c r="BA34" i="48" s="1"/>
  <c r="BB34" i="48" s="1"/>
  <c r="BC90" i="48"/>
  <c r="BE90" i="48" s="1"/>
  <c r="BF90" i="48" s="1"/>
  <c r="BC125" i="48"/>
  <c r="BE125" i="48" s="1"/>
  <c r="BF125" i="48" s="1"/>
  <c r="BC142" i="48"/>
  <c r="BE142" i="48" s="1"/>
  <c r="BF142" i="48" s="1"/>
  <c r="BC66" i="48"/>
  <c r="BE66" i="48" s="1"/>
  <c r="BF66" i="48" s="1"/>
  <c r="AY87" i="48"/>
  <c r="BA87" i="48" s="1"/>
  <c r="BB87" i="48" s="1"/>
  <c r="BC101" i="48"/>
  <c r="BE101" i="48" s="1"/>
  <c r="BF101" i="48" s="1"/>
  <c r="BC86" i="48"/>
  <c r="BE86" i="48" s="1"/>
  <c r="BF86" i="48" s="1"/>
  <c r="BC36" i="48"/>
  <c r="BE36" i="48" s="1"/>
  <c r="BF36" i="48" s="1"/>
  <c r="BC69" i="48"/>
  <c r="BE69" i="48" s="1"/>
  <c r="BF69" i="48" s="1"/>
  <c r="BC85" i="48"/>
  <c r="BE85" i="48" s="1"/>
  <c r="BF85" i="48" s="1"/>
  <c r="BC48" i="48"/>
  <c r="BE48" i="48" s="1"/>
  <c r="BF48" i="48" s="1"/>
  <c r="BC53" i="48"/>
  <c r="BE53" i="48" s="1"/>
  <c r="BF53" i="48" s="1"/>
  <c r="BC72" i="48"/>
  <c r="BE72" i="48" s="1"/>
  <c r="BF72" i="48" s="1"/>
  <c r="BC60" i="48"/>
  <c r="BE60" i="48" s="1"/>
  <c r="BF60" i="48" s="1"/>
  <c r="BC71" i="48"/>
  <c r="BE71" i="48" s="1"/>
  <c r="BF71" i="48" s="1"/>
  <c r="BC40" i="48"/>
  <c r="BE40" i="48" s="1"/>
  <c r="BF40" i="48" s="1"/>
  <c r="BC70" i="48"/>
  <c r="BE70" i="48" s="1"/>
  <c r="BF70" i="48" s="1"/>
  <c r="BC127" i="48"/>
  <c r="BE127" i="48" s="1"/>
  <c r="BF127" i="48" s="1"/>
  <c r="BC61" i="48"/>
  <c r="BE61" i="48" s="1"/>
  <c r="BF61" i="48" s="1"/>
  <c r="BC38" i="48"/>
  <c r="BE38" i="48" s="1"/>
  <c r="BF38" i="48" s="1"/>
  <c r="AY110" i="48"/>
  <c r="BA110" i="48" s="1"/>
  <c r="BB110" i="48" s="1"/>
  <c r="AY97" i="48"/>
  <c r="BA97" i="48" s="1"/>
  <c r="BB97" i="48" s="1"/>
  <c r="AY50" i="48"/>
  <c r="BA50" i="48" s="1"/>
  <c r="BB50" i="48" s="1"/>
  <c r="AY105" i="48"/>
  <c r="BA105" i="48" s="1"/>
  <c r="BB105" i="48" s="1"/>
  <c r="BC92" i="48"/>
  <c r="BE92" i="48" s="1"/>
  <c r="BF92" i="48" s="1"/>
  <c r="BC88" i="48"/>
  <c r="BE88" i="48" s="1"/>
  <c r="BF88" i="48" s="1"/>
  <c r="BC89" i="48"/>
  <c r="BE89" i="48" s="1"/>
  <c r="BF89" i="48" s="1"/>
  <c r="BC100" i="48"/>
  <c r="BE100" i="48" s="1"/>
  <c r="BF100" i="48" s="1"/>
  <c r="BC99" i="48"/>
  <c r="BE99" i="48" s="1"/>
  <c r="BF99" i="48" s="1"/>
  <c r="AY76" i="48"/>
  <c r="BA76" i="48" s="1"/>
  <c r="BB76" i="48" s="1"/>
  <c r="AY118" i="48"/>
  <c r="BA118" i="48" s="1"/>
  <c r="BB118" i="48" s="1"/>
  <c r="BU65" i="48"/>
  <c r="U71" i="33"/>
  <c r="AT16" i="33" l="1"/>
  <c r="AN17" i="33"/>
  <c r="BR9" i="48"/>
  <c r="AN16" i="33"/>
  <c r="AV17" i="33"/>
  <c r="BX9" i="48"/>
  <c r="AV16" i="33"/>
  <c r="BQ130" i="48"/>
  <c r="BR130" i="48" s="1"/>
  <c r="BP46" i="48"/>
  <c r="BO46" i="48"/>
  <c r="O53" i="33"/>
  <c r="BN46" i="48"/>
  <c r="O144" i="33"/>
  <c r="BP137" i="48"/>
  <c r="BO137" i="48"/>
  <c r="BN137" i="48"/>
  <c r="O129" i="33"/>
  <c r="BN122" i="48"/>
  <c r="BP122" i="48"/>
  <c r="BO122" i="48"/>
  <c r="O113" i="33"/>
  <c r="BP106" i="48"/>
  <c r="BN106" i="48"/>
  <c r="BO106" i="48"/>
  <c r="BR10" i="48"/>
  <c r="BT10" i="48"/>
  <c r="O63" i="33"/>
  <c r="BP56" i="48"/>
  <c r="BO56" i="48"/>
  <c r="BN56" i="48"/>
  <c r="O87" i="33"/>
  <c r="BP80" i="48"/>
  <c r="BO80" i="48"/>
  <c r="BN80" i="48"/>
  <c r="BP94" i="48"/>
  <c r="BO94" i="48"/>
  <c r="BN94" i="48"/>
  <c r="O101" i="33"/>
  <c r="O152" i="33"/>
  <c r="BP145" i="48"/>
  <c r="BN145" i="48"/>
  <c r="BO145" i="48"/>
  <c r="BP78" i="48"/>
  <c r="BO78" i="48"/>
  <c r="O85" i="33"/>
  <c r="BN78" i="48"/>
  <c r="AT17" i="33"/>
  <c r="AL17" i="33"/>
  <c r="R17" i="33"/>
  <c r="BQ12" i="48"/>
  <c r="O98" i="33"/>
  <c r="BO91" i="48"/>
  <c r="BN91" i="48"/>
  <c r="BP91" i="48"/>
  <c r="O64" i="33"/>
  <c r="BP57" i="48"/>
  <c r="BN57" i="48"/>
  <c r="BO57" i="48"/>
  <c r="O111" i="33"/>
  <c r="BP104" i="48"/>
  <c r="BO104" i="48"/>
  <c r="BN104" i="48"/>
  <c r="BP135" i="48"/>
  <c r="BO135" i="48"/>
  <c r="O142" i="33"/>
  <c r="BN135" i="48"/>
  <c r="BO148" i="48"/>
  <c r="O155" i="33"/>
  <c r="BP148" i="48"/>
  <c r="BN148" i="48"/>
  <c r="BP143" i="48"/>
  <c r="BO143" i="48"/>
  <c r="O150" i="33"/>
  <c r="BN143" i="48"/>
  <c r="BQ11" i="48"/>
  <c r="BP14" i="48"/>
  <c r="BO14" i="48"/>
  <c r="BN14" i="48"/>
  <c r="O21" i="33"/>
  <c r="BP109" i="48"/>
  <c r="BO109" i="48"/>
  <c r="O116" i="33"/>
  <c r="BN109" i="48"/>
  <c r="BP117" i="48"/>
  <c r="BO117" i="48"/>
  <c r="O124" i="33"/>
  <c r="BN117" i="48"/>
  <c r="R16" i="33"/>
  <c r="AU19" i="33"/>
  <c r="AM19" i="33"/>
  <c r="AS19" i="33"/>
  <c r="P19" i="33"/>
  <c r="AL19" i="33" s="1"/>
  <c r="AK19" i="33"/>
  <c r="Q19" i="33"/>
  <c r="BP29" i="48"/>
  <c r="BO29" i="48"/>
  <c r="BN29" i="48"/>
  <c r="O36" i="33"/>
  <c r="O15" i="33"/>
  <c r="BP8" i="48"/>
  <c r="BO8" i="48"/>
  <c r="BN8" i="48"/>
  <c r="BO52" i="48"/>
  <c r="BN52" i="48"/>
  <c r="O59" i="33"/>
  <c r="BP52" i="48"/>
  <c r="AU130" i="33"/>
  <c r="AM130" i="33"/>
  <c r="AS18" i="33"/>
  <c r="P18" i="33"/>
  <c r="AL18" i="33" s="1"/>
  <c r="Q18" i="33"/>
  <c r="AK18" i="33"/>
  <c r="BP39" i="48"/>
  <c r="BO39" i="48"/>
  <c r="BN39" i="48"/>
  <c r="O46" i="33"/>
  <c r="BP93" i="48"/>
  <c r="BO93" i="48"/>
  <c r="O100" i="33"/>
  <c r="BN93" i="48"/>
  <c r="BP31" i="48"/>
  <c r="BO31" i="48"/>
  <c r="BN31" i="48"/>
  <c r="O38" i="33"/>
  <c r="AS137" i="33"/>
  <c r="AK137" i="33"/>
  <c r="Q137" i="33"/>
  <c r="P137" i="33"/>
  <c r="AU18" i="33"/>
  <c r="AM18" i="33"/>
  <c r="AX7" i="48"/>
  <c r="AX151" i="48" s="1"/>
  <c r="BM41" i="48"/>
  <c r="BK120" i="48"/>
  <c r="BM120" i="48" s="1"/>
  <c r="BK146" i="48"/>
  <c r="BM146" i="48" s="1"/>
  <c r="BK132" i="48"/>
  <c r="BM132" i="48" s="1"/>
  <c r="BK134" i="48"/>
  <c r="BM134" i="48" s="1"/>
  <c r="BM28" i="48"/>
  <c r="BK108" i="48"/>
  <c r="BM108" i="48" s="1"/>
  <c r="BK119" i="48"/>
  <c r="BM119" i="48" s="1"/>
  <c r="BK147" i="48"/>
  <c r="BM147" i="48" s="1"/>
  <c r="BK95" i="48"/>
  <c r="BM95" i="48" s="1"/>
  <c r="BJ95" i="48"/>
  <c r="BK96" i="48"/>
  <c r="BM96" i="48" s="1"/>
  <c r="BJ96" i="48"/>
  <c r="BK82" i="48"/>
  <c r="BM82" i="48" s="1"/>
  <c r="BG112" i="48"/>
  <c r="BI112" i="48" s="1"/>
  <c r="BJ112" i="48" s="1"/>
  <c r="BK54" i="48"/>
  <c r="BM54" i="48" s="1"/>
  <c r="BK121" i="48"/>
  <c r="BM121" i="48" s="1"/>
  <c r="BG113" i="48"/>
  <c r="BI113" i="48" s="1"/>
  <c r="BJ113" i="48" s="1"/>
  <c r="BK55" i="48"/>
  <c r="BM55" i="48" s="1"/>
  <c r="BK83" i="48"/>
  <c r="BM83" i="48" s="1"/>
  <c r="BC115" i="48"/>
  <c r="BE115" i="48" s="1"/>
  <c r="BF115" i="48" s="1"/>
  <c r="BM43" i="48"/>
  <c r="BG79" i="48"/>
  <c r="BI79" i="48" s="1"/>
  <c r="BJ79" i="48" s="1"/>
  <c r="BM44" i="48"/>
  <c r="AW151" i="48"/>
  <c r="BM42" i="48"/>
  <c r="BK107" i="48"/>
  <c r="BM107" i="48" s="1"/>
  <c r="BK133" i="48"/>
  <c r="BM133" i="48" s="1"/>
  <c r="BK81" i="48"/>
  <c r="BM81" i="48" s="1"/>
  <c r="BG77" i="48"/>
  <c r="BI77" i="48" s="1"/>
  <c r="BJ77" i="48" s="1"/>
  <c r="BG124" i="48"/>
  <c r="BI124" i="48" s="1"/>
  <c r="BJ124" i="48" s="1"/>
  <c r="BG49" i="48"/>
  <c r="BI49" i="48" s="1"/>
  <c r="BJ49" i="48" s="1"/>
  <c r="BG68" i="48"/>
  <c r="BI68" i="48" s="1"/>
  <c r="BJ68" i="48" s="1"/>
  <c r="BG128" i="48"/>
  <c r="BI128" i="48" s="1"/>
  <c r="BJ128" i="48" s="1"/>
  <c r="BK144" i="48"/>
  <c r="BM144" i="48" s="1"/>
  <c r="BK67" i="48"/>
  <c r="BM67" i="48" s="1"/>
  <c r="BK131" i="48"/>
  <c r="BM131" i="48" s="1"/>
  <c r="BK150" i="48"/>
  <c r="BM150" i="48" s="1"/>
  <c r="BK51" i="48"/>
  <c r="BM51" i="48" s="1"/>
  <c r="BK73" i="48"/>
  <c r="BM73" i="48" s="1"/>
  <c r="BK30" i="48"/>
  <c r="BL30" i="48" s="1"/>
  <c r="BL151" i="48" s="1"/>
  <c r="BI163" i="48"/>
  <c r="BG100" i="48"/>
  <c r="BI100" i="48" s="1"/>
  <c r="BJ100" i="48" s="1"/>
  <c r="BG61" i="48"/>
  <c r="BI61" i="48" s="1"/>
  <c r="BJ61" i="48" s="1"/>
  <c r="BG125" i="48"/>
  <c r="BI125" i="48" s="1"/>
  <c r="BJ125" i="48" s="1"/>
  <c r="BG45" i="48"/>
  <c r="BI45" i="48" s="1"/>
  <c r="BJ45" i="48" s="1"/>
  <c r="BG63" i="48"/>
  <c r="BI63" i="48" s="1"/>
  <c r="BJ63" i="48" s="1"/>
  <c r="BG127" i="48"/>
  <c r="BI127" i="48" s="1"/>
  <c r="BJ127" i="48" s="1"/>
  <c r="BG90" i="48"/>
  <c r="BI90" i="48" s="1"/>
  <c r="BJ90" i="48" s="1"/>
  <c r="BG37" i="48"/>
  <c r="BI37" i="48" s="1"/>
  <c r="BJ37" i="48" s="1"/>
  <c r="BG70" i="48"/>
  <c r="BH70" i="48" s="1"/>
  <c r="BG126" i="48"/>
  <c r="BI126" i="48" s="1"/>
  <c r="BJ126" i="48" s="1"/>
  <c r="BG98" i="48"/>
  <c r="BI98" i="48" s="1"/>
  <c r="BJ98" i="48" s="1"/>
  <c r="BG99" i="48"/>
  <c r="BI99" i="48" s="1"/>
  <c r="BJ99" i="48" s="1"/>
  <c r="BG40" i="48"/>
  <c r="BI40" i="48" s="1"/>
  <c r="BJ40" i="48" s="1"/>
  <c r="BG85" i="48"/>
  <c r="BI85" i="48" s="1"/>
  <c r="BJ85" i="48" s="1"/>
  <c r="BG116" i="48"/>
  <c r="BI116" i="48" s="1"/>
  <c r="BJ116" i="48" s="1"/>
  <c r="BG62" i="48"/>
  <c r="BI62" i="48" s="1"/>
  <c r="BJ62" i="48" s="1"/>
  <c r="BG59" i="48"/>
  <c r="BI59" i="48" s="1"/>
  <c r="BJ59" i="48" s="1"/>
  <c r="BG60" i="48"/>
  <c r="BI60" i="48" s="1"/>
  <c r="BJ60" i="48" s="1"/>
  <c r="BG69" i="48"/>
  <c r="BI69" i="48" s="1"/>
  <c r="BJ69" i="48" s="1"/>
  <c r="BG114" i="48"/>
  <c r="BI114" i="48" s="1"/>
  <c r="BJ114" i="48" s="1"/>
  <c r="BG65" i="48"/>
  <c r="BI65" i="48" s="1"/>
  <c r="BJ65" i="48" s="1"/>
  <c r="BG102" i="48"/>
  <c r="BI102" i="48" s="1"/>
  <c r="BJ102" i="48" s="1"/>
  <c r="BG72" i="48"/>
  <c r="BI72" i="48" s="1"/>
  <c r="BJ72" i="48" s="1"/>
  <c r="BG36" i="48"/>
  <c r="BI36" i="48" s="1"/>
  <c r="BJ36" i="48" s="1"/>
  <c r="BG111" i="48"/>
  <c r="BI111" i="48" s="1"/>
  <c r="BJ111" i="48" s="1"/>
  <c r="BG74" i="48"/>
  <c r="BI74" i="48" s="1"/>
  <c r="BJ74" i="48" s="1"/>
  <c r="BG64" i="48"/>
  <c r="BI64" i="48" s="1"/>
  <c r="BJ64" i="48" s="1"/>
  <c r="BG53" i="48"/>
  <c r="BI53" i="48" s="1"/>
  <c r="BJ53" i="48" s="1"/>
  <c r="BG86" i="48"/>
  <c r="BI86" i="48" s="1"/>
  <c r="BJ86" i="48" s="1"/>
  <c r="BG33" i="48"/>
  <c r="BI33" i="48" s="1"/>
  <c r="BJ33" i="48" s="1"/>
  <c r="BG129" i="48"/>
  <c r="BI129" i="48" s="1"/>
  <c r="BJ129" i="48" s="1"/>
  <c r="BG89" i="48"/>
  <c r="BI89" i="48" s="1"/>
  <c r="BJ89" i="48" s="1"/>
  <c r="BG71" i="48"/>
  <c r="BI71" i="48" s="1"/>
  <c r="BJ71" i="48" s="1"/>
  <c r="BG101" i="48"/>
  <c r="BI101" i="48" s="1"/>
  <c r="BJ101" i="48" s="1"/>
  <c r="BG75" i="48"/>
  <c r="BI75" i="48" s="1"/>
  <c r="BJ75" i="48" s="1"/>
  <c r="BG32" i="48"/>
  <c r="BI32" i="48" s="1"/>
  <c r="BJ32" i="48" s="1"/>
  <c r="BG84" i="48"/>
  <c r="BI84" i="48" s="1"/>
  <c r="BJ84" i="48" s="1"/>
  <c r="BG103" i="48"/>
  <c r="BI103" i="48" s="1"/>
  <c r="BJ103" i="48" s="1"/>
  <c r="BG35" i="48"/>
  <c r="BI35" i="48" s="1"/>
  <c r="BJ35" i="48" s="1"/>
  <c r="BG88" i="48"/>
  <c r="BI88" i="48" s="1"/>
  <c r="BJ88" i="48" s="1"/>
  <c r="BG58" i="48"/>
  <c r="BI58" i="48" s="1"/>
  <c r="BJ58" i="48" s="1"/>
  <c r="BG123" i="48"/>
  <c r="BI123" i="48" s="1"/>
  <c r="BJ123" i="48" s="1"/>
  <c r="BG38" i="48"/>
  <c r="BI38" i="48" s="1"/>
  <c r="BJ38" i="48" s="1"/>
  <c r="BG92" i="48"/>
  <c r="BI92" i="48" s="1"/>
  <c r="BJ92" i="48" s="1"/>
  <c r="BG48" i="48"/>
  <c r="BI48" i="48" s="1"/>
  <c r="BJ48" i="48" s="1"/>
  <c r="BG66" i="48"/>
  <c r="BI66" i="48" s="1"/>
  <c r="BJ66" i="48" s="1"/>
  <c r="BG47" i="48"/>
  <c r="BI47" i="48" s="1"/>
  <c r="BJ47" i="48" s="1"/>
  <c r="BG136" i="48"/>
  <c r="BI136" i="48" s="1"/>
  <c r="BJ136" i="48" s="1"/>
  <c r="BG141" i="48"/>
  <c r="BI141" i="48" s="1"/>
  <c r="BJ141" i="48" s="1"/>
  <c r="BG139" i="48"/>
  <c r="BI139" i="48" s="1"/>
  <c r="BJ139" i="48" s="1"/>
  <c r="BG149" i="48"/>
  <c r="BI149" i="48" s="1"/>
  <c r="BJ149" i="48" s="1"/>
  <c r="BG142" i="48"/>
  <c r="BI142" i="48" s="1"/>
  <c r="BJ142" i="48" s="1"/>
  <c r="BG140" i="48"/>
  <c r="BI140" i="48" s="1"/>
  <c r="BJ140" i="48" s="1"/>
  <c r="BG138" i="48"/>
  <c r="BI138" i="48" s="1"/>
  <c r="BJ138" i="48" s="1"/>
  <c r="BA164" i="48"/>
  <c r="BA154" i="48"/>
  <c r="BA156" i="48" s="1"/>
  <c r="AY7" i="48"/>
  <c r="AY151" i="48" s="1"/>
  <c r="BC97" i="48"/>
  <c r="BE97" i="48" s="1"/>
  <c r="BF97" i="48" s="1"/>
  <c r="BC110" i="48"/>
  <c r="BE110" i="48" s="1"/>
  <c r="BF110" i="48" s="1"/>
  <c r="BC105" i="48"/>
  <c r="BE105" i="48" s="1"/>
  <c r="BF105" i="48" s="1"/>
  <c r="BC87" i="48"/>
  <c r="BE87" i="48" s="1"/>
  <c r="BF87" i="48" s="1"/>
  <c r="BC76" i="48"/>
  <c r="BE76" i="48" s="1"/>
  <c r="BF76" i="48" s="1"/>
  <c r="BC34" i="48"/>
  <c r="BE34" i="48" s="1"/>
  <c r="BF34" i="48" s="1"/>
  <c r="BC50" i="48"/>
  <c r="BE50" i="48" s="1"/>
  <c r="BF50" i="48" s="1"/>
  <c r="BC118" i="48"/>
  <c r="BE118" i="48" s="1"/>
  <c r="BF118" i="48" s="1"/>
  <c r="BU66" i="48"/>
  <c r="U72" i="33"/>
  <c r="BQ80" i="48" l="1"/>
  <c r="BR80" i="48" s="1"/>
  <c r="BQ148" i="48"/>
  <c r="BR148" i="48" s="1"/>
  <c r="BQ14" i="48"/>
  <c r="BT14" i="48" s="1"/>
  <c r="BV14" i="48" s="1"/>
  <c r="BQ31" i="48"/>
  <c r="BT31" i="48" s="1"/>
  <c r="BV31" i="48" s="1"/>
  <c r="BQ117" i="48"/>
  <c r="BT117" i="48" s="1"/>
  <c r="BX117" i="48" s="1"/>
  <c r="AN18" i="33"/>
  <c r="AV18" i="33"/>
  <c r="R137" i="33"/>
  <c r="Z137" i="33" s="1"/>
  <c r="AA137" i="33" s="1"/>
  <c r="BQ29" i="48"/>
  <c r="BR29" i="48" s="1"/>
  <c r="BQ122" i="48"/>
  <c r="BT122" i="48" s="1"/>
  <c r="BX122" i="48" s="1"/>
  <c r="BQ8" i="48"/>
  <c r="BR8" i="48" s="1"/>
  <c r="BQ78" i="48"/>
  <c r="BR78" i="48" s="1"/>
  <c r="BT130" i="48"/>
  <c r="BX130" i="48" s="1"/>
  <c r="BQ52" i="48"/>
  <c r="BR52" i="48" s="1"/>
  <c r="O138" i="33"/>
  <c r="BN131" i="48"/>
  <c r="BO131" i="48"/>
  <c r="BP131" i="48"/>
  <c r="O88" i="33"/>
  <c r="BP81" i="48"/>
  <c r="BN81" i="48"/>
  <c r="BO81" i="48"/>
  <c r="BP134" i="48"/>
  <c r="BO134" i="48"/>
  <c r="BN134" i="48"/>
  <c r="O141" i="33"/>
  <c r="AM57" i="33"/>
  <c r="AU57" i="33"/>
  <c r="Q101" i="33"/>
  <c r="P101" i="33"/>
  <c r="AS101" i="33"/>
  <c r="AK101" i="33"/>
  <c r="O103" i="33"/>
  <c r="BP96" i="48"/>
  <c r="BO96" i="48"/>
  <c r="BN96" i="48"/>
  <c r="AM39" i="33"/>
  <c r="AU39" i="33"/>
  <c r="AW16" i="33"/>
  <c r="T16" i="33"/>
  <c r="V16" i="33" s="1"/>
  <c r="X16" i="33" s="1"/>
  <c r="AO16" i="33"/>
  <c r="Z16" i="33"/>
  <c r="BT11" i="48"/>
  <c r="BV11" i="48" s="1"/>
  <c r="BR11" i="48"/>
  <c r="O151" i="33"/>
  <c r="BP144" i="48"/>
  <c r="BO144" i="48"/>
  <c r="BN144" i="48"/>
  <c r="O114" i="33"/>
  <c r="BO107" i="48"/>
  <c r="BN107" i="48"/>
  <c r="BP107" i="48"/>
  <c r="BP55" i="48"/>
  <c r="BO55" i="48"/>
  <c r="BN55" i="48"/>
  <c r="O62" i="33"/>
  <c r="O153" i="33"/>
  <c r="BO146" i="48"/>
  <c r="BN146" i="48"/>
  <c r="BP146" i="48"/>
  <c r="AT137" i="33"/>
  <c r="AL137" i="33"/>
  <c r="R19" i="33"/>
  <c r="AW19" i="33" s="1"/>
  <c r="AM117" i="33"/>
  <c r="AU117" i="33"/>
  <c r="AT18" i="33"/>
  <c r="AU104" i="33"/>
  <c r="AM104" i="33"/>
  <c r="BQ57" i="48"/>
  <c r="AT19" i="33"/>
  <c r="AM56" i="33"/>
  <c r="AU56" i="33"/>
  <c r="AM94" i="33"/>
  <c r="AU94" i="33"/>
  <c r="O49" i="33"/>
  <c r="BP42" i="48"/>
  <c r="BN42" i="48"/>
  <c r="BO42" i="48"/>
  <c r="BP95" i="48"/>
  <c r="BO95" i="48"/>
  <c r="BN95" i="48"/>
  <c r="O102" i="33"/>
  <c r="O127" i="33"/>
  <c r="BP120" i="48"/>
  <c r="BO120" i="48"/>
  <c r="BN120" i="48"/>
  <c r="AM93" i="33"/>
  <c r="AU93" i="33"/>
  <c r="AV19" i="33"/>
  <c r="AU143" i="33"/>
  <c r="AM143" i="33"/>
  <c r="P155" i="33"/>
  <c r="AC155" i="33"/>
  <c r="Q155" i="33"/>
  <c r="AS64" i="33"/>
  <c r="Q64" i="33"/>
  <c r="AK64" i="33"/>
  <c r="P64" i="33"/>
  <c r="T17" i="33"/>
  <c r="V17" i="33" s="1"/>
  <c r="X17" i="33" s="1"/>
  <c r="AO17" i="33"/>
  <c r="Z17" i="33"/>
  <c r="AU106" i="33"/>
  <c r="AM106" i="33"/>
  <c r="Q129" i="33"/>
  <c r="P129" i="33"/>
  <c r="AS129" i="33"/>
  <c r="AK129" i="33"/>
  <c r="AM46" i="33"/>
  <c r="AU46" i="33"/>
  <c r="AM15" i="33"/>
  <c r="AU15" i="33"/>
  <c r="AK98" i="33"/>
  <c r="P98" i="33"/>
  <c r="Q98" i="33"/>
  <c r="AS98" i="33"/>
  <c r="BP133" i="48"/>
  <c r="BO133" i="48"/>
  <c r="O140" i="33"/>
  <c r="BN133" i="48"/>
  <c r="O128" i="33"/>
  <c r="BP121" i="48"/>
  <c r="BO121" i="48"/>
  <c r="BN121" i="48"/>
  <c r="O154" i="33"/>
  <c r="BN147" i="48"/>
  <c r="BO147" i="48"/>
  <c r="BP147" i="48"/>
  <c r="BQ93" i="48"/>
  <c r="BQ39" i="48"/>
  <c r="AS15" i="33"/>
  <c r="AK15" i="33"/>
  <c r="Q15" i="33"/>
  <c r="P15" i="33"/>
  <c r="AL15" i="33" s="1"/>
  <c r="AK124" i="33"/>
  <c r="P124" i="33"/>
  <c r="Q124" i="33"/>
  <c r="AS124" i="33"/>
  <c r="AK21" i="33"/>
  <c r="P21" i="33"/>
  <c r="AS21" i="33"/>
  <c r="Q21" i="33"/>
  <c r="AC150" i="33"/>
  <c r="AK150" i="33"/>
  <c r="P150" i="33"/>
  <c r="Q150" i="33"/>
  <c r="AS150" i="33"/>
  <c r="AM145" i="33"/>
  <c r="AU145" i="33"/>
  <c r="BQ94" i="48"/>
  <c r="AU137" i="33"/>
  <c r="AV137" i="33" s="1"/>
  <c r="AM137" i="33"/>
  <c r="AN137" i="33" s="1"/>
  <c r="P53" i="33"/>
  <c r="AK53" i="33"/>
  <c r="Q53" i="33"/>
  <c r="AS53" i="33"/>
  <c r="AC144" i="33"/>
  <c r="AS144" i="33"/>
  <c r="AK144" i="33"/>
  <c r="Q144" i="33"/>
  <c r="P144" i="33"/>
  <c r="BO132" i="48"/>
  <c r="O139" i="33"/>
  <c r="BN132" i="48"/>
  <c r="BP132" i="48"/>
  <c r="P87" i="33"/>
  <c r="Q87" i="33"/>
  <c r="AK87" i="33"/>
  <c r="AS87" i="33"/>
  <c r="O80" i="33"/>
  <c r="BP73" i="48"/>
  <c r="BO73" i="48"/>
  <c r="BN73" i="48"/>
  <c r="BO44" i="48"/>
  <c r="BN44" i="48"/>
  <c r="O51" i="33"/>
  <c r="BP44" i="48"/>
  <c r="BP54" i="48"/>
  <c r="BO54" i="48"/>
  <c r="O61" i="33"/>
  <c r="BN54" i="48"/>
  <c r="BP119" i="48"/>
  <c r="BO119" i="48"/>
  <c r="O126" i="33"/>
  <c r="BN119" i="48"/>
  <c r="AK100" i="33"/>
  <c r="Q100" i="33"/>
  <c r="AS100" i="33"/>
  <c r="P100" i="33"/>
  <c r="Q59" i="33"/>
  <c r="AK59" i="33"/>
  <c r="AS59" i="33"/>
  <c r="P59" i="33"/>
  <c r="AU135" i="33"/>
  <c r="AM135" i="33"/>
  <c r="BQ104" i="48"/>
  <c r="AU91" i="33"/>
  <c r="AM91" i="33"/>
  <c r="AU80" i="33"/>
  <c r="AM80" i="33"/>
  <c r="BQ56" i="48"/>
  <c r="BQ106" i="48"/>
  <c r="AU109" i="33"/>
  <c r="AM109" i="33"/>
  <c r="BN67" i="48"/>
  <c r="O74" i="33"/>
  <c r="BO67" i="48"/>
  <c r="BP67" i="48"/>
  <c r="BN51" i="48"/>
  <c r="O58" i="33"/>
  <c r="BP51" i="48"/>
  <c r="BO51" i="48"/>
  <c r="BO108" i="48"/>
  <c r="O115" i="33"/>
  <c r="BN108" i="48"/>
  <c r="BP108" i="48"/>
  <c r="O48" i="33"/>
  <c r="BP41" i="48"/>
  <c r="BO41" i="48"/>
  <c r="BN41" i="48"/>
  <c r="AK38" i="33"/>
  <c r="P38" i="33"/>
  <c r="Q38" i="33"/>
  <c r="AS38" i="33"/>
  <c r="R18" i="33"/>
  <c r="AM52" i="33"/>
  <c r="AU52" i="33"/>
  <c r="AK36" i="33"/>
  <c r="AS36" i="33"/>
  <c r="Q36" i="33"/>
  <c r="P36" i="33"/>
  <c r="Q142" i="33"/>
  <c r="P142" i="33"/>
  <c r="AK142" i="33"/>
  <c r="AS142" i="33"/>
  <c r="AC142" i="33"/>
  <c r="Q111" i="33"/>
  <c r="AK111" i="33"/>
  <c r="AS111" i="33"/>
  <c r="P111" i="33"/>
  <c r="AU78" i="33"/>
  <c r="AM78" i="33"/>
  <c r="BQ145" i="48"/>
  <c r="P63" i="33"/>
  <c r="Q63" i="33"/>
  <c r="AS63" i="33"/>
  <c r="AK63" i="33"/>
  <c r="AS113" i="33"/>
  <c r="Q113" i="33"/>
  <c r="AK113" i="33"/>
  <c r="P113" i="33"/>
  <c r="P46" i="33"/>
  <c r="AK46" i="33"/>
  <c r="AS46" i="33"/>
  <c r="Q46" i="33"/>
  <c r="BX10" i="48"/>
  <c r="BV10" i="48"/>
  <c r="O90" i="33"/>
  <c r="BP83" i="48"/>
  <c r="BN83" i="48"/>
  <c r="BO83" i="48"/>
  <c r="AL31" i="33"/>
  <c r="AT31" i="33"/>
  <c r="AL29" i="33"/>
  <c r="AT29" i="33"/>
  <c r="Q116" i="33"/>
  <c r="AK116" i="33"/>
  <c r="AS116" i="33"/>
  <c r="P116" i="33"/>
  <c r="AM148" i="33"/>
  <c r="AU148" i="33"/>
  <c r="BQ135" i="48"/>
  <c r="BT12" i="48"/>
  <c r="BV12" i="48" s="1"/>
  <c r="BR12" i="48"/>
  <c r="AU122" i="33"/>
  <c r="AM122" i="33"/>
  <c r="BP150" i="48"/>
  <c r="BO150" i="48"/>
  <c r="O157" i="33"/>
  <c r="BN150" i="48"/>
  <c r="BN43" i="48"/>
  <c r="O50" i="33"/>
  <c r="BO43" i="48"/>
  <c r="BP43" i="48"/>
  <c r="O89" i="33"/>
  <c r="BP82" i="48"/>
  <c r="BO82" i="48"/>
  <c r="BN82" i="48"/>
  <c r="BO28" i="48"/>
  <c r="BN28" i="48"/>
  <c r="O35" i="33"/>
  <c r="BP28" i="48"/>
  <c r="AU31" i="33"/>
  <c r="AV31" i="33" s="1"/>
  <c r="AM31" i="33"/>
  <c r="AN31" i="33" s="1"/>
  <c r="AU29" i="33"/>
  <c r="AV29" i="33" s="1"/>
  <c r="AM29" i="33"/>
  <c r="AN29" i="33" s="1"/>
  <c r="AN19" i="33"/>
  <c r="BQ109" i="48"/>
  <c r="BQ143" i="48"/>
  <c r="BQ91" i="48"/>
  <c r="AK85" i="33"/>
  <c r="Q85" i="33"/>
  <c r="AS85" i="33"/>
  <c r="P85" i="33"/>
  <c r="AC152" i="33"/>
  <c r="Q152" i="33"/>
  <c r="P152" i="33"/>
  <c r="AW17" i="33"/>
  <c r="BQ137" i="48"/>
  <c r="BQ46" i="48"/>
  <c r="BK112" i="48"/>
  <c r="BM112" i="48" s="1"/>
  <c r="BK113" i="48"/>
  <c r="BM113" i="48" s="1"/>
  <c r="BG115" i="48"/>
  <c r="BI115" i="48" s="1"/>
  <c r="BJ115" i="48" s="1"/>
  <c r="BK77" i="48"/>
  <c r="BM77" i="48" s="1"/>
  <c r="BK79" i="48"/>
  <c r="BM79" i="48" s="1"/>
  <c r="BM30" i="48"/>
  <c r="BK124" i="48"/>
  <c r="BM124" i="48" s="1"/>
  <c r="BK68" i="48"/>
  <c r="BM68" i="48" s="1"/>
  <c r="BK49" i="48"/>
  <c r="BM49" i="48" s="1"/>
  <c r="BK128" i="48"/>
  <c r="BM128" i="48" s="1"/>
  <c r="BI70" i="48"/>
  <c r="BJ70" i="48" s="1"/>
  <c r="BK116" i="48"/>
  <c r="BM116" i="48" s="1"/>
  <c r="BK71" i="48"/>
  <c r="BM71" i="48" s="1"/>
  <c r="BK142" i="48"/>
  <c r="BM142" i="48" s="1"/>
  <c r="BK123" i="48"/>
  <c r="BM123" i="48" s="1"/>
  <c r="BK89" i="48"/>
  <c r="BM89" i="48" s="1"/>
  <c r="BK126" i="48"/>
  <c r="BM126" i="48" s="1"/>
  <c r="BK38" i="48"/>
  <c r="BM38" i="48" s="1"/>
  <c r="BK58" i="48"/>
  <c r="BM58" i="48" s="1"/>
  <c r="BK114" i="48"/>
  <c r="BM114" i="48" s="1"/>
  <c r="BK140" i="48"/>
  <c r="BM140" i="48" s="1"/>
  <c r="BK65" i="48"/>
  <c r="BM65" i="48" s="1"/>
  <c r="BK88" i="48"/>
  <c r="BM88" i="48" s="1"/>
  <c r="BK33" i="48"/>
  <c r="BM33" i="48" s="1"/>
  <c r="BK69" i="48"/>
  <c r="BM69" i="48" s="1"/>
  <c r="BK149" i="48"/>
  <c r="BM149" i="48" s="1"/>
  <c r="BK141" i="48"/>
  <c r="BM141" i="48" s="1"/>
  <c r="BK35" i="48"/>
  <c r="BM35" i="48" s="1"/>
  <c r="BK86" i="48"/>
  <c r="BM86" i="48" s="1"/>
  <c r="BK60" i="48"/>
  <c r="BM60" i="48" s="1"/>
  <c r="BK37" i="48"/>
  <c r="BM37" i="48" s="1"/>
  <c r="BK98" i="48"/>
  <c r="BM98" i="48" s="1"/>
  <c r="BK139" i="48"/>
  <c r="BM139" i="48" s="1"/>
  <c r="BK103" i="48"/>
  <c r="BM103" i="48" s="1"/>
  <c r="BK53" i="48"/>
  <c r="BM53" i="48" s="1"/>
  <c r="BK59" i="48"/>
  <c r="BM59" i="48" s="1"/>
  <c r="BK90" i="48"/>
  <c r="BM90" i="48" s="1"/>
  <c r="BK136" i="48"/>
  <c r="BM136" i="48" s="1"/>
  <c r="BK84" i="48"/>
  <c r="BM84" i="48" s="1"/>
  <c r="BK64" i="48"/>
  <c r="BM64" i="48" s="1"/>
  <c r="BK62" i="48"/>
  <c r="BM62" i="48" s="1"/>
  <c r="BK127" i="48"/>
  <c r="BM127" i="48" s="1"/>
  <c r="BK47" i="48"/>
  <c r="BM47" i="48" s="1"/>
  <c r="BK32" i="48"/>
  <c r="BM32" i="48" s="1"/>
  <c r="BK74" i="48"/>
  <c r="BM74" i="48" s="1"/>
  <c r="BK63" i="48"/>
  <c r="BM63" i="48" s="1"/>
  <c r="BK75" i="48"/>
  <c r="BM75" i="48" s="1"/>
  <c r="BK111" i="48"/>
  <c r="BM111" i="48" s="1"/>
  <c r="BK45" i="48"/>
  <c r="BM45" i="48" s="1"/>
  <c r="BK129" i="48"/>
  <c r="BM129" i="48" s="1"/>
  <c r="BK101" i="48"/>
  <c r="BM101" i="48" s="1"/>
  <c r="BK36" i="48"/>
  <c r="BM36" i="48" s="1"/>
  <c r="BK85" i="48"/>
  <c r="BM85" i="48" s="1"/>
  <c r="BK125" i="48"/>
  <c r="BM125" i="48" s="1"/>
  <c r="BK48" i="48"/>
  <c r="BM48" i="48" s="1"/>
  <c r="BK72" i="48"/>
  <c r="BM72" i="48" s="1"/>
  <c r="BK40" i="48"/>
  <c r="BM40" i="48" s="1"/>
  <c r="BK61" i="48"/>
  <c r="BM61" i="48" s="1"/>
  <c r="BK66" i="48"/>
  <c r="BM66" i="48" s="1"/>
  <c r="BK138" i="48"/>
  <c r="BM138" i="48" s="1"/>
  <c r="BK92" i="48"/>
  <c r="BM92" i="48" s="1"/>
  <c r="BK102" i="48"/>
  <c r="BM102" i="48" s="1"/>
  <c r="BK99" i="48"/>
  <c r="BM99" i="48" s="1"/>
  <c r="BK100" i="48"/>
  <c r="BM100" i="48" s="1"/>
  <c r="BG105" i="48"/>
  <c r="BI105" i="48" s="1"/>
  <c r="BJ105" i="48" s="1"/>
  <c r="BG110" i="48"/>
  <c r="BI110" i="48" s="1"/>
  <c r="BJ110" i="48" s="1"/>
  <c r="BG97" i="48"/>
  <c r="BI97" i="48" s="1"/>
  <c r="BJ97" i="48" s="1"/>
  <c r="BG87" i="48"/>
  <c r="BI87" i="48" s="1"/>
  <c r="BJ87" i="48" s="1"/>
  <c r="BG76" i="48"/>
  <c r="BI76" i="48" s="1"/>
  <c r="BJ76" i="48" s="1"/>
  <c r="BG50" i="48"/>
  <c r="BH50" i="48" s="1"/>
  <c r="BH151" i="48" s="1"/>
  <c r="BL153" i="48" s="1"/>
  <c r="BE163" i="48"/>
  <c r="BE164" i="48" s="1"/>
  <c r="BG118" i="48"/>
  <c r="BI118" i="48" s="1"/>
  <c r="BJ118" i="48" s="1"/>
  <c r="BG34" i="48"/>
  <c r="BI34" i="48" s="1"/>
  <c r="BJ34" i="48" s="1"/>
  <c r="BE153" i="48"/>
  <c r="BE156" i="48" s="1"/>
  <c r="BA7" i="48"/>
  <c r="BB7" i="48" s="1"/>
  <c r="BB151" i="48" s="1"/>
  <c r="BU67" i="48"/>
  <c r="U73" i="33"/>
  <c r="BR31" i="48" l="1"/>
  <c r="BT80" i="48"/>
  <c r="BX80" i="48" s="1"/>
  <c r="AO29" i="33"/>
  <c r="AW31" i="33"/>
  <c r="AO31" i="33"/>
  <c r="BR14" i="48"/>
  <c r="BT52" i="48"/>
  <c r="BV52" i="48" s="1"/>
  <c r="BT148" i="48"/>
  <c r="BX148" i="48" s="1"/>
  <c r="BR117" i="48"/>
  <c r="BQ55" i="48"/>
  <c r="BR55" i="48" s="1"/>
  <c r="BQ96" i="48"/>
  <c r="BR96" i="48" s="1"/>
  <c r="T137" i="33"/>
  <c r="R142" i="33"/>
  <c r="Z142" i="33" s="1"/>
  <c r="AA142" i="33" s="1"/>
  <c r="R59" i="33"/>
  <c r="T59" i="33" s="1"/>
  <c r="V59" i="33" s="1"/>
  <c r="X59" i="33" s="1"/>
  <c r="R113" i="33"/>
  <c r="T113" i="33" s="1"/>
  <c r="R53" i="33"/>
  <c r="T53" i="33" s="1"/>
  <c r="V53" i="33" s="1"/>
  <c r="X53" i="33" s="1"/>
  <c r="R98" i="33"/>
  <c r="Z98" i="33" s="1"/>
  <c r="AA98" i="33" s="1"/>
  <c r="R87" i="33"/>
  <c r="T87" i="33" s="1"/>
  <c r="R124" i="33"/>
  <c r="T124" i="33" s="1"/>
  <c r="BQ119" i="48"/>
  <c r="BR119" i="48" s="1"/>
  <c r="BT29" i="48"/>
  <c r="BV29" i="48" s="1"/>
  <c r="BT8" i="48"/>
  <c r="BV8" i="48" s="1"/>
  <c r="AW29" i="33"/>
  <c r="BQ42" i="48"/>
  <c r="BR42" i="48" s="1"/>
  <c r="BQ147" i="48"/>
  <c r="BR147" i="48" s="1"/>
  <c r="R144" i="33"/>
  <c r="Z144" i="33" s="1"/>
  <c r="AA144" i="33" s="1"/>
  <c r="BT78" i="48"/>
  <c r="BX78" i="48" s="1"/>
  <c r="R152" i="33"/>
  <c r="Z152" i="33" s="1"/>
  <c r="AA152" i="33" s="1"/>
  <c r="BQ108" i="48"/>
  <c r="BT108" i="48" s="1"/>
  <c r="BX108" i="48" s="1"/>
  <c r="BQ67" i="48"/>
  <c r="BR67" i="48" s="1"/>
  <c r="BR122" i="48"/>
  <c r="BQ28" i="48"/>
  <c r="BT28" i="48" s="1"/>
  <c r="BV28" i="48" s="1"/>
  <c r="BQ146" i="48"/>
  <c r="BR146" i="48" s="1"/>
  <c r="BQ83" i="48"/>
  <c r="BR83" i="48" s="1"/>
  <c r="R21" i="33"/>
  <c r="AO21" i="33" s="1"/>
  <c r="AT144" i="33"/>
  <c r="R63" i="33"/>
  <c r="T63" i="33" s="1"/>
  <c r="V63" i="33" s="1"/>
  <c r="X63" i="33" s="1"/>
  <c r="BX12" i="48"/>
  <c r="R36" i="33"/>
  <c r="Z36" i="33" s="1"/>
  <c r="R15" i="33"/>
  <c r="T15" i="33" s="1"/>
  <c r="V15" i="33" s="1"/>
  <c r="X15" i="33" s="1"/>
  <c r="BQ82" i="48"/>
  <c r="BT82" i="48" s="1"/>
  <c r="BX82" i="48" s="1"/>
  <c r="AL150" i="33"/>
  <c r="BX14" i="48"/>
  <c r="BX31" i="48"/>
  <c r="R111" i="33"/>
  <c r="T111" i="33" s="1"/>
  <c r="R64" i="33"/>
  <c r="T64" i="33" s="1"/>
  <c r="V64" i="33" s="1"/>
  <c r="X64" i="33" s="1"/>
  <c r="BP126" i="48"/>
  <c r="BO126" i="48"/>
  <c r="BN126" i="48"/>
  <c r="O133" i="33"/>
  <c r="AS58" i="33"/>
  <c r="AK58" i="33"/>
  <c r="Q58" i="33"/>
  <c r="P58" i="33"/>
  <c r="BP45" i="48"/>
  <c r="BO45" i="48"/>
  <c r="BN45" i="48"/>
  <c r="O52" i="33"/>
  <c r="O119" i="33"/>
  <c r="BP112" i="48"/>
  <c r="BO112" i="48"/>
  <c r="BN112" i="48"/>
  <c r="AU132" i="33"/>
  <c r="AM132" i="33"/>
  <c r="BO100" i="48"/>
  <c r="BN100" i="48"/>
  <c r="O107" i="33"/>
  <c r="BP100" i="48"/>
  <c r="AT100" i="33" s="1"/>
  <c r="O105" i="33"/>
  <c r="BP98" i="48"/>
  <c r="AT98" i="33" s="1"/>
  <c r="BN98" i="48"/>
  <c r="BO98" i="48"/>
  <c r="AM150" i="33"/>
  <c r="AN150" i="33" s="1"/>
  <c r="AU150" i="33"/>
  <c r="AV150" i="33" s="1"/>
  <c r="AM51" i="33"/>
  <c r="AU51" i="33"/>
  <c r="O106" i="33"/>
  <c r="BP99" i="48"/>
  <c r="BN99" i="48"/>
  <c r="BO99" i="48"/>
  <c r="O55" i="33"/>
  <c r="BP48" i="48"/>
  <c r="BO48" i="48"/>
  <c r="BN48" i="48"/>
  <c r="BN75" i="48"/>
  <c r="O82" i="33"/>
  <c r="BP75" i="48"/>
  <c r="BO75" i="48"/>
  <c r="BO84" i="48"/>
  <c r="BN84" i="48"/>
  <c r="O91" i="33"/>
  <c r="BP84" i="48"/>
  <c r="BP37" i="48"/>
  <c r="BO37" i="48"/>
  <c r="BN37" i="48"/>
  <c r="O44" i="33"/>
  <c r="O95" i="33"/>
  <c r="BP88" i="48"/>
  <c r="BO88" i="48"/>
  <c r="BN88" i="48"/>
  <c r="O130" i="33"/>
  <c r="BN123" i="48"/>
  <c r="BP123" i="48"/>
  <c r="BO123" i="48"/>
  <c r="BO124" i="48"/>
  <c r="O131" i="33"/>
  <c r="BN124" i="48"/>
  <c r="BP124" i="48"/>
  <c r="AT124" i="33" s="1"/>
  <c r="BR143" i="48"/>
  <c r="BT143" i="48"/>
  <c r="BX143" i="48" s="1"/>
  <c r="AT28" i="33"/>
  <c r="AL28" i="33"/>
  <c r="AC157" i="33"/>
  <c r="P157" i="33"/>
  <c r="Q157" i="33"/>
  <c r="R46" i="33"/>
  <c r="AW46" i="33" s="1"/>
  <c r="AM108" i="33"/>
  <c r="AU108" i="33"/>
  <c r="BR56" i="48"/>
  <c r="BT56" i="48"/>
  <c r="Q61" i="33"/>
  <c r="P61" i="33"/>
  <c r="AS61" i="33"/>
  <c r="AK61" i="33"/>
  <c r="BT94" i="48"/>
  <c r="BX94" i="48" s="1"/>
  <c r="BR94" i="48"/>
  <c r="BT39" i="48"/>
  <c r="BV39" i="48" s="1"/>
  <c r="BR39" i="48"/>
  <c r="AM121" i="33"/>
  <c r="AU121" i="33"/>
  <c r="AN15" i="33"/>
  <c r="P127" i="33"/>
  <c r="AK127" i="33"/>
  <c r="Q127" i="33"/>
  <c r="AS127" i="33"/>
  <c r="AU107" i="33"/>
  <c r="AM107" i="33"/>
  <c r="AC151" i="33"/>
  <c r="Q151" i="33"/>
  <c r="P151" i="33"/>
  <c r="AU134" i="33"/>
  <c r="AM134" i="33"/>
  <c r="AS88" i="33"/>
  <c r="AK88" i="33"/>
  <c r="Q88" i="33"/>
  <c r="P88" i="33"/>
  <c r="BP69" i="48"/>
  <c r="BO69" i="48"/>
  <c r="BN69" i="48"/>
  <c r="O76" i="33"/>
  <c r="AM43" i="33"/>
  <c r="AU43" i="33"/>
  <c r="BR145" i="48"/>
  <c r="BT145" i="48"/>
  <c r="BX145" i="48" s="1"/>
  <c r="O40" i="33"/>
  <c r="BP33" i="48"/>
  <c r="BO33" i="48"/>
  <c r="BN33" i="48"/>
  <c r="Q139" i="33"/>
  <c r="AK139" i="33"/>
  <c r="AS139" i="33"/>
  <c r="P139" i="33"/>
  <c r="BP102" i="48"/>
  <c r="BO102" i="48"/>
  <c r="BN102" i="48"/>
  <c r="O109" i="33"/>
  <c r="BP125" i="48"/>
  <c r="BO125" i="48"/>
  <c r="O132" i="33"/>
  <c r="BN125" i="48"/>
  <c r="BP63" i="48"/>
  <c r="AT63" i="33" s="1"/>
  <c r="BO63" i="48"/>
  <c r="BN63" i="48"/>
  <c r="O70" i="33"/>
  <c r="O143" i="33"/>
  <c r="BP136" i="48"/>
  <c r="BO136" i="48"/>
  <c r="BN136" i="48"/>
  <c r="BO60" i="48"/>
  <c r="BN60" i="48"/>
  <c r="O67" i="33"/>
  <c r="BP60" i="48"/>
  <c r="O72" i="33"/>
  <c r="BP65" i="48"/>
  <c r="BO65" i="48"/>
  <c r="BN65" i="48"/>
  <c r="BP142" i="48"/>
  <c r="AT142" i="33" s="1"/>
  <c r="BO142" i="48"/>
  <c r="O149" i="33"/>
  <c r="BN142" i="48"/>
  <c r="BM163" i="48"/>
  <c r="BP30" i="48"/>
  <c r="BO30" i="48"/>
  <c r="BN30" i="48"/>
  <c r="O37" i="33"/>
  <c r="BR109" i="48"/>
  <c r="BT109" i="48"/>
  <c r="BX109" i="48" s="1"/>
  <c r="AS89" i="33"/>
  <c r="Q89" i="33"/>
  <c r="AK89" i="33"/>
  <c r="P89" i="33"/>
  <c r="AU41" i="33"/>
  <c r="AM41" i="33"/>
  <c r="AS115" i="33"/>
  <c r="Q115" i="33"/>
  <c r="AK115" i="33"/>
  <c r="P115" i="33"/>
  <c r="AU73" i="33"/>
  <c r="AM73" i="33"/>
  <c r="BR93" i="48"/>
  <c r="BT93" i="48"/>
  <c r="BX93" i="48" s="1"/>
  <c r="AV46" i="33"/>
  <c r="AA17" i="33"/>
  <c r="AD17" i="33"/>
  <c r="R155" i="33"/>
  <c r="AS102" i="33"/>
  <c r="AK102" i="33"/>
  <c r="Q102" i="33"/>
  <c r="P102" i="33"/>
  <c r="Z19" i="33"/>
  <c r="AA19" i="33" s="1"/>
  <c r="AO19" i="33"/>
  <c r="T19" i="33"/>
  <c r="V19" i="33" s="1"/>
  <c r="X19" i="33" s="1"/>
  <c r="Q153" i="33"/>
  <c r="P153" i="33"/>
  <c r="AC153" i="33"/>
  <c r="BX11" i="48"/>
  <c r="BP62" i="48"/>
  <c r="BO62" i="48"/>
  <c r="BN62" i="48"/>
  <c r="O69" i="33"/>
  <c r="O71" i="33"/>
  <c r="BP64" i="48"/>
  <c r="AT64" i="33" s="1"/>
  <c r="BO64" i="48"/>
  <c r="BN64" i="48"/>
  <c r="BT91" i="48"/>
  <c r="BX91" i="48" s="1"/>
  <c r="BR91" i="48"/>
  <c r="AU44" i="33"/>
  <c r="AM44" i="33"/>
  <c r="AU42" i="33"/>
  <c r="AM42" i="33"/>
  <c r="BQ144" i="48"/>
  <c r="BQ81" i="48"/>
  <c r="BO92" i="48"/>
  <c r="BN92" i="48"/>
  <c r="O99" i="33"/>
  <c r="BP92" i="48"/>
  <c r="BP85" i="48"/>
  <c r="AT85" i="33" s="1"/>
  <c r="BO85" i="48"/>
  <c r="O92" i="33"/>
  <c r="BN85" i="48"/>
  <c r="O81" i="33"/>
  <c r="BP74" i="48"/>
  <c r="BN74" i="48"/>
  <c r="BO74" i="48"/>
  <c r="O97" i="33"/>
  <c r="BP90" i="48"/>
  <c r="BO90" i="48"/>
  <c r="BN90" i="48"/>
  <c r="BP86" i="48"/>
  <c r="BO86" i="48"/>
  <c r="BN86" i="48"/>
  <c r="O93" i="33"/>
  <c r="BO140" i="48"/>
  <c r="O147" i="33"/>
  <c r="BN140" i="48"/>
  <c r="BP140" i="48"/>
  <c r="BP71" i="48"/>
  <c r="BO71" i="48"/>
  <c r="BN71" i="48"/>
  <c r="O78" i="33"/>
  <c r="BP79" i="48"/>
  <c r="BO79" i="48"/>
  <c r="BN79" i="48"/>
  <c r="O86" i="33"/>
  <c r="Q35" i="33"/>
  <c r="AK35" i="33"/>
  <c r="AS35" i="33"/>
  <c r="P35" i="33"/>
  <c r="AT150" i="33"/>
  <c r="BR135" i="48"/>
  <c r="BT135" i="48"/>
  <c r="BX135" i="48" s="1"/>
  <c r="AS90" i="33"/>
  <c r="Q90" i="33"/>
  <c r="AK90" i="33"/>
  <c r="P90" i="33"/>
  <c r="AU119" i="33"/>
  <c r="AM119" i="33"/>
  <c r="AL144" i="33"/>
  <c r="AN21" i="33"/>
  <c r="AV21" i="33"/>
  <c r="AN46" i="33"/>
  <c r="AM95" i="33"/>
  <c r="AU95" i="33"/>
  <c r="AS49" i="33"/>
  <c r="P49" i="33"/>
  <c r="AK49" i="33"/>
  <c r="Q49" i="33"/>
  <c r="AT15" i="33"/>
  <c r="AS62" i="33"/>
  <c r="Q62" i="33"/>
  <c r="P62" i="33"/>
  <c r="AK62" i="33"/>
  <c r="BQ107" i="48"/>
  <c r="AK103" i="33"/>
  <c r="P103" i="33"/>
  <c r="Q103" i="33"/>
  <c r="AS103" i="33"/>
  <c r="O146" i="33"/>
  <c r="BN139" i="48"/>
  <c r="BP139" i="48"/>
  <c r="BO139" i="48"/>
  <c r="P51" i="33"/>
  <c r="AS51" i="33"/>
  <c r="Q51" i="33"/>
  <c r="AK51" i="33"/>
  <c r="AM133" i="33"/>
  <c r="AU133" i="33"/>
  <c r="AU146" i="33"/>
  <c r="AM146" i="33"/>
  <c r="AU96" i="33"/>
  <c r="AM96" i="33"/>
  <c r="O79" i="33"/>
  <c r="BP72" i="48"/>
  <c r="BO72" i="48"/>
  <c r="BN72" i="48"/>
  <c r="O96" i="33"/>
  <c r="BP89" i="48"/>
  <c r="BO89" i="48"/>
  <c r="BN89" i="48"/>
  <c r="BT106" i="48"/>
  <c r="BX106" i="48" s="1"/>
  <c r="BR106" i="48"/>
  <c r="AU54" i="33"/>
  <c r="AM54" i="33"/>
  <c r="P140" i="33"/>
  <c r="AK140" i="33"/>
  <c r="AC140" i="33"/>
  <c r="AS140" i="33"/>
  <c r="Q140" i="33"/>
  <c r="BQ120" i="48"/>
  <c r="AS141" i="33"/>
  <c r="AC141" i="33"/>
  <c r="Q141" i="33"/>
  <c r="P141" i="33"/>
  <c r="AK141" i="33"/>
  <c r="O145" i="33"/>
  <c r="BP138" i="48"/>
  <c r="BO138" i="48"/>
  <c r="BN138" i="48"/>
  <c r="BO36" i="48"/>
  <c r="BN36" i="48"/>
  <c r="O43" i="33"/>
  <c r="BP36" i="48"/>
  <c r="AT36" i="33" s="1"/>
  <c r="O39" i="33"/>
  <c r="BP32" i="48"/>
  <c r="BO32" i="48"/>
  <c r="BN32" i="48"/>
  <c r="BN59" i="48"/>
  <c r="O66" i="33"/>
  <c r="BO59" i="48"/>
  <c r="BP59" i="48"/>
  <c r="AT59" i="33" s="1"/>
  <c r="BN35" i="48"/>
  <c r="O42" i="33"/>
  <c r="BO35" i="48"/>
  <c r="BP35" i="48"/>
  <c r="O121" i="33"/>
  <c r="BP114" i="48"/>
  <c r="BN114" i="48"/>
  <c r="BO114" i="48"/>
  <c r="BO116" i="48"/>
  <c r="O123" i="33"/>
  <c r="BN116" i="48"/>
  <c r="BP116" i="48"/>
  <c r="AT116" i="33" s="1"/>
  <c r="BP77" i="48"/>
  <c r="BO77" i="48"/>
  <c r="O84" i="33"/>
  <c r="BN77" i="48"/>
  <c r="BT46" i="48"/>
  <c r="BV46" i="48" s="1"/>
  <c r="BR46" i="48"/>
  <c r="R85" i="33"/>
  <c r="AU28" i="33"/>
  <c r="AV28" i="33" s="1"/>
  <c r="AM28" i="33"/>
  <c r="AN28" i="33" s="1"/>
  <c r="BQ150" i="48"/>
  <c r="AT46" i="33"/>
  <c r="AL46" i="33"/>
  <c r="AO18" i="33"/>
  <c r="T18" i="33"/>
  <c r="V18" i="33" s="1"/>
  <c r="X18" i="33" s="1"/>
  <c r="Z18" i="33"/>
  <c r="Q74" i="33"/>
  <c r="P74" i="33"/>
  <c r="AS74" i="33"/>
  <c r="AK74" i="33"/>
  <c r="Q126" i="33"/>
  <c r="P126" i="33"/>
  <c r="AK126" i="33"/>
  <c r="AS126" i="33"/>
  <c r="BQ54" i="48"/>
  <c r="R150" i="33"/>
  <c r="BQ121" i="48"/>
  <c r="BR57" i="48"/>
  <c r="BT57" i="48"/>
  <c r="AM55" i="33"/>
  <c r="AU55" i="33"/>
  <c r="P114" i="33"/>
  <c r="Q114" i="33"/>
  <c r="AS114" i="33"/>
  <c r="AK114" i="33"/>
  <c r="R101" i="33"/>
  <c r="BQ134" i="48"/>
  <c r="AU131" i="33"/>
  <c r="AM131" i="33"/>
  <c r="O47" i="33"/>
  <c r="F15" i="5" s="1"/>
  <c r="F16" i="5" s="1"/>
  <c r="BP40" i="48"/>
  <c r="BO40" i="48"/>
  <c r="BN40" i="48"/>
  <c r="O56" i="33"/>
  <c r="BP49" i="48"/>
  <c r="BO49" i="48"/>
  <c r="BN49" i="48"/>
  <c r="BP111" i="48"/>
  <c r="AT111" i="33" s="1"/>
  <c r="BO111" i="48"/>
  <c r="O118" i="33"/>
  <c r="BN111" i="48"/>
  <c r="BO68" i="48"/>
  <c r="BN68" i="48"/>
  <c r="O75" i="33"/>
  <c r="BP68" i="48"/>
  <c r="AM83" i="33"/>
  <c r="AU83" i="33"/>
  <c r="AC154" i="33"/>
  <c r="Q154" i="33"/>
  <c r="P154" i="33"/>
  <c r="O73" i="33"/>
  <c r="BP66" i="48"/>
  <c r="BO66" i="48"/>
  <c r="BN66" i="48"/>
  <c r="BP101" i="48"/>
  <c r="AT101" i="33" s="1"/>
  <c r="BO101" i="48"/>
  <c r="O108" i="33"/>
  <c r="BN101" i="48"/>
  <c r="BP47" i="48"/>
  <c r="BO47" i="48"/>
  <c r="BN47" i="48"/>
  <c r="O54" i="33"/>
  <c r="BP53" i="48"/>
  <c r="AT53" i="33" s="1"/>
  <c r="BO53" i="48"/>
  <c r="BN53" i="48"/>
  <c r="O60" i="33"/>
  <c r="BP141" i="48"/>
  <c r="BO141" i="48"/>
  <c r="O148" i="33"/>
  <c r="BN141" i="48"/>
  <c r="O65" i="33"/>
  <c r="BP58" i="48"/>
  <c r="BN58" i="48"/>
  <c r="BO58" i="48"/>
  <c r="BT137" i="48"/>
  <c r="BX137" i="48" s="1"/>
  <c r="BR137" i="48"/>
  <c r="AW137" i="33"/>
  <c r="BQ43" i="48"/>
  <c r="R38" i="33"/>
  <c r="BQ41" i="48"/>
  <c r="AM67" i="33"/>
  <c r="AU67" i="33"/>
  <c r="BQ44" i="48"/>
  <c r="BQ73" i="48"/>
  <c r="BQ132" i="48"/>
  <c r="AL21" i="33"/>
  <c r="AT21" i="33"/>
  <c r="AK128" i="33"/>
  <c r="AS128" i="33"/>
  <c r="P128" i="33"/>
  <c r="Q128" i="33"/>
  <c r="AU120" i="33"/>
  <c r="AM120" i="33"/>
  <c r="AM144" i="33"/>
  <c r="AN144" i="33" s="1"/>
  <c r="AU144" i="33"/>
  <c r="AV144" i="33" s="1"/>
  <c r="AW18" i="33"/>
  <c r="BQ131" i="48"/>
  <c r="BP61" i="48"/>
  <c r="BO61" i="48"/>
  <c r="BN61" i="48"/>
  <c r="O68" i="33"/>
  <c r="O136" i="33"/>
  <c r="BP129" i="48"/>
  <c r="AT129" i="33" s="1"/>
  <c r="BO129" i="48"/>
  <c r="BN129" i="48"/>
  <c r="BP127" i="48"/>
  <c r="BO127" i="48"/>
  <c r="BN127" i="48"/>
  <c r="O134" i="33"/>
  <c r="BP103" i="48"/>
  <c r="BO103" i="48"/>
  <c r="BN103" i="48"/>
  <c r="O110" i="33"/>
  <c r="BP149" i="48"/>
  <c r="BO149" i="48"/>
  <c r="O156" i="33"/>
  <c r="BN149" i="48"/>
  <c r="BP38" i="48"/>
  <c r="AT38" i="33" s="1"/>
  <c r="BO38" i="48"/>
  <c r="BN38" i="48"/>
  <c r="O45" i="33"/>
  <c r="O135" i="33"/>
  <c r="BP128" i="48"/>
  <c r="BO128" i="48"/>
  <c r="BN128" i="48"/>
  <c r="O120" i="33"/>
  <c r="BP113" i="48"/>
  <c r="AT113" i="33" s="1"/>
  <c r="BO113" i="48"/>
  <c r="BN113" i="48"/>
  <c r="AU82" i="33"/>
  <c r="AM82" i="33"/>
  <c r="Q50" i="33"/>
  <c r="AS50" i="33"/>
  <c r="P50" i="33"/>
  <c r="AK50" i="33"/>
  <c r="R116" i="33"/>
  <c r="AK48" i="33"/>
  <c r="AS48" i="33"/>
  <c r="P48" i="33"/>
  <c r="Q48" i="33"/>
  <c r="BQ51" i="48"/>
  <c r="BR104" i="48"/>
  <c r="BT104" i="48"/>
  <c r="BX104" i="48" s="1"/>
  <c r="R100" i="33"/>
  <c r="AS80" i="33"/>
  <c r="P80" i="33"/>
  <c r="Q80" i="33"/>
  <c r="AV80" i="33" s="1"/>
  <c r="AK80" i="33"/>
  <c r="AV15" i="33"/>
  <c r="AU147" i="33"/>
  <c r="AM147" i="33"/>
  <c r="BQ133" i="48"/>
  <c r="R129" i="33"/>
  <c r="BQ95" i="48"/>
  <c r="AA16" i="33"/>
  <c r="AD16" i="33"/>
  <c r="AO137" i="33"/>
  <c r="AM81" i="33"/>
  <c r="AU81" i="33"/>
  <c r="AK138" i="33"/>
  <c r="AS138" i="33"/>
  <c r="P138" i="33"/>
  <c r="Q138" i="33"/>
  <c r="BK115" i="48"/>
  <c r="BM115" i="48" s="1"/>
  <c r="BK70" i="48"/>
  <c r="BM70" i="48" s="1"/>
  <c r="BI50" i="48"/>
  <c r="BJ50" i="48" s="1"/>
  <c r="BK76" i="48"/>
  <c r="BM76" i="48" s="1"/>
  <c r="BK34" i="48"/>
  <c r="BM34" i="48" s="1"/>
  <c r="BK110" i="48"/>
  <c r="BM110" i="48" s="1"/>
  <c r="BK97" i="48"/>
  <c r="BM97" i="48" s="1"/>
  <c r="BK105" i="48"/>
  <c r="BM105" i="48" s="1"/>
  <c r="BK118" i="48"/>
  <c r="BM118" i="48" s="1"/>
  <c r="BK87" i="48"/>
  <c r="BM87" i="48" s="1"/>
  <c r="BC7" i="48"/>
  <c r="BC151" i="48" s="1"/>
  <c r="BA151" i="48"/>
  <c r="U74" i="33"/>
  <c r="BU68" i="48"/>
  <c r="BT96" i="48" l="1"/>
  <c r="BX96" i="48" s="1"/>
  <c r="AL85" i="33"/>
  <c r="BX52" i="48"/>
  <c r="BR108" i="48"/>
  <c r="BT55" i="48"/>
  <c r="BV55" i="48" s="1"/>
  <c r="BT119" i="48"/>
  <c r="BX119" i="48" s="1"/>
  <c r="BT147" i="48"/>
  <c r="BX147" i="48" s="1"/>
  <c r="BT83" i="48"/>
  <c r="BX83" i="48" s="1"/>
  <c r="AT127" i="33"/>
  <c r="AL63" i="33"/>
  <c r="AL90" i="33"/>
  <c r="AL100" i="33"/>
  <c r="AL116" i="33"/>
  <c r="AL142" i="33"/>
  <c r="AL48" i="33"/>
  <c r="AL62" i="33"/>
  <c r="AL64" i="33"/>
  <c r="Z59" i="33"/>
  <c r="AA59" i="33" s="1"/>
  <c r="BX29" i="48"/>
  <c r="BQ71" i="48"/>
  <c r="BR71" i="48" s="1"/>
  <c r="BR82" i="48"/>
  <c r="T98" i="33"/>
  <c r="BX8" i="48"/>
  <c r="BT67" i="48"/>
  <c r="AL138" i="33"/>
  <c r="Z113" i="33"/>
  <c r="AA113" i="33" s="1"/>
  <c r="T142" i="33"/>
  <c r="Z124" i="33"/>
  <c r="AA124" i="33" s="1"/>
  <c r="Z87" i="33"/>
  <c r="AA87" i="33" s="1"/>
  <c r="AT49" i="33"/>
  <c r="Z63" i="33"/>
  <c r="AA63" i="33" s="1"/>
  <c r="R157" i="33"/>
  <c r="Z157" i="33" s="1"/>
  <c r="AA157" i="33" s="1"/>
  <c r="AT103" i="33"/>
  <c r="AW21" i="33"/>
  <c r="Z111" i="33"/>
  <c r="AA111" i="33" s="1"/>
  <c r="T21" i="33"/>
  <c r="V21" i="33" s="1"/>
  <c r="X21" i="33" s="1"/>
  <c r="R151" i="33"/>
  <c r="T151" i="33" s="1"/>
  <c r="AT128" i="33"/>
  <c r="Z53" i="33"/>
  <c r="AA53" i="33" s="1"/>
  <c r="AT58" i="33"/>
  <c r="R35" i="33"/>
  <c r="T35" i="33" s="1"/>
  <c r="V35" i="33" s="1"/>
  <c r="X35" i="33" s="1"/>
  <c r="AT35" i="33"/>
  <c r="R51" i="33"/>
  <c r="AW51" i="33" s="1"/>
  <c r="R102" i="33"/>
  <c r="T102" i="33" s="1"/>
  <c r="R154" i="33"/>
  <c r="T154" i="33" s="1"/>
  <c r="T152" i="33"/>
  <c r="T144" i="33"/>
  <c r="AO15" i="33"/>
  <c r="R49" i="33"/>
  <c r="Z49" i="33" s="1"/>
  <c r="AA49" i="33" s="1"/>
  <c r="R89" i="33"/>
  <c r="T89" i="33" s="1"/>
  <c r="R138" i="33"/>
  <c r="T138" i="33" s="1"/>
  <c r="R50" i="33"/>
  <c r="Z50" i="33" s="1"/>
  <c r="AA50" i="33" s="1"/>
  <c r="AL88" i="33"/>
  <c r="R61" i="33"/>
  <c r="Z61" i="33" s="1"/>
  <c r="AA61" i="33" s="1"/>
  <c r="R128" i="33"/>
  <c r="Z128" i="33" s="1"/>
  <c r="AA128" i="33" s="1"/>
  <c r="BT146" i="48"/>
  <c r="BX146" i="48" s="1"/>
  <c r="Z21" i="33"/>
  <c r="AA21" i="33" s="1"/>
  <c r="BT42" i="48"/>
  <c r="BX42" i="48" s="1"/>
  <c r="BQ114" i="48"/>
  <c r="BR114" i="48" s="1"/>
  <c r="AT89" i="33"/>
  <c r="BQ48" i="48"/>
  <c r="BR48" i="48" s="1"/>
  <c r="BQ149" i="48"/>
  <c r="BR149" i="48" s="1"/>
  <c r="BQ47" i="48"/>
  <c r="BR47" i="48" s="1"/>
  <c r="BQ36" i="48"/>
  <c r="BR36" i="48" s="1"/>
  <c r="AL140" i="33"/>
  <c r="R58" i="33"/>
  <c r="BQ127" i="48"/>
  <c r="BT127" i="48" s="1"/>
  <c r="BX127" i="48" s="1"/>
  <c r="AL98" i="33"/>
  <c r="BQ69" i="48"/>
  <c r="BR69" i="48" s="1"/>
  <c r="BR28" i="48"/>
  <c r="AW28" i="33"/>
  <c r="AW15" i="33"/>
  <c r="AL36" i="33"/>
  <c r="Z15" i="33"/>
  <c r="AA15" i="33" s="1"/>
  <c r="BX46" i="48"/>
  <c r="BQ116" i="48"/>
  <c r="AW116" i="33" s="1"/>
  <c r="BQ37" i="48"/>
  <c r="BR37" i="48" s="1"/>
  <c r="AO28" i="33"/>
  <c r="BQ53" i="48"/>
  <c r="BT53" i="48" s="1"/>
  <c r="BV53" i="48" s="1"/>
  <c r="AL124" i="33"/>
  <c r="AL114" i="33"/>
  <c r="BQ142" i="48"/>
  <c r="AW142" i="33" s="1"/>
  <c r="Z64" i="33"/>
  <c r="AD64" i="33" s="1"/>
  <c r="BQ128" i="48"/>
  <c r="BR128" i="48" s="1"/>
  <c r="AT139" i="33"/>
  <c r="BQ92" i="48"/>
  <c r="BT92" i="48" s="1"/>
  <c r="BX92" i="48" s="1"/>
  <c r="R153" i="33"/>
  <c r="Z153" i="33" s="1"/>
  <c r="AA153" i="33" s="1"/>
  <c r="AT102" i="33"/>
  <c r="BQ75" i="48"/>
  <c r="BT75" i="48" s="1"/>
  <c r="BX75" i="48" s="1"/>
  <c r="R141" i="33"/>
  <c r="Z141" i="33" s="1"/>
  <c r="AA141" i="33" s="1"/>
  <c r="AT141" i="33"/>
  <c r="BQ59" i="48"/>
  <c r="AW59" i="33" s="1"/>
  <c r="R115" i="33"/>
  <c r="T115" i="33" s="1"/>
  <c r="R88" i="33"/>
  <c r="T88" i="33" s="1"/>
  <c r="T36" i="33"/>
  <c r="V36" i="33" s="1"/>
  <c r="X36" i="33" s="1"/>
  <c r="AD36" i="33" s="1"/>
  <c r="AT61" i="33"/>
  <c r="BQ138" i="48"/>
  <c r="AL53" i="33"/>
  <c r="BQ113" i="48"/>
  <c r="AO113" i="33" s="1"/>
  <c r="BQ101" i="48"/>
  <c r="BT101" i="48" s="1"/>
  <c r="BX101" i="48" s="1"/>
  <c r="BQ140" i="48"/>
  <c r="BR140" i="48" s="1"/>
  <c r="BQ60" i="48"/>
  <c r="BT60" i="48" s="1"/>
  <c r="BV60" i="48" s="1"/>
  <c r="BQ141" i="48"/>
  <c r="BR141" i="48" s="1"/>
  <c r="AL129" i="33"/>
  <c r="R48" i="33"/>
  <c r="BQ32" i="48"/>
  <c r="AO32" i="33" s="1"/>
  <c r="R140" i="33"/>
  <c r="Z140" i="33" s="1"/>
  <c r="AA140" i="33" s="1"/>
  <c r="AL111" i="33"/>
  <c r="BQ33" i="48"/>
  <c r="AW33" i="33" s="1"/>
  <c r="AU103" i="33"/>
  <c r="AV103" i="33" s="1"/>
  <c r="AM103" i="33"/>
  <c r="AN103" i="33" s="1"/>
  <c r="Q86" i="33"/>
  <c r="P86" i="33"/>
  <c r="AT86" i="33" s="1"/>
  <c r="AK86" i="33"/>
  <c r="AS86" i="33"/>
  <c r="AS92" i="33"/>
  <c r="AK92" i="33"/>
  <c r="Q92" i="33"/>
  <c r="P92" i="33"/>
  <c r="AL92" i="33" s="1"/>
  <c r="BT81" i="48"/>
  <c r="BX81" i="48" s="1"/>
  <c r="BR81" i="48"/>
  <c r="AM125" i="33"/>
  <c r="AU125" i="33"/>
  <c r="AU123" i="33"/>
  <c r="AM123" i="33"/>
  <c r="AM84" i="33"/>
  <c r="AU84" i="33"/>
  <c r="AK106" i="33"/>
  <c r="AS106" i="33"/>
  <c r="P106" i="33"/>
  <c r="Q106" i="33"/>
  <c r="AU100" i="33"/>
  <c r="AV100" i="33" s="1"/>
  <c r="AM100" i="33"/>
  <c r="AN100" i="33" s="1"/>
  <c r="AK52" i="33"/>
  <c r="P52" i="33"/>
  <c r="Q52" i="33"/>
  <c r="AS52" i="33"/>
  <c r="BP118" i="48"/>
  <c r="BO118" i="48"/>
  <c r="O125" i="33"/>
  <c r="BN118" i="48"/>
  <c r="O122" i="33"/>
  <c r="BN115" i="48"/>
  <c r="BP115" i="48"/>
  <c r="AT115" i="33" s="1"/>
  <c r="BO115" i="48"/>
  <c r="BR133" i="48"/>
  <c r="BT133" i="48"/>
  <c r="BX133" i="48" s="1"/>
  <c r="BR51" i="48"/>
  <c r="BT51" i="48"/>
  <c r="BV51" i="48" s="1"/>
  <c r="AL113" i="33"/>
  <c r="BQ38" i="48"/>
  <c r="AO38" i="33" s="1"/>
  <c r="AM129" i="33"/>
  <c r="AN129" i="33" s="1"/>
  <c r="AU129" i="33"/>
  <c r="AV129" i="33" s="1"/>
  <c r="AU58" i="33"/>
  <c r="AV58" i="33" s="1"/>
  <c r="AM58" i="33"/>
  <c r="AN58" i="33" s="1"/>
  <c r="AM66" i="33"/>
  <c r="AU66" i="33"/>
  <c r="AM68" i="33"/>
  <c r="AU68" i="33"/>
  <c r="BQ49" i="48"/>
  <c r="AT114" i="33"/>
  <c r="BQ89" i="48"/>
  <c r="AL103" i="33"/>
  <c r="R90" i="33"/>
  <c r="AU79" i="33"/>
  <c r="AM79" i="33"/>
  <c r="BR144" i="48"/>
  <c r="AW144" i="33"/>
  <c r="BT144" i="48"/>
  <c r="BX144" i="48" s="1"/>
  <c r="AL59" i="33"/>
  <c r="Q37" i="33"/>
  <c r="P37" i="33"/>
  <c r="AT37" i="33" s="1"/>
  <c r="AK37" i="33"/>
  <c r="AS37" i="33"/>
  <c r="BQ136" i="48"/>
  <c r="BQ125" i="48"/>
  <c r="BQ102" i="48"/>
  <c r="AT33" i="33"/>
  <c r="AL33" i="33"/>
  <c r="AL127" i="33"/>
  <c r="BQ123" i="48"/>
  <c r="P44" i="33"/>
  <c r="AS44" i="33"/>
  <c r="AK44" i="33"/>
  <c r="Q44" i="33"/>
  <c r="AV44" i="33" s="1"/>
  <c r="AT48" i="33"/>
  <c r="AV51" i="33"/>
  <c r="AM98" i="33"/>
  <c r="AN98" i="33" s="1"/>
  <c r="AU98" i="33"/>
  <c r="AV98" i="33" s="1"/>
  <c r="AM45" i="33"/>
  <c r="AU45" i="33"/>
  <c r="AS133" i="33"/>
  <c r="AK133" i="33"/>
  <c r="Q133" i="33"/>
  <c r="AV133" i="33" s="1"/>
  <c r="P133" i="33"/>
  <c r="AS56" i="33"/>
  <c r="P56" i="33"/>
  <c r="AK56" i="33"/>
  <c r="Q56" i="33"/>
  <c r="BT134" i="48"/>
  <c r="BX134" i="48" s="1"/>
  <c r="BR134" i="48"/>
  <c r="Z150" i="33"/>
  <c r="AA150" i="33" s="1"/>
  <c r="T150" i="33"/>
  <c r="AO150" i="33"/>
  <c r="Q39" i="33"/>
  <c r="P39" i="33"/>
  <c r="AS39" i="33"/>
  <c r="AK39" i="33"/>
  <c r="AT138" i="33"/>
  <c r="P96" i="33"/>
  <c r="AS96" i="33"/>
  <c r="AK96" i="33"/>
  <c r="Q96" i="33"/>
  <c r="AV96" i="33" s="1"/>
  <c r="AM139" i="33"/>
  <c r="AN139" i="33" s="1"/>
  <c r="AU139" i="33"/>
  <c r="AV139" i="33" s="1"/>
  <c r="AT140" i="33"/>
  <c r="AU74" i="33"/>
  <c r="AV74" i="33" s="1"/>
  <c r="AM74" i="33"/>
  <c r="AN74" i="33" s="1"/>
  <c r="AU64" i="33"/>
  <c r="AV64" i="33" s="1"/>
  <c r="AM64" i="33"/>
  <c r="AN64" i="33" s="1"/>
  <c r="AS69" i="33"/>
  <c r="Q69" i="33"/>
  <c r="P69" i="33"/>
  <c r="AL69" i="33" s="1"/>
  <c r="AK69" i="33"/>
  <c r="AN80" i="33"/>
  <c r="AU30" i="33"/>
  <c r="AV30" i="33" s="1"/>
  <c r="AM30" i="33"/>
  <c r="AN30" i="33" s="1"/>
  <c r="AS143" i="33"/>
  <c r="Q143" i="33"/>
  <c r="AK143" i="33"/>
  <c r="AC143" i="33"/>
  <c r="P143" i="33"/>
  <c r="Q132" i="33"/>
  <c r="AS132" i="33"/>
  <c r="P132" i="33"/>
  <c r="AK132" i="33"/>
  <c r="R139" i="33"/>
  <c r="AL139" i="33"/>
  <c r="AS76" i="33"/>
  <c r="Q76" i="33"/>
  <c r="P76" i="33"/>
  <c r="AK76" i="33"/>
  <c r="BQ124" i="48"/>
  <c r="P130" i="33"/>
  <c r="AS130" i="33"/>
  <c r="AK130" i="33"/>
  <c r="Q130" i="33"/>
  <c r="AU37" i="33"/>
  <c r="AM37" i="33"/>
  <c r="AN51" i="33"/>
  <c r="AU112" i="33"/>
  <c r="AM112" i="33"/>
  <c r="AM126" i="33"/>
  <c r="AN126" i="33" s="1"/>
  <c r="AU126" i="33"/>
  <c r="AV126" i="33" s="1"/>
  <c r="AO144" i="33"/>
  <c r="AK75" i="33"/>
  <c r="Q75" i="33"/>
  <c r="AS75" i="33"/>
  <c r="P75" i="33"/>
  <c r="R126" i="33"/>
  <c r="AL126" i="33"/>
  <c r="AM114" i="33"/>
  <c r="AN114" i="33" s="1"/>
  <c r="AU114" i="33"/>
  <c r="AV114" i="33" s="1"/>
  <c r="AU86" i="33"/>
  <c r="AM86" i="33"/>
  <c r="T116" i="33"/>
  <c r="Z116" i="33"/>
  <c r="AA116" i="33" s="1"/>
  <c r="O104" i="33"/>
  <c r="BP97" i="48"/>
  <c r="BN97" i="48"/>
  <c r="BO97" i="48"/>
  <c r="AU113" i="33"/>
  <c r="AV113" i="33" s="1"/>
  <c r="AM113" i="33"/>
  <c r="AN113" i="33" s="1"/>
  <c r="BQ103" i="48"/>
  <c r="BT131" i="48"/>
  <c r="BX131" i="48" s="1"/>
  <c r="BR131" i="48"/>
  <c r="BT73" i="48"/>
  <c r="BX73" i="48" s="1"/>
  <c r="BR73" i="48"/>
  <c r="BR43" i="48"/>
  <c r="BT43" i="48"/>
  <c r="BV43" i="48" s="1"/>
  <c r="BQ58" i="48"/>
  <c r="P60" i="33"/>
  <c r="Q60" i="33"/>
  <c r="AS60" i="33"/>
  <c r="AK60" i="33"/>
  <c r="AM111" i="33"/>
  <c r="AN111" i="33" s="1"/>
  <c r="AU111" i="33"/>
  <c r="AV111" i="33" s="1"/>
  <c r="AU40" i="33"/>
  <c r="AM40" i="33"/>
  <c r="Z101" i="33"/>
  <c r="AA101" i="33" s="1"/>
  <c r="T101" i="33"/>
  <c r="BX57" i="48"/>
  <c r="BV57" i="48"/>
  <c r="AS121" i="33"/>
  <c r="Q121" i="33"/>
  <c r="AV121" i="33" s="1"/>
  <c r="AK121" i="33"/>
  <c r="P121" i="33"/>
  <c r="BR120" i="48"/>
  <c r="BT120" i="48"/>
  <c r="BX120" i="48" s="1"/>
  <c r="AU72" i="33"/>
  <c r="AM72" i="33"/>
  <c r="BQ139" i="48"/>
  <c r="BT107" i="48"/>
  <c r="BX107" i="48" s="1"/>
  <c r="BR107" i="48"/>
  <c r="BQ86" i="48"/>
  <c r="AT74" i="33"/>
  <c r="AU62" i="33"/>
  <c r="AV62" i="33" s="1"/>
  <c r="AM62" i="33"/>
  <c r="AN62" i="33" s="1"/>
  <c r="AL102" i="33"/>
  <c r="AL89" i="33"/>
  <c r="AS67" i="33"/>
  <c r="Q67" i="33"/>
  <c r="AV67" i="33" s="1"/>
  <c r="AK67" i="33"/>
  <c r="P67" i="33"/>
  <c r="Q70" i="33"/>
  <c r="AS70" i="33"/>
  <c r="P70" i="33"/>
  <c r="AK70" i="33"/>
  <c r="AS40" i="33"/>
  <c r="P40" i="33"/>
  <c r="AL40" i="33" s="1"/>
  <c r="Q40" i="33"/>
  <c r="AK40" i="33"/>
  <c r="AM69" i="33"/>
  <c r="AU69" i="33"/>
  <c r="BX56" i="48"/>
  <c r="BV56" i="48"/>
  <c r="AU124" i="33"/>
  <c r="AV124" i="33" s="1"/>
  <c r="AM124" i="33"/>
  <c r="AN124" i="33" s="1"/>
  <c r="AM88" i="33"/>
  <c r="AN88" i="33" s="1"/>
  <c r="AU88" i="33"/>
  <c r="AV88" i="33" s="1"/>
  <c r="AS55" i="33"/>
  <c r="AK55" i="33"/>
  <c r="Q55" i="33"/>
  <c r="AV55" i="33" s="1"/>
  <c r="P55" i="33"/>
  <c r="BQ98" i="48"/>
  <c r="BX28" i="48"/>
  <c r="AU47" i="33"/>
  <c r="AM47" i="33"/>
  <c r="AT32" i="33"/>
  <c r="AL32" i="33"/>
  <c r="P97" i="33"/>
  <c r="AS97" i="33"/>
  <c r="Q97" i="33"/>
  <c r="AK97" i="33"/>
  <c r="P149" i="33"/>
  <c r="Q149" i="33"/>
  <c r="AK149" i="33"/>
  <c r="AS149" i="33"/>
  <c r="AC149" i="33"/>
  <c r="AS72" i="33"/>
  <c r="AK72" i="33"/>
  <c r="Q72" i="33"/>
  <c r="P72" i="33"/>
  <c r="AL72" i="33" s="1"/>
  <c r="Z46" i="33"/>
  <c r="AO46" i="33"/>
  <c r="T46" i="33"/>
  <c r="V46" i="33" s="1"/>
  <c r="X46" i="33" s="1"/>
  <c r="BR132" i="48"/>
  <c r="BT132" i="48"/>
  <c r="BX132" i="48" s="1"/>
  <c r="BP110" i="48"/>
  <c r="BO110" i="48"/>
  <c r="O117" i="33"/>
  <c r="BN110" i="48"/>
  <c r="BR95" i="48"/>
  <c r="BT95" i="48"/>
  <c r="BX95" i="48" s="1"/>
  <c r="P135" i="33"/>
  <c r="AS135" i="33"/>
  <c r="AK135" i="33"/>
  <c r="Q135" i="33"/>
  <c r="Q156" i="33"/>
  <c r="AC156" i="33"/>
  <c r="P156" i="33"/>
  <c r="Q134" i="33"/>
  <c r="AV134" i="33" s="1"/>
  <c r="AS134" i="33"/>
  <c r="P134" i="33"/>
  <c r="AK134" i="33"/>
  <c r="BQ129" i="48"/>
  <c r="AO129" i="33" s="1"/>
  <c r="BT44" i="48"/>
  <c r="BV44" i="48" s="1"/>
  <c r="BR44" i="48"/>
  <c r="AK65" i="33"/>
  <c r="P65" i="33"/>
  <c r="AL65" i="33" s="1"/>
  <c r="Q65" i="33"/>
  <c r="AS65" i="33"/>
  <c r="AU53" i="33"/>
  <c r="AV53" i="33" s="1"/>
  <c r="AM53" i="33"/>
  <c r="AN53" i="33" s="1"/>
  <c r="BQ66" i="48"/>
  <c r="AK118" i="33"/>
  <c r="AS118" i="33"/>
  <c r="P118" i="33"/>
  <c r="Q118" i="33"/>
  <c r="R114" i="33"/>
  <c r="BT150" i="48"/>
  <c r="BX150" i="48" s="1"/>
  <c r="BR150" i="48"/>
  <c r="AW150" i="33"/>
  <c r="AU116" i="33"/>
  <c r="AV116" i="33" s="1"/>
  <c r="AM116" i="33"/>
  <c r="AN116" i="33" s="1"/>
  <c r="AK66" i="33"/>
  <c r="P66" i="33"/>
  <c r="Q66" i="33"/>
  <c r="AS66" i="33"/>
  <c r="P145" i="33"/>
  <c r="AS145" i="33"/>
  <c r="AK145" i="33"/>
  <c r="Q145" i="33"/>
  <c r="AC145" i="33"/>
  <c r="AC146" i="33"/>
  <c r="P146" i="33"/>
  <c r="AK146" i="33"/>
  <c r="AS146" i="33"/>
  <c r="Q146" i="33"/>
  <c r="AV146" i="33" s="1"/>
  <c r="R62" i="33"/>
  <c r="AL49" i="33"/>
  <c r="AL35" i="33"/>
  <c r="BQ79" i="48"/>
  <c r="AU140" i="33"/>
  <c r="AV140" i="33" s="1"/>
  <c r="AM140" i="33"/>
  <c r="AN140" i="33" s="1"/>
  <c r="AU90" i="33"/>
  <c r="AV90" i="33" s="1"/>
  <c r="AM90" i="33"/>
  <c r="AN90" i="33" s="1"/>
  <c r="BQ74" i="48"/>
  <c r="AL30" i="33"/>
  <c r="AT30" i="33"/>
  <c r="AM65" i="33"/>
  <c r="AU65" i="33"/>
  <c r="AU60" i="33"/>
  <c r="AM60" i="33"/>
  <c r="AU63" i="33"/>
  <c r="AV63" i="33" s="1"/>
  <c r="AM63" i="33"/>
  <c r="AN63" i="33" s="1"/>
  <c r="AL101" i="33"/>
  <c r="P131" i="33"/>
  <c r="Q131" i="33"/>
  <c r="AK131" i="33"/>
  <c r="AS131" i="33"/>
  <c r="P105" i="33"/>
  <c r="AS105" i="33"/>
  <c r="Q105" i="33"/>
  <c r="AK105" i="33"/>
  <c r="AT126" i="33"/>
  <c r="AA36" i="33"/>
  <c r="AM35" i="33"/>
  <c r="AN35" i="33" s="1"/>
  <c r="AU35" i="33"/>
  <c r="AV35" i="33" s="1"/>
  <c r="O112" i="33"/>
  <c r="BP105" i="48"/>
  <c r="BO105" i="48"/>
  <c r="BN105" i="48"/>
  <c r="O41" i="33"/>
  <c r="BP34" i="48"/>
  <c r="BO34" i="48"/>
  <c r="BN34" i="48"/>
  <c r="Z100" i="33"/>
  <c r="AA100" i="33" s="1"/>
  <c r="T100" i="33"/>
  <c r="Q45" i="33"/>
  <c r="P45" i="33"/>
  <c r="AL45" i="33" s="1"/>
  <c r="AK45" i="33"/>
  <c r="AS45" i="33"/>
  <c r="AU127" i="33"/>
  <c r="AV127" i="33" s="1"/>
  <c r="AM127" i="33"/>
  <c r="AN127" i="33" s="1"/>
  <c r="AS136" i="33"/>
  <c r="P136" i="33"/>
  <c r="AL136" i="33" s="1"/>
  <c r="AK136" i="33"/>
  <c r="Q136" i="33"/>
  <c r="AL128" i="33"/>
  <c r="AU101" i="33"/>
  <c r="AV101" i="33" s="1"/>
  <c r="AM101" i="33"/>
  <c r="AN101" i="33" s="1"/>
  <c r="AS73" i="33"/>
  <c r="AK73" i="33"/>
  <c r="P73" i="33"/>
  <c r="Q73" i="33"/>
  <c r="AV73" i="33" s="1"/>
  <c r="BR121" i="48"/>
  <c r="BT121" i="48"/>
  <c r="BX121" i="48" s="1"/>
  <c r="BT54" i="48"/>
  <c r="BV54" i="48" s="1"/>
  <c r="BR54" i="48"/>
  <c r="R74" i="33"/>
  <c r="AL74" i="33"/>
  <c r="AU77" i="33"/>
  <c r="AM77" i="33"/>
  <c r="AS123" i="33"/>
  <c r="P123" i="33"/>
  <c r="AL123" i="33" s="1"/>
  <c r="AK123" i="33"/>
  <c r="Q123" i="33"/>
  <c r="AU59" i="33"/>
  <c r="AV59" i="33" s="1"/>
  <c r="AM59" i="33"/>
  <c r="AN59" i="33" s="1"/>
  <c r="P43" i="33"/>
  <c r="Q43" i="33"/>
  <c r="AV43" i="33" s="1"/>
  <c r="AS43" i="33"/>
  <c r="AK43" i="33"/>
  <c r="AT51" i="33"/>
  <c r="AL51" i="33"/>
  <c r="P78" i="33"/>
  <c r="Q78" i="33"/>
  <c r="AK78" i="33"/>
  <c r="AS78" i="33"/>
  <c r="AK147" i="33"/>
  <c r="AC147" i="33"/>
  <c r="AS147" i="33"/>
  <c r="P147" i="33"/>
  <c r="Q147" i="33"/>
  <c r="Q81" i="33"/>
  <c r="AV81" i="33" s="1"/>
  <c r="P81" i="33"/>
  <c r="AK81" i="33"/>
  <c r="AS81" i="33"/>
  <c r="Q99" i="33"/>
  <c r="AS99" i="33"/>
  <c r="P99" i="33"/>
  <c r="AT99" i="33" s="1"/>
  <c r="AK99" i="33"/>
  <c r="BQ64" i="48"/>
  <c r="AT62" i="33"/>
  <c r="BQ30" i="48"/>
  <c r="Q109" i="33"/>
  <c r="AK109" i="33"/>
  <c r="AS109" i="33"/>
  <c r="P109" i="33"/>
  <c r="R127" i="33"/>
  <c r="AT88" i="33"/>
  <c r="BQ84" i="48"/>
  <c r="AK82" i="33"/>
  <c r="Q82" i="33"/>
  <c r="AV82" i="33" s="1"/>
  <c r="AS82" i="33"/>
  <c r="P82" i="33"/>
  <c r="AM99" i="33"/>
  <c r="AU99" i="33"/>
  <c r="BQ100" i="48"/>
  <c r="AO100" i="33" s="1"/>
  <c r="BQ112" i="48"/>
  <c r="AL58" i="33"/>
  <c r="BQ126" i="48"/>
  <c r="BP70" i="48"/>
  <c r="BO70" i="48"/>
  <c r="BN70" i="48"/>
  <c r="O77" i="33"/>
  <c r="AM128" i="33"/>
  <c r="AN128" i="33" s="1"/>
  <c r="AU128" i="33"/>
  <c r="AV128" i="33" s="1"/>
  <c r="AM61" i="33"/>
  <c r="AN61" i="33" s="1"/>
  <c r="AU61" i="33"/>
  <c r="AV61" i="33" s="1"/>
  <c r="T85" i="33"/>
  <c r="Z85" i="33"/>
  <c r="AA85" i="33" s="1"/>
  <c r="AM138" i="33"/>
  <c r="AN138" i="33" s="1"/>
  <c r="AU138" i="33"/>
  <c r="AV138" i="33" s="1"/>
  <c r="AL80" i="33"/>
  <c r="AT80" i="33"/>
  <c r="BO76" i="48"/>
  <c r="BN76" i="48"/>
  <c r="O83" i="33"/>
  <c r="BP76" i="48"/>
  <c r="AU38" i="33"/>
  <c r="AV38" i="33" s="1"/>
  <c r="AM38" i="33"/>
  <c r="AN38" i="33" s="1"/>
  <c r="BQ61" i="48"/>
  <c r="AU141" i="33"/>
  <c r="AV141" i="33" s="1"/>
  <c r="AM141" i="33"/>
  <c r="AN141" i="33" s="1"/>
  <c r="Q108" i="33"/>
  <c r="AV108" i="33" s="1"/>
  <c r="AS108" i="33"/>
  <c r="AK108" i="33"/>
  <c r="P108" i="33"/>
  <c r="BQ68" i="48"/>
  <c r="AM49" i="33"/>
  <c r="AN49" i="33" s="1"/>
  <c r="AU49" i="33"/>
  <c r="AV49" i="33" s="1"/>
  <c r="BQ40" i="48"/>
  <c r="BQ77" i="48"/>
  <c r="BQ35" i="48"/>
  <c r="AU32" i="33"/>
  <c r="AV32" i="33" s="1"/>
  <c r="AM32" i="33"/>
  <c r="AN32" i="33" s="1"/>
  <c r="AU36" i="33"/>
  <c r="AV36" i="33" s="1"/>
  <c r="AM36" i="33"/>
  <c r="AN36" i="33" s="1"/>
  <c r="AU89" i="33"/>
  <c r="AV89" i="33" s="1"/>
  <c r="AM89" i="33"/>
  <c r="AN89" i="33" s="1"/>
  <c r="BQ72" i="48"/>
  <c r="R103" i="33"/>
  <c r="AU71" i="33"/>
  <c r="AM71" i="33"/>
  <c r="AT90" i="33"/>
  <c r="AM85" i="33"/>
  <c r="AN85" i="33" s="1"/>
  <c r="AU85" i="33"/>
  <c r="AV85" i="33" s="1"/>
  <c r="AU92" i="33"/>
  <c r="AM92" i="33"/>
  <c r="P71" i="33"/>
  <c r="AL71" i="33" s="1"/>
  <c r="AK71" i="33"/>
  <c r="Q71" i="33"/>
  <c r="AS71" i="33"/>
  <c r="BQ62" i="48"/>
  <c r="AD19" i="33"/>
  <c r="AM136" i="33"/>
  <c r="AU136" i="33"/>
  <c r="AU102" i="33"/>
  <c r="AV102" i="33" s="1"/>
  <c r="AM102" i="33"/>
  <c r="AN102" i="33" s="1"/>
  <c r="BX39" i="48"/>
  <c r="AL61" i="33"/>
  <c r="BQ88" i="48"/>
  <c r="AU75" i="33"/>
  <c r="AM75" i="33"/>
  <c r="AS119" i="33"/>
  <c r="Q119" i="33"/>
  <c r="AV119" i="33" s="1"/>
  <c r="P119" i="33"/>
  <c r="AK119" i="33"/>
  <c r="BP87" i="48"/>
  <c r="BO87" i="48"/>
  <c r="BN87" i="48"/>
  <c r="O94" i="33"/>
  <c r="T38" i="33"/>
  <c r="V38" i="33" s="1"/>
  <c r="X38" i="33" s="1"/>
  <c r="Z38" i="33"/>
  <c r="AM149" i="33"/>
  <c r="AU149" i="33"/>
  <c r="Z129" i="33"/>
  <c r="AA129" i="33" s="1"/>
  <c r="T129" i="33"/>
  <c r="R80" i="33"/>
  <c r="P120" i="33"/>
  <c r="Q120" i="33"/>
  <c r="AV120" i="33" s="1"/>
  <c r="AS120" i="33"/>
  <c r="AK120" i="33"/>
  <c r="P110" i="33"/>
  <c r="AK110" i="33"/>
  <c r="AS110" i="33"/>
  <c r="Q110" i="33"/>
  <c r="AS68" i="33"/>
  <c r="Q68" i="33"/>
  <c r="P68" i="33"/>
  <c r="AL68" i="33" s="1"/>
  <c r="AK68" i="33"/>
  <c r="BT41" i="48"/>
  <c r="BV41" i="48" s="1"/>
  <c r="BR41" i="48"/>
  <c r="AK148" i="33"/>
  <c r="AS148" i="33"/>
  <c r="AC148" i="33"/>
  <c r="Q148" i="33"/>
  <c r="P148" i="33"/>
  <c r="AK54" i="33"/>
  <c r="Q54" i="33"/>
  <c r="AV54" i="33" s="1"/>
  <c r="AS54" i="33"/>
  <c r="P54" i="33"/>
  <c r="BQ111" i="48"/>
  <c r="AS47" i="33"/>
  <c r="P47" i="33"/>
  <c r="AL47" i="33" s="1"/>
  <c r="Q47" i="33"/>
  <c r="AK47" i="33"/>
  <c r="AA18" i="33"/>
  <c r="AD18" i="33"/>
  <c r="Q84" i="33"/>
  <c r="AS84" i="33"/>
  <c r="AK84" i="33"/>
  <c r="P84" i="33"/>
  <c r="AL84" i="33" s="1"/>
  <c r="P42" i="33"/>
  <c r="AK42" i="33"/>
  <c r="AS42" i="33"/>
  <c r="Q42" i="33"/>
  <c r="AV42" i="33" s="1"/>
  <c r="AL141" i="33"/>
  <c r="AK79" i="33"/>
  <c r="Q79" i="33"/>
  <c r="P79" i="33"/>
  <c r="AS79" i="33"/>
  <c r="AK93" i="33"/>
  <c r="AS93" i="33"/>
  <c r="P93" i="33"/>
  <c r="Q93" i="33"/>
  <c r="BQ90" i="48"/>
  <c r="BQ85" i="48"/>
  <c r="AL38" i="33"/>
  <c r="Z155" i="33"/>
  <c r="AA155" i="33" s="1"/>
  <c r="T155" i="33"/>
  <c r="AU142" i="33"/>
  <c r="AV142" i="33" s="1"/>
  <c r="AM142" i="33"/>
  <c r="AN142" i="33" s="1"/>
  <c r="BQ65" i="48"/>
  <c r="BQ63" i="48"/>
  <c r="AM33" i="33"/>
  <c r="AN33" i="33" s="1"/>
  <c r="AU33" i="33"/>
  <c r="AV33" i="33" s="1"/>
  <c r="P95" i="33"/>
  <c r="AK95" i="33"/>
  <c r="AS95" i="33"/>
  <c r="Q95" i="33"/>
  <c r="AV95" i="33" s="1"/>
  <c r="Q91" i="33"/>
  <c r="P91" i="33"/>
  <c r="AK91" i="33"/>
  <c r="AS91" i="33"/>
  <c r="AM48" i="33"/>
  <c r="AN48" i="33" s="1"/>
  <c r="AU48" i="33"/>
  <c r="AV48" i="33" s="1"/>
  <c r="BQ99" i="48"/>
  <c r="Q107" i="33"/>
  <c r="AS107" i="33"/>
  <c r="AK107" i="33"/>
  <c r="P107" i="33"/>
  <c r="BQ45" i="48"/>
  <c r="BK50" i="48"/>
  <c r="BM50" i="48" s="1"/>
  <c r="BE7" i="48"/>
  <c r="BF7" i="48" s="1"/>
  <c r="BF151" i="48" s="1"/>
  <c r="BU69" i="48"/>
  <c r="U75" i="33"/>
  <c r="BX55" i="48" l="1"/>
  <c r="BM165" i="48"/>
  <c r="BP165" i="48" s="1"/>
  <c r="BR127" i="48"/>
  <c r="AV79" i="33"/>
  <c r="BT48" i="48"/>
  <c r="BV48" i="48" s="1"/>
  <c r="BT71" i="48"/>
  <c r="BX71" i="48" s="1"/>
  <c r="AO101" i="33"/>
  <c r="AN75" i="33"/>
  <c r="AO116" i="33"/>
  <c r="BT33" i="48"/>
  <c r="BV33" i="48" s="1"/>
  <c r="BR33" i="48"/>
  <c r="BT69" i="48"/>
  <c r="BX69" i="48" s="1"/>
  <c r="BT128" i="48"/>
  <c r="BX128" i="48" s="1"/>
  <c r="BT140" i="48"/>
  <c r="BX140" i="48" s="1"/>
  <c r="AW113" i="33"/>
  <c r="BR116" i="48"/>
  <c r="BT37" i="48"/>
  <c r="BV37" i="48" s="1"/>
  <c r="BR113" i="48"/>
  <c r="AO59" i="33"/>
  <c r="AW48" i="33"/>
  <c r="AO33" i="33"/>
  <c r="BT59" i="48"/>
  <c r="BX59" i="48" s="1"/>
  <c r="AW53" i="33"/>
  <c r="AW127" i="33"/>
  <c r="AN149" i="33"/>
  <c r="BT113" i="48"/>
  <c r="BX113" i="48" s="1"/>
  <c r="AN67" i="33"/>
  <c r="AD53" i="33"/>
  <c r="T128" i="33"/>
  <c r="T61" i="33"/>
  <c r="V61" i="33" s="1"/>
  <c r="X61" i="33" s="1"/>
  <c r="AD61" i="33" s="1"/>
  <c r="AO61" i="33"/>
  <c r="AD63" i="33"/>
  <c r="AD59" i="33"/>
  <c r="BT149" i="48"/>
  <c r="BX149" i="48" s="1"/>
  <c r="AW101" i="33"/>
  <c r="AW128" i="33"/>
  <c r="T157" i="33"/>
  <c r="BR60" i="48"/>
  <c r="AO36" i="33"/>
  <c r="BT36" i="48"/>
  <c r="BV36" i="48" s="1"/>
  <c r="AO58" i="33"/>
  <c r="AW32" i="33"/>
  <c r="BT114" i="48"/>
  <c r="BX114" i="48" s="1"/>
  <c r="BQ118" i="48"/>
  <c r="BR118" i="48" s="1"/>
  <c r="AL110" i="33"/>
  <c r="BR101" i="48"/>
  <c r="AV72" i="33"/>
  <c r="BV42" i="48"/>
  <c r="BT142" i="48"/>
  <c r="BX142" i="48" s="1"/>
  <c r="BT32" i="48"/>
  <c r="BV32" i="48" s="1"/>
  <c r="BT116" i="48"/>
  <c r="BX116" i="48" s="1"/>
  <c r="BR59" i="48"/>
  <c r="AO142" i="33"/>
  <c r="BR142" i="48"/>
  <c r="BR32" i="48"/>
  <c r="AL118" i="33"/>
  <c r="BX67" i="48"/>
  <c r="BV67" i="48"/>
  <c r="AO49" i="33"/>
  <c r="Z35" i="33"/>
  <c r="AD35" i="33" s="1"/>
  <c r="T49" i="33"/>
  <c r="V49" i="33" s="1"/>
  <c r="X49" i="33" s="1"/>
  <c r="AD49" i="33" s="1"/>
  <c r="AO89" i="33"/>
  <c r="AD21" i="33"/>
  <c r="AN108" i="33"/>
  <c r="AO35" i="33"/>
  <c r="AT69" i="33"/>
  <c r="AT40" i="33"/>
  <c r="Z89" i="33"/>
  <c r="AA89" i="33" s="1"/>
  <c r="T51" i="33"/>
  <c r="V51" i="33" s="1"/>
  <c r="X51" i="33" s="1"/>
  <c r="AV75" i="33"/>
  <c r="R67" i="33"/>
  <c r="Z67" i="33" s="1"/>
  <c r="Z51" i="33"/>
  <c r="AA51" i="33" s="1"/>
  <c r="AT123" i="33"/>
  <c r="Z138" i="33"/>
  <c r="AA138" i="33" s="1"/>
  <c r="AO51" i="33"/>
  <c r="AO48" i="33"/>
  <c r="Z102" i="33"/>
  <c r="AA102" i="33" s="1"/>
  <c r="Z154" i="33"/>
  <c r="AA154" i="33" s="1"/>
  <c r="AN96" i="33"/>
  <c r="AN60" i="33"/>
  <c r="R135" i="33"/>
  <c r="AO135" i="33" s="1"/>
  <c r="Z151" i="33"/>
  <c r="AA151" i="33" s="1"/>
  <c r="R95" i="33"/>
  <c r="AO95" i="33" s="1"/>
  <c r="AO102" i="33"/>
  <c r="AD15" i="33"/>
  <c r="AN86" i="33"/>
  <c r="T58" i="33"/>
  <c r="V58" i="33" s="1"/>
  <c r="X58" i="33" s="1"/>
  <c r="AV86" i="33"/>
  <c r="Z58" i="33"/>
  <c r="T141" i="33"/>
  <c r="AW138" i="33"/>
  <c r="R66" i="33"/>
  <c r="T66" i="33" s="1"/>
  <c r="V66" i="33" s="1"/>
  <c r="X66" i="33" s="1"/>
  <c r="AO128" i="33"/>
  <c r="R52" i="33"/>
  <c r="AO52" i="33" s="1"/>
  <c r="AO140" i="33"/>
  <c r="R55" i="33"/>
  <c r="AO55" i="33" s="1"/>
  <c r="T50" i="33"/>
  <c r="V50" i="33" s="1"/>
  <c r="X50" i="33" s="1"/>
  <c r="AD50" i="33" s="1"/>
  <c r="AW140" i="33"/>
  <c r="T140" i="33"/>
  <c r="AA64" i="33"/>
  <c r="AN65" i="33"/>
  <c r="R69" i="33"/>
  <c r="AW69" i="33" s="1"/>
  <c r="AV37" i="33"/>
  <c r="AV99" i="33"/>
  <c r="R130" i="33"/>
  <c r="T130" i="33" s="1"/>
  <c r="R156" i="33"/>
  <c r="T156" i="33" s="1"/>
  <c r="R91" i="33"/>
  <c r="AO91" i="33" s="1"/>
  <c r="R109" i="33"/>
  <c r="T109" i="33" s="1"/>
  <c r="R97" i="33"/>
  <c r="T97" i="33" s="1"/>
  <c r="R132" i="33"/>
  <c r="Z132" i="33" s="1"/>
  <c r="AA132" i="33" s="1"/>
  <c r="BT47" i="48"/>
  <c r="BX47" i="48" s="1"/>
  <c r="AO53" i="33"/>
  <c r="BR53" i="48"/>
  <c r="R76" i="33"/>
  <c r="Z76" i="33" s="1"/>
  <c r="AA76" i="33" s="1"/>
  <c r="T153" i="33"/>
  <c r="AV71" i="33"/>
  <c r="BX43" i="48"/>
  <c r="AN92" i="33"/>
  <c r="R149" i="33"/>
  <c r="T149" i="33" s="1"/>
  <c r="AW36" i="33"/>
  <c r="AT76" i="33"/>
  <c r="R56" i="33"/>
  <c r="Z56" i="33" s="1"/>
  <c r="Z115" i="33"/>
  <c r="AA115" i="33" s="1"/>
  <c r="AT72" i="33"/>
  <c r="R73" i="33"/>
  <c r="AW73" i="33" s="1"/>
  <c r="T48" i="33"/>
  <c r="V48" i="33" s="1"/>
  <c r="X48" i="33" s="1"/>
  <c r="BT138" i="48"/>
  <c r="BX138" i="48" s="1"/>
  <c r="AN136" i="33"/>
  <c r="Z48" i="33"/>
  <c r="AA48" i="33" s="1"/>
  <c r="BQ97" i="48"/>
  <c r="BT97" i="48" s="1"/>
  <c r="BX97" i="48" s="1"/>
  <c r="BR75" i="48"/>
  <c r="BQ87" i="48"/>
  <c r="AW87" i="33" s="1"/>
  <c r="AT65" i="33"/>
  <c r="AN81" i="33"/>
  <c r="AO138" i="33"/>
  <c r="AN69" i="33"/>
  <c r="AO141" i="33"/>
  <c r="BR138" i="48"/>
  <c r="AV84" i="33"/>
  <c r="AT92" i="33"/>
  <c r="R106" i="33"/>
  <c r="Z106" i="33" s="1"/>
  <c r="AA106" i="33" s="1"/>
  <c r="AN73" i="33"/>
  <c r="R82" i="33"/>
  <c r="AO82" i="33" s="1"/>
  <c r="R78" i="33"/>
  <c r="T78" i="33" s="1"/>
  <c r="R45" i="33"/>
  <c r="Z45" i="33" s="1"/>
  <c r="R121" i="33"/>
  <c r="AW121" i="33" s="1"/>
  <c r="BQ76" i="48"/>
  <c r="BR76" i="48" s="1"/>
  <c r="R147" i="33"/>
  <c r="Z147" i="33" s="1"/>
  <c r="AA147" i="33" s="1"/>
  <c r="R136" i="33"/>
  <c r="AW136" i="33" s="1"/>
  <c r="R65" i="33"/>
  <c r="Z65" i="33" s="1"/>
  <c r="AA65" i="33" s="1"/>
  <c r="R93" i="33"/>
  <c r="Z93" i="33" s="1"/>
  <c r="AA93" i="33" s="1"/>
  <c r="AT68" i="33"/>
  <c r="AV68" i="33"/>
  <c r="AO88" i="33"/>
  <c r="R43" i="33"/>
  <c r="AW43" i="33" s="1"/>
  <c r="AN37" i="33"/>
  <c r="R39" i="33"/>
  <c r="Z39" i="33" s="1"/>
  <c r="BX41" i="48"/>
  <c r="R110" i="33"/>
  <c r="Z110" i="33" s="1"/>
  <c r="AA110" i="33" s="1"/>
  <c r="R120" i="33"/>
  <c r="AO120" i="33" s="1"/>
  <c r="AT70" i="33"/>
  <c r="R44" i="33"/>
  <c r="Z44" i="33" s="1"/>
  <c r="BR92" i="48"/>
  <c r="BX60" i="48"/>
  <c r="AN95" i="33"/>
  <c r="AV123" i="33"/>
  <c r="BX54" i="48"/>
  <c r="AN121" i="33"/>
  <c r="R134" i="33"/>
  <c r="T134" i="33" s="1"/>
  <c r="AT47" i="33"/>
  <c r="R40" i="33"/>
  <c r="AW40" i="33" s="1"/>
  <c r="AV66" i="33"/>
  <c r="AN44" i="33"/>
  <c r="AW141" i="33"/>
  <c r="R68" i="33"/>
  <c r="T68" i="33" s="1"/>
  <c r="V68" i="33" s="1"/>
  <c r="X68" i="33" s="1"/>
  <c r="AL105" i="33"/>
  <c r="AT45" i="33"/>
  <c r="AV40" i="33"/>
  <c r="Z88" i="33"/>
  <c r="AA88" i="33" s="1"/>
  <c r="BT141" i="48"/>
  <c r="BX141" i="48" s="1"/>
  <c r="R146" i="33"/>
  <c r="AW146" i="33" s="1"/>
  <c r="AV148" i="33"/>
  <c r="AN148" i="33"/>
  <c r="BR63" i="48"/>
  <c r="AW63" i="33"/>
  <c r="BT63" i="48"/>
  <c r="AO63" i="33"/>
  <c r="R79" i="33"/>
  <c r="AW79" i="33" s="1"/>
  <c r="AK94" i="33"/>
  <c r="P94" i="33"/>
  <c r="Q94" i="33"/>
  <c r="AS94" i="33"/>
  <c r="R71" i="33"/>
  <c r="BT40" i="48"/>
  <c r="BV40" i="48" s="1"/>
  <c r="BR40" i="48"/>
  <c r="AT71" i="33"/>
  <c r="AT82" i="33"/>
  <c r="AL82" i="33"/>
  <c r="AU105" i="33"/>
  <c r="AV105" i="33" s="1"/>
  <c r="AM105" i="33"/>
  <c r="AN105" i="33" s="1"/>
  <c r="AN131" i="33"/>
  <c r="AV131" i="33"/>
  <c r="BT129" i="48"/>
  <c r="BX129" i="48" s="1"/>
  <c r="BR129" i="48"/>
  <c r="AW129" i="33"/>
  <c r="AN47" i="33"/>
  <c r="BT98" i="48"/>
  <c r="BX98" i="48" s="1"/>
  <c r="AW98" i="33"/>
  <c r="BR98" i="48"/>
  <c r="AO98" i="33"/>
  <c r="AL121" i="33"/>
  <c r="AT121" i="33"/>
  <c r="AV60" i="33"/>
  <c r="AV143" i="33"/>
  <c r="AN143" i="33"/>
  <c r="AL96" i="33"/>
  <c r="AT96" i="33"/>
  <c r="AV56" i="33"/>
  <c r="AN56" i="33"/>
  <c r="BT125" i="48"/>
  <c r="BX125" i="48" s="1"/>
  <c r="BR125" i="48"/>
  <c r="AN66" i="33"/>
  <c r="BX51" i="48"/>
  <c r="AM115" i="33"/>
  <c r="AN115" i="33" s="1"/>
  <c r="AU115" i="33"/>
  <c r="AV115" i="33" s="1"/>
  <c r="AN123" i="33"/>
  <c r="R86" i="33"/>
  <c r="AW86" i="33" s="1"/>
  <c r="AL86" i="33"/>
  <c r="O57" i="33"/>
  <c r="BP50" i="48"/>
  <c r="BO50" i="48"/>
  <c r="BN50" i="48"/>
  <c r="Q41" i="33"/>
  <c r="AK41" i="33"/>
  <c r="P41" i="33"/>
  <c r="AS41" i="33"/>
  <c r="AV145" i="33"/>
  <c r="AN145" i="33"/>
  <c r="AL133" i="33"/>
  <c r="AT133" i="33"/>
  <c r="BR85" i="48"/>
  <c r="AW85" i="33"/>
  <c r="BT85" i="48"/>
  <c r="BX85" i="48" s="1"/>
  <c r="R54" i="33"/>
  <c r="BT65" i="48"/>
  <c r="BR65" i="48"/>
  <c r="AW90" i="33"/>
  <c r="BR90" i="48"/>
  <c r="BT90" i="48"/>
  <c r="BX90" i="48" s="1"/>
  <c r="AL54" i="33"/>
  <c r="AT54" i="33"/>
  <c r="AM87" i="33"/>
  <c r="AN87" i="33" s="1"/>
  <c r="AU87" i="33"/>
  <c r="AV87" i="33" s="1"/>
  <c r="AW126" i="33"/>
  <c r="BT126" i="48"/>
  <c r="BX126" i="48" s="1"/>
  <c r="BR126" i="48"/>
  <c r="AT109" i="33"/>
  <c r="AL109" i="33"/>
  <c r="R105" i="33"/>
  <c r="AL131" i="33"/>
  <c r="AT131" i="33"/>
  <c r="AV65" i="33"/>
  <c r="AW139" i="33"/>
  <c r="BR139" i="48"/>
  <c r="BT139" i="48"/>
  <c r="BX139" i="48" s="1"/>
  <c r="AN40" i="33"/>
  <c r="AT60" i="33"/>
  <c r="AL60" i="33"/>
  <c r="AU97" i="33"/>
  <c r="AV97" i="33" s="1"/>
  <c r="AM97" i="33"/>
  <c r="AN97" i="33" s="1"/>
  <c r="Z126" i="33"/>
  <c r="AA126" i="33" s="1"/>
  <c r="T126" i="33"/>
  <c r="AO126" i="33"/>
  <c r="AN82" i="33"/>
  <c r="AL132" i="33"/>
  <c r="AT132" i="33"/>
  <c r="AN54" i="33"/>
  <c r="BT136" i="48"/>
  <c r="BX136" i="48" s="1"/>
  <c r="BR136" i="48"/>
  <c r="BQ115" i="48"/>
  <c r="R92" i="33"/>
  <c r="BT124" i="48"/>
  <c r="BX124" i="48" s="1"/>
  <c r="BR124" i="48"/>
  <c r="AW124" i="33"/>
  <c r="AO124" i="33"/>
  <c r="BT45" i="48"/>
  <c r="BV45" i="48" s="1"/>
  <c r="BR45" i="48"/>
  <c r="AT79" i="33"/>
  <c r="AL79" i="33"/>
  <c r="AL42" i="33"/>
  <c r="AT42" i="33"/>
  <c r="AN71" i="33"/>
  <c r="P83" i="33"/>
  <c r="AK83" i="33"/>
  <c r="AS83" i="33"/>
  <c r="Q83" i="33"/>
  <c r="Q77" i="33"/>
  <c r="AN77" i="33" s="1"/>
  <c r="P77" i="33"/>
  <c r="AK77" i="33"/>
  <c r="AS77" i="33"/>
  <c r="R99" i="33"/>
  <c r="AL99" i="33"/>
  <c r="AN147" i="33"/>
  <c r="AV147" i="33"/>
  <c r="AV78" i="33"/>
  <c r="AN78" i="33"/>
  <c r="R123" i="33"/>
  <c r="AW123" i="33" s="1"/>
  <c r="Z74" i="33"/>
  <c r="AA74" i="33" s="1"/>
  <c r="T74" i="33"/>
  <c r="V74" i="33" s="1"/>
  <c r="X74" i="33" s="1"/>
  <c r="AO74" i="33"/>
  <c r="AT105" i="33"/>
  <c r="AL145" i="33"/>
  <c r="AT145" i="33"/>
  <c r="AM110" i="33"/>
  <c r="AN110" i="33" s="1"/>
  <c r="AU110" i="33"/>
  <c r="AV110" i="33" s="1"/>
  <c r="AN120" i="33"/>
  <c r="AL55" i="33"/>
  <c r="AT55" i="33"/>
  <c r="AL67" i="33"/>
  <c r="AT67" i="33"/>
  <c r="AN42" i="33"/>
  <c r="AN72" i="33"/>
  <c r="BT58" i="48"/>
  <c r="BR58" i="48"/>
  <c r="AW58" i="33"/>
  <c r="R75" i="33"/>
  <c r="AL75" i="33"/>
  <c r="AL76" i="33"/>
  <c r="AL56" i="33"/>
  <c r="AT56" i="33"/>
  <c r="AN79" i="33"/>
  <c r="BR89" i="48"/>
  <c r="AW89" i="33"/>
  <c r="BT89" i="48"/>
  <c r="BX89" i="48" s="1"/>
  <c r="AK122" i="33"/>
  <c r="P122" i="33"/>
  <c r="Q122" i="33"/>
  <c r="AS122" i="33"/>
  <c r="AV106" i="33"/>
  <c r="AN106" i="33"/>
  <c r="AN43" i="33"/>
  <c r="AN133" i="33"/>
  <c r="AL119" i="33"/>
  <c r="AT119" i="33"/>
  <c r="R107" i="33"/>
  <c r="AL107" i="33"/>
  <c r="AT107" i="33"/>
  <c r="AL95" i="33"/>
  <c r="AT95" i="33"/>
  <c r="AN93" i="33"/>
  <c r="AV93" i="33"/>
  <c r="R84" i="33"/>
  <c r="AW84" i="33" s="1"/>
  <c r="R47" i="33"/>
  <c r="AV47" i="33"/>
  <c r="AT87" i="33"/>
  <c r="AL87" i="33"/>
  <c r="BR68" i="48"/>
  <c r="BT68" i="48"/>
  <c r="AU76" i="33"/>
  <c r="AV76" i="33" s="1"/>
  <c r="AM76" i="33"/>
  <c r="AN76" i="33" s="1"/>
  <c r="AO85" i="33"/>
  <c r="AM70" i="33"/>
  <c r="AN70" i="33" s="1"/>
  <c r="AU70" i="33"/>
  <c r="AV70" i="33" s="1"/>
  <c r="BR112" i="48"/>
  <c r="BT112" i="48"/>
  <c r="BX112" i="48" s="1"/>
  <c r="AT147" i="33"/>
  <c r="AL147" i="33"/>
  <c r="AL78" i="33"/>
  <c r="AT78" i="33"/>
  <c r="AU34" i="33"/>
  <c r="AV34" i="33" s="1"/>
  <c r="AM34" i="33"/>
  <c r="AN34" i="33" s="1"/>
  <c r="BQ105" i="48"/>
  <c r="BT79" i="48"/>
  <c r="BX79" i="48" s="1"/>
  <c r="BR79" i="48"/>
  <c r="AL146" i="33"/>
  <c r="AT146" i="33"/>
  <c r="AL134" i="33"/>
  <c r="AT134" i="33"/>
  <c r="AV135" i="33"/>
  <c r="AN135" i="33"/>
  <c r="Q117" i="33"/>
  <c r="P117" i="33"/>
  <c r="AS117" i="33"/>
  <c r="AK117" i="33"/>
  <c r="AN130" i="33"/>
  <c r="AV130" i="33"/>
  <c r="AN132" i="33"/>
  <c r="AV132" i="33"/>
  <c r="AN55" i="33"/>
  <c r="AM118" i="33"/>
  <c r="AN118" i="33" s="1"/>
  <c r="AU118" i="33"/>
  <c r="AV118" i="33" s="1"/>
  <c r="AL106" i="33"/>
  <c r="AT106" i="33"/>
  <c r="AV92" i="33"/>
  <c r="Z103" i="33"/>
  <c r="AA103" i="33" s="1"/>
  <c r="T103" i="33"/>
  <c r="AO103" i="33"/>
  <c r="BR35" i="48"/>
  <c r="BT35" i="48"/>
  <c r="BV35" i="48" s="1"/>
  <c r="AW35" i="33"/>
  <c r="R108" i="33"/>
  <c r="BR61" i="48"/>
  <c r="AW61" i="33"/>
  <c r="BT61" i="48"/>
  <c r="BV61" i="48" s="1"/>
  <c r="AW100" i="33"/>
  <c r="BR100" i="48"/>
  <c r="BT100" i="48"/>
  <c r="BX100" i="48" s="1"/>
  <c r="BR84" i="48"/>
  <c r="BT84" i="48"/>
  <c r="BX84" i="48" s="1"/>
  <c r="AV109" i="33"/>
  <c r="AN109" i="33"/>
  <c r="AV136" i="33"/>
  <c r="Q112" i="33"/>
  <c r="AV112" i="33" s="1"/>
  <c r="AK112" i="33"/>
  <c r="AS112" i="33"/>
  <c r="P112" i="33"/>
  <c r="BR66" i="48"/>
  <c r="BT66" i="48"/>
  <c r="AD46" i="33"/>
  <c r="AA46" i="33"/>
  <c r="AT97" i="33"/>
  <c r="AL97" i="33"/>
  <c r="AS104" i="33"/>
  <c r="AK104" i="33"/>
  <c r="Q104" i="33"/>
  <c r="P104" i="33"/>
  <c r="R143" i="33"/>
  <c r="R96" i="33"/>
  <c r="R37" i="33"/>
  <c r="AL37" i="33"/>
  <c r="T90" i="33"/>
  <c r="Z90" i="33"/>
  <c r="AA90" i="33" s="1"/>
  <c r="AO90" i="33"/>
  <c r="BR49" i="48"/>
  <c r="AW49" i="33"/>
  <c r="BT49" i="48"/>
  <c r="BV49" i="48" s="1"/>
  <c r="AS125" i="33"/>
  <c r="P125" i="33"/>
  <c r="AK125" i="33"/>
  <c r="Q125" i="33"/>
  <c r="AV52" i="33"/>
  <c r="AN52" i="33"/>
  <c r="BT62" i="48"/>
  <c r="AW62" i="33"/>
  <c r="BR62" i="48"/>
  <c r="R81" i="33"/>
  <c r="AL81" i="33"/>
  <c r="AT81" i="33"/>
  <c r="AT149" i="33"/>
  <c r="AL149" i="33"/>
  <c r="AN84" i="33"/>
  <c r="AL93" i="33"/>
  <c r="AT93" i="33"/>
  <c r="AL120" i="33"/>
  <c r="AT120" i="33"/>
  <c r="AA38" i="33"/>
  <c r="AD38" i="33"/>
  <c r="R119" i="33"/>
  <c r="AT84" i="33"/>
  <c r="BT72" i="48"/>
  <c r="BX72" i="48" s="1"/>
  <c r="BR72" i="48"/>
  <c r="BT77" i="48"/>
  <c r="BX77" i="48" s="1"/>
  <c r="BR77" i="48"/>
  <c r="AL108" i="33"/>
  <c r="AT108" i="33"/>
  <c r="AO30" i="33"/>
  <c r="BR30" i="48"/>
  <c r="AW30" i="33"/>
  <c r="BT30" i="48"/>
  <c r="BV30" i="48" s="1"/>
  <c r="AL73" i="33"/>
  <c r="AT73" i="33"/>
  <c r="AT34" i="33"/>
  <c r="AL34" i="33"/>
  <c r="R131" i="33"/>
  <c r="AL115" i="33"/>
  <c r="R145" i="33"/>
  <c r="Z114" i="33"/>
  <c r="AA114" i="33" s="1"/>
  <c r="T114" i="33"/>
  <c r="AO114" i="33"/>
  <c r="AT110" i="33"/>
  <c r="R72" i="33"/>
  <c r="AN134" i="33"/>
  <c r="BR86" i="48"/>
  <c r="BT86" i="48"/>
  <c r="BX86" i="48" s="1"/>
  <c r="R60" i="33"/>
  <c r="BT103" i="48"/>
  <c r="BX103" i="48" s="1"/>
  <c r="AW103" i="33"/>
  <c r="BR103" i="48"/>
  <c r="BX53" i="48"/>
  <c r="AT143" i="33"/>
  <c r="AL143" i="33"/>
  <c r="AT44" i="33"/>
  <c r="AL44" i="33"/>
  <c r="BR38" i="48"/>
  <c r="BT38" i="48"/>
  <c r="BV38" i="48" s="1"/>
  <c r="AW38" i="33"/>
  <c r="AL52" i="33"/>
  <c r="AT52" i="33"/>
  <c r="AT136" i="33"/>
  <c r="BT99" i="48"/>
  <c r="BX99" i="48" s="1"/>
  <c r="BR99" i="48"/>
  <c r="BT64" i="48"/>
  <c r="AW64" i="33"/>
  <c r="BR64" i="48"/>
  <c r="AO64" i="33"/>
  <c r="AL43" i="33"/>
  <c r="AT43" i="33"/>
  <c r="AN39" i="33"/>
  <c r="AV39" i="33"/>
  <c r="BT102" i="48"/>
  <c r="BX102" i="48" s="1"/>
  <c r="AW102" i="33"/>
  <c r="BR102" i="48"/>
  <c r="AT91" i="33"/>
  <c r="AL91" i="33"/>
  <c r="R148" i="33"/>
  <c r="AN107" i="33"/>
  <c r="AV107" i="33"/>
  <c r="AV91" i="33"/>
  <c r="AN91" i="33"/>
  <c r="R42" i="33"/>
  <c r="AW111" i="33"/>
  <c r="BT111" i="48"/>
  <c r="BX111" i="48" s="1"/>
  <c r="BR111" i="48"/>
  <c r="AO111" i="33"/>
  <c r="AT148" i="33"/>
  <c r="AL148" i="33"/>
  <c r="T80" i="33"/>
  <c r="Z80" i="33"/>
  <c r="AA80" i="33" s="1"/>
  <c r="AO80" i="33"/>
  <c r="AW80" i="33"/>
  <c r="AW88" i="33"/>
  <c r="BR88" i="48"/>
  <c r="BT88" i="48"/>
  <c r="BX88" i="48" s="1"/>
  <c r="BQ70" i="48"/>
  <c r="AN99" i="33"/>
  <c r="T127" i="33"/>
  <c r="Z127" i="33"/>
  <c r="AA127" i="33" s="1"/>
  <c r="AO127" i="33"/>
  <c r="AN146" i="33"/>
  <c r="AN45" i="33"/>
  <c r="AV45" i="33"/>
  <c r="BQ34" i="48"/>
  <c r="BR74" i="48"/>
  <c r="BT74" i="48"/>
  <c r="BX74" i="48" s="1"/>
  <c r="AW74" i="33"/>
  <c r="AO62" i="33"/>
  <c r="Z62" i="33"/>
  <c r="T62" i="33"/>
  <c r="V62" i="33" s="1"/>
  <c r="X62" i="33" s="1"/>
  <c r="AT66" i="33"/>
  <c r="AL66" i="33"/>
  <c r="R118" i="33"/>
  <c r="BX44" i="48"/>
  <c r="AL135" i="33"/>
  <c r="AT135" i="33"/>
  <c r="BQ110" i="48"/>
  <c r="AV149" i="33"/>
  <c r="AT75" i="33"/>
  <c r="R70" i="33"/>
  <c r="AL70" i="33"/>
  <c r="AT130" i="33"/>
  <c r="AL130" i="33"/>
  <c r="T139" i="33"/>
  <c r="Z139" i="33"/>
  <c r="AA139" i="33" s="1"/>
  <c r="AO139" i="33"/>
  <c r="AV69" i="33"/>
  <c r="AN119" i="33"/>
  <c r="AL39" i="33"/>
  <c r="AT39" i="33"/>
  <c r="R133" i="33"/>
  <c r="BR123" i="48"/>
  <c r="BT123" i="48"/>
  <c r="BX123" i="48" s="1"/>
  <c r="AN68" i="33"/>
  <c r="AT118" i="33"/>
  <c r="AW114" i="33"/>
  <c r="BE151" i="48"/>
  <c r="BG7" i="48"/>
  <c r="BU70" i="48"/>
  <c r="U76" i="33"/>
  <c r="BP176" i="48" l="1"/>
  <c r="BP170" i="48"/>
  <c r="BP171" i="48"/>
  <c r="BP168" i="48"/>
  <c r="BP166" i="48"/>
  <c r="BP174" i="48"/>
  <c r="BP169" i="48"/>
  <c r="BP175" i="48"/>
  <c r="BP172" i="48"/>
  <c r="BP167" i="48"/>
  <c r="BP173" i="48"/>
  <c r="BI7" i="48"/>
  <c r="BJ7" i="48" s="1"/>
  <c r="BG151" i="48"/>
  <c r="BX33" i="48"/>
  <c r="BX32" i="48"/>
  <c r="BX48" i="48"/>
  <c r="BV69" i="48"/>
  <c r="BV59" i="48"/>
  <c r="BT118" i="48"/>
  <c r="BX118" i="48" s="1"/>
  <c r="AO97" i="33"/>
  <c r="AA35" i="33"/>
  <c r="BX37" i="48"/>
  <c r="Z136" i="33"/>
  <c r="AA136" i="33" s="1"/>
  <c r="BR97" i="48"/>
  <c r="BX36" i="48"/>
  <c r="AO106" i="33"/>
  <c r="Z82" i="33"/>
  <c r="AA82" i="33" s="1"/>
  <c r="Z149" i="33"/>
  <c r="AA149" i="33" s="1"/>
  <c r="T52" i="33"/>
  <c r="V52" i="33" s="1"/>
  <c r="X52" i="33" s="1"/>
  <c r="BV47" i="48"/>
  <c r="Z97" i="33"/>
  <c r="AA97" i="33" s="1"/>
  <c r="Z52" i="33"/>
  <c r="Z68" i="33"/>
  <c r="AD68" i="33" s="1"/>
  <c r="AW106" i="33"/>
  <c r="Z130" i="33"/>
  <c r="AA130" i="33" s="1"/>
  <c r="AW67" i="33"/>
  <c r="T67" i="33"/>
  <c r="V67" i="33" s="1"/>
  <c r="X67" i="33" s="1"/>
  <c r="AD67" i="33" s="1"/>
  <c r="AO146" i="33"/>
  <c r="T135" i="33"/>
  <c r="AO67" i="33"/>
  <c r="Z146" i="33"/>
  <c r="AA146" i="33" s="1"/>
  <c r="AW55" i="33"/>
  <c r="AO149" i="33"/>
  <c r="AD51" i="33"/>
  <c r="Z55" i="33"/>
  <c r="AA55" i="33" s="1"/>
  <c r="T55" i="33"/>
  <c r="V55" i="33" s="1"/>
  <c r="X55" i="33" s="1"/>
  <c r="AW149" i="33"/>
  <c r="AW82" i="33"/>
  <c r="Z66" i="33"/>
  <c r="AA66" i="33" s="1"/>
  <c r="AO56" i="33"/>
  <c r="T56" i="33"/>
  <c r="V56" i="33" s="1"/>
  <c r="X56" i="33" s="1"/>
  <c r="AD56" i="33" s="1"/>
  <c r="AO136" i="33"/>
  <c r="AW132" i="33"/>
  <c r="AW135" i="33"/>
  <c r="AW52" i="33"/>
  <c r="T136" i="33"/>
  <c r="AO132" i="33"/>
  <c r="Z135" i="33"/>
  <c r="AA135" i="33" s="1"/>
  <c r="AO45" i="33"/>
  <c r="T73" i="33"/>
  <c r="V73" i="33" s="1"/>
  <c r="X73" i="33" s="1"/>
  <c r="T146" i="33"/>
  <c r="T106" i="33"/>
  <c r="AO39" i="33"/>
  <c r="AO43" i="33"/>
  <c r="AW91" i="33"/>
  <c r="AW109" i="33"/>
  <c r="Z95" i="33"/>
  <c r="AA95" i="33" s="1"/>
  <c r="Z91" i="33"/>
  <c r="AA91" i="33" s="1"/>
  <c r="Z109" i="33"/>
  <c r="AA109" i="33" s="1"/>
  <c r="T95" i="33"/>
  <c r="AW134" i="33"/>
  <c r="AW66" i="33"/>
  <c r="AO66" i="33"/>
  <c r="AW95" i="33"/>
  <c r="AO109" i="33"/>
  <c r="AD58" i="33"/>
  <c r="T82" i="33"/>
  <c r="T91" i="33"/>
  <c r="AW56" i="33"/>
  <c r="AW130" i="33"/>
  <c r="Z120" i="33"/>
  <c r="AA120" i="33" s="1"/>
  <c r="AW120" i="33"/>
  <c r="AA58" i="33"/>
  <c r="AW45" i="33"/>
  <c r="AO130" i="33"/>
  <c r="T45" i="33"/>
  <c r="V45" i="33" s="1"/>
  <c r="X45" i="33" s="1"/>
  <c r="AD45" i="33" s="1"/>
  <c r="AO78" i="33"/>
  <c r="Z78" i="33"/>
  <c r="AA78" i="33" s="1"/>
  <c r="Z156" i="33"/>
  <c r="AA156" i="33" s="1"/>
  <c r="AW78" i="33"/>
  <c r="T76" i="33"/>
  <c r="V76" i="33" s="1"/>
  <c r="X76" i="33" s="1"/>
  <c r="AD76" i="33" s="1"/>
  <c r="T110" i="33"/>
  <c r="T93" i="33"/>
  <c r="AD48" i="33"/>
  <c r="AO68" i="33"/>
  <c r="AW93" i="33"/>
  <c r="AW68" i="33"/>
  <c r="T69" i="33"/>
  <c r="V69" i="33" s="1"/>
  <c r="X69" i="33" s="1"/>
  <c r="R122" i="33"/>
  <c r="AW122" i="33" s="1"/>
  <c r="T43" i="33"/>
  <c r="V43" i="33" s="1"/>
  <c r="X43" i="33" s="1"/>
  <c r="Z69" i="33"/>
  <c r="Z43" i="33"/>
  <c r="AA43" i="33" s="1"/>
  <c r="AO69" i="33"/>
  <c r="AW147" i="33"/>
  <c r="Z40" i="33"/>
  <c r="AA40" i="33" s="1"/>
  <c r="Z134" i="33"/>
  <c r="AA134" i="33" s="1"/>
  <c r="T147" i="33"/>
  <c r="AO73" i="33"/>
  <c r="T40" i="33"/>
  <c r="V40" i="33" s="1"/>
  <c r="X40" i="33" s="1"/>
  <c r="T132" i="33"/>
  <c r="AO147" i="33"/>
  <c r="R104" i="33"/>
  <c r="AO104" i="33" s="1"/>
  <c r="Z73" i="33"/>
  <c r="AA73" i="33" s="1"/>
  <c r="AO40" i="33"/>
  <c r="T120" i="33"/>
  <c r="AO87" i="33"/>
  <c r="AD74" i="33"/>
  <c r="BR87" i="48"/>
  <c r="AO44" i="33"/>
  <c r="R83" i="33"/>
  <c r="Z83" i="33" s="1"/>
  <c r="AA83" i="33" s="1"/>
  <c r="AO93" i="33"/>
  <c r="BX38" i="48"/>
  <c r="R94" i="33"/>
  <c r="T94" i="33" s="1"/>
  <c r="AO65" i="33"/>
  <c r="BT87" i="48"/>
  <c r="BX87" i="48" s="1"/>
  <c r="AW76" i="33"/>
  <c r="Z121" i="33"/>
  <c r="AA121" i="33" s="1"/>
  <c r="BT76" i="48"/>
  <c r="BX76" i="48" s="1"/>
  <c r="AO134" i="33"/>
  <c r="T44" i="33"/>
  <c r="V44" i="33" s="1"/>
  <c r="X44" i="33" s="1"/>
  <c r="AD44" i="33" s="1"/>
  <c r="T121" i="33"/>
  <c r="AO76" i="33"/>
  <c r="AO121" i="33"/>
  <c r="AW39" i="33"/>
  <c r="R112" i="33"/>
  <c r="AW112" i="33" s="1"/>
  <c r="T39" i="33"/>
  <c r="V39" i="33" s="1"/>
  <c r="X39" i="33" s="1"/>
  <c r="AD39" i="33" s="1"/>
  <c r="AW44" i="33"/>
  <c r="AW97" i="33"/>
  <c r="T65" i="33"/>
  <c r="V65" i="33" s="1"/>
  <c r="X65" i="33" s="1"/>
  <c r="AD65" i="33" s="1"/>
  <c r="R117" i="33"/>
  <c r="AO117" i="33" s="1"/>
  <c r="AW65" i="33"/>
  <c r="BX45" i="48"/>
  <c r="AN112" i="33"/>
  <c r="BX30" i="48"/>
  <c r="BX35" i="48"/>
  <c r="AA45" i="33"/>
  <c r="BX63" i="48"/>
  <c r="BV63" i="48"/>
  <c r="T81" i="33"/>
  <c r="Z81" i="33"/>
  <c r="AA81" i="33" s="1"/>
  <c r="AO81" i="33"/>
  <c r="AW81" i="33"/>
  <c r="BX49" i="48"/>
  <c r="T37" i="33"/>
  <c r="V37" i="33" s="1"/>
  <c r="X37" i="33" s="1"/>
  <c r="Z37" i="33"/>
  <c r="AO37" i="33"/>
  <c r="AW37" i="33"/>
  <c r="AL112" i="33"/>
  <c r="AT112" i="33"/>
  <c r="AV41" i="33"/>
  <c r="AN41" i="33"/>
  <c r="Z86" i="33"/>
  <c r="AA86" i="33" s="1"/>
  <c r="AO86" i="33"/>
  <c r="T86" i="33"/>
  <c r="AV77" i="33"/>
  <c r="AA62" i="33"/>
  <c r="AD62" i="33"/>
  <c r="Z75" i="33"/>
  <c r="AA75" i="33" s="1"/>
  <c r="T75" i="33"/>
  <c r="V75" i="33" s="1"/>
  <c r="X75" i="33" s="1"/>
  <c r="AO75" i="33"/>
  <c r="AW75" i="33"/>
  <c r="R41" i="33"/>
  <c r="AL41" i="33"/>
  <c r="AT41" i="33"/>
  <c r="T71" i="33"/>
  <c r="V71" i="33" s="1"/>
  <c r="X71" i="33" s="1"/>
  <c r="Z71" i="33"/>
  <c r="AA71" i="33" s="1"/>
  <c r="AO71" i="33"/>
  <c r="AW71" i="33"/>
  <c r="AO42" i="33"/>
  <c r="Z42" i="33"/>
  <c r="T42" i="33"/>
  <c r="V42" i="33" s="1"/>
  <c r="X42" i="33" s="1"/>
  <c r="AW42" i="33"/>
  <c r="AO119" i="33"/>
  <c r="Z119" i="33"/>
  <c r="AA119" i="33" s="1"/>
  <c r="T119" i="33"/>
  <c r="AW119" i="33"/>
  <c r="Z96" i="33"/>
  <c r="AA96" i="33" s="1"/>
  <c r="T96" i="33"/>
  <c r="AO96" i="33"/>
  <c r="AW96" i="33"/>
  <c r="T108" i="33"/>
  <c r="Z108" i="33"/>
  <c r="AA108" i="33" s="1"/>
  <c r="AO108" i="33"/>
  <c r="AW108" i="33"/>
  <c r="BR105" i="48"/>
  <c r="BT105" i="48"/>
  <c r="BX105" i="48" s="1"/>
  <c r="AW105" i="33"/>
  <c r="BX58" i="48"/>
  <c r="BV58" i="48"/>
  <c r="AV83" i="33"/>
  <c r="AN83" i="33"/>
  <c r="AA39" i="33"/>
  <c r="AA44" i="33"/>
  <c r="AO60" i="33"/>
  <c r="Z60" i="33"/>
  <c r="T60" i="33"/>
  <c r="V60" i="33" s="1"/>
  <c r="X60" i="33" s="1"/>
  <c r="AW60" i="33"/>
  <c r="AL125" i="33"/>
  <c r="AT125" i="33"/>
  <c r="AS57" i="33"/>
  <c r="AK57" i="33"/>
  <c r="Q57" i="33"/>
  <c r="P57" i="33"/>
  <c r="Z70" i="33"/>
  <c r="AO70" i="33"/>
  <c r="T70" i="33"/>
  <c r="V70" i="33" s="1"/>
  <c r="X70" i="33" s="1"/>
  <c r="Z143" i="33"/>
  <c r="AA143" i="33" s="1"/>
  <c r="T143" i="33"/>
  <c r="AO143" i="33"/>
  <c r="AW143" i="33"/>
  <c r="AW99" i="33"/>
  <c r="T99" i="33"/>
  <c r="Z99" i="33"/>
  <c r="AA99" i="33" s="1"/>
  <c r="AO99" i="33"/>
  <c r="AA56" i="33"/>
  <c r="AM50" i="33"/>
  <c r="AN50" i="33" s="1"/>
  <c r="AU50" i="33"/>
  <c r="AV50" i="33" s="1"/>
  <c r="AN94" i="33"/>
  <c r="AV94" i="33"/>
  <c r="AO148" i="33"/>
  <c r="Z148" i="33"/>
  <c r="AA148" i="33" s="1"/>
  <c r="T148" i="33"/>
  <c r="AW148" i="33"/>
  <c r="AT77" i="33"/>
  <c r="AL77" i="33"/>
  <c r="T118" i="33"/>
  <c r="Z118" i="33"/>
  <c r="AA118" i="33" s="1"/>
  <c r="AO118" i="33"/>
  <c r="T145" i="33"/>
  <c r="AO145" i="33"/>
  <c r="Z145" i="33"/>
  <c r="AA145" i="33" s="1"/>
  <c r="AW145" i="33"/>
  <c r="BX62" i="48"/>
  <c r="BV62" i="48"/>
  <c r="R125" i="33"/>
  <c r="AL117" i="33"/>
  <c r="AT117" i="33"/>
  <c r="AV122" i="33"/>
  <c r="AN122" i="33"/>
  <c r="R77" i="33"/>
  <c r="BX65" i="48"/>
  <c r="BV65" i="48"/>
  <c r="AT94" i="33"/>
  <c r="AL94" i="33"/>
  <c r="BR110" i="48"/>
  <c r="BT110" i="48"/>
  <c r="BX110" i="48" s="1"/>
  <c r="AW110" i="33"/>
  <c r="AA67" i="33"/>
  <c r="T133" i="33"/>
  <c r="Z133" i="33"/>
  <c r="AA133" i="33" s="1"/>
  <c r="AO133" i="33"/>
  <c r="AW133" i="33"/>
  <c r="BX68" i="48"/>
  <c r="BV68" i="48"/>
  <c r="AW34" i="33"/>
  <c r="AO34" i="33"/>
  <c r="BR34" i="48"/>
  <c r="BT34" i="48"/>
  <c r="Z131" i="33"/>
  <c r="AA131" i="33" s="1"/>
  <c r="T131" i="33"/>
  <c r="AO131" i="33"/>
  <c r="AW131" i="33"/>
  <c r="AN125" i="33"/>
  <c r="AV125" i="33"/>
  <c r="AL104" i="33"/>
  <c r="AT104" i="33"/>
  <c r="AN117" i="33"/>
  <c r="AV117" i="33"/>
  <c r="T47" i="33"/>
  <c r="V47" i="33" s="1"/>
  <c r="X47" i="33" s="1"/>
  <c r="Z47" i="33"/>
  <c r="AO47" i="33"/>
  <c r="AW47" i="33"/>
  <c r="T107" i="33"/>
  <c r="AO107" i="33"/>
  <c r="Z107" i="33"/>
  <c r="AA107" i="33" s="1"/>
  <c r="AW107" i="33"/>
  <c r="AL122" i="33"/>
  <c r="AT122" i="33"/>
  <c r="AO123" i="33"/>
  <c r="T123" i="33"/>
  <c r="Z123" i="33"/>
  <c r="AA123" i="33" s="1"/>
  <c r="AT83" i="33"/>
  <c r="AL83" i="33"/>
  <c r="T105" i="33"/>
  <c r="Z105" i="33"/>
  <c r="AA105" i="33" s="1"/>
  <c r="AO105" i="33"/>
  <c r="Z54" i="33"/>
  <c r="T54" i="33"/>
  <c r="V54" i="33" s="1"/>
  <c r="X54" i="33" s="1"/>
  <c r="AO54" i="33"/>
  <c r="AW54" i="33"/>
  <c r="AT50" i="33"/>
  <c r="AL50" i="33"/>
  <c r="BX40" i="48"/>
  <c r="AW118" i="33"/>
  <c r="AO110" i="33"/>
  <c r="BR115" i="48"/>
  <c r="AW115" i="33"/>
  <c r="BT115" i="48"/>
  <c r="BX115" i="48" s="1"/>
  <c r="AO115" i="33"/>
  <c r="BT70" i="48"/>
  <c r="BX70" i="48" s="1"/>
  <c r="BR70" i="48"/>
  <c r="AW70" i="33"/>
  <c r="BX64" i="48"/>
  <c r="BV64" i="48"/>
  <c r="T72" i="33"/>
  <c r="V72" i="33" s="1"/>
  <c r="X72" i="33" s="1"/>
  <c r="Z72" i="33"/>
  <c r="AO72" i="33"/>
  <c r="AW72" i="33"/>
  <c r="AN104" i="33"/>
  <c r="AV104" i="33"/>
  <c r="BX66" i="48"/>
  <c r="BV66" i="48"/>
  <c r="BX61" i="48"/>
  <c r="AO84" i="33"/>
  <c r="T84" i="33"/>
  <c r="Z84" i="33"/>
  <c r="AA84" i="33" s="1"/>
  <c r="AO92" i="33"/>
  <c r="T92" i="33"/>
  <c r="Z92" i="33"/>
  <c r="AA92" i="33" s="1"/>
  <c r="AW92" i="33"/>
  <c r="BQ50" i="48"/>
  <c r="AO79" i="33"/>
  <c r="T79" i="33"/>
  <c r="Z79" i="33"/>
  <c r="AA79" i="33" s="1"/>
  <c r="BU71" i="48"/>
  <c r="U77" i="33"/>
  <c r="Q48" i="34"/>
  <c r="D48" i="34"/>
  <c r="BK7" i="48" l="1"/>
  <c r="BM7" i="48" s="1"/>
  <c r="BM151" i="48" s="1"/>
  <c r="BP177" i="48"/>
  <c r="AD55" i="33"/>
  <c r="AA68" i="33"/>
  <c r="AD52" i="33"/>
  <c r="AA52" i="33"/>
  <c r="AW94" i="33"/>
  <c r="AD43" i="33"/>
  <c r="AD66" i="33"/>
  <c r="AD73" i="33"/>
  <c r="AO94" i="33"/>
  <c r="AO122" i="33"/>
  <c r="T122" i="33"/>
  <c r="Z122" i="33"/>
  <c r="AA122" i="33" s="1"/>
  <c r="Z94" i="33"/>
  <c r="AA94" i="33" s="1"/>
  <c r="Z112" i="33"/>
  <c r="AA112" i="33" s="1"/>
  <c r="T112" i="33"/>
  <c r="AD69" i="33"/>
  <c r="AA69" i="33"/>
  <c r="AW104" i="33"/>
  <c r="T83" i="33"/>
  <c r="AO83" i="33"/>
  <c r="AD40" i="33"/>
  <c r="Z104" i="33"/>
  <c r="AA104" i="33" s="1"/>
  <c r="AW83" i="33"/>
  <c r="T104" i="33"/>
  <c r="AO112" i="33"/>
  <c r="AW117" i="33"/>
  <c r="Z117" i="33"/>
  <c r="AA117" i="33" s="1"/>
  <c r="AD71" i="33"/>
  <c r="T117" i="33"/>
  <c r="BV70" i="48"/>
  <c r="AV57" i="33"/>
  <c r="AN57" i="33"/>
  <c r="BT50" i="48"/>
  <c r="BR50" i="48"/>
  <c r="AW50" i="33"/>
  <c r="AO50" i="33"/>
  <c r="T125" i="33"/>
  <c r="Z125" i="33"/>
  <c r="AA125" i="33" s="1"/>
  <c r="AO125" i="33"/>
  <c r="AW125" i="33"/>
  <c r="AA70" i="33"/>
  <c r="AD70" i="33"/>
  <c r="AD75" i="33"/>
  <c r="AD47" i="33"/>
  <c r="AA47" i="33"/>
  <c r="AO41" i="33"/>
  <c r="T41" i="33"/>
  <c r="V41" i="33" s="1"/>
  <c r="X41" i="33" s="1"/>
  <c r="Z41" i="33"/>
  <c r="AW41" i="33"/>
  <c r="BX34" i="48"/>
  <c r="BV34" i="48"/>
  <c r="AA72" i="33"/>
  <c r="AD72" i="33"/>
  <c r="AD37" i="33"/>
  <c r="AA37" i="33"/>
  <c r="R57" i="33"/>
  <c r="AA42" i="33"/>
  <c r="AD42" i="33"/>
  <c r="AA54" i="33"/>
  <c r="AD54" i="33"/>
  <c r="AO77" i="33"/>
  <c r="T77" i="33"/>
  <c r="V77" i="33" s="1"/>
  <c r="X77" i="33" s="1"/>
  <c r="Z77" i="33"/>
  <c r="AA77" i="33" s="1"/>
  <c r="AW77" i="33"/>
  <c r="AL57" i="33"/>
  <c r="AT57" i="33"/>
  <c r="AA60" i="33"/>
  <c r="AD60" i="33"/>
  <c r="BU72" i="48"/>
  <c r="BU73" i="48" s="1"/>
  <c r="U78" i="33"/>
  <c r="V78" i="33" s="1"/>
  <c r="X78" i="33" s="1"/>
  <c r="AD78" i="33" s="1"/>
  <c r="BV71" i="48"/>
  <c r="P56" i="34"/>
  <c r="P98" i="27" s="1"/>
  <c r="P57" i="34"/>
  <c r="P99" i="27" s="1"/>
  <c r="P58" i="34"/>
  <c r="P100" i="27" s="1"/>
  <c r="I56" i="34"/>
  <c r="I98" i="27" s="1"/>
  <c r="I57" i="34"/>
  <c r="I99" i="27" s="1"/>
  <c r="I58" i="34"/>
  <c r="I100" i="27" s="1"/>
  <c r="P55" i="34"/>
  <c r="P97" i="27" s="1"/>
  <c r="I55" i="34"/>
  <c r="I97" i="27" s="1"/>
  <c r="Q46" i="4"/>
  <c r="J46" i="4"/>
  <c r="F46" i="4"/>
  <c r="F48" i="4"/>
  <c r="F49" i="4"/>
  <c r="F50" i="4"/>
  <c r="F47" i="4"/>
  <c r="P27" i="34"/>
  <c r="G27" i="34" s="1"/>
  <c r="E8" i="34"/>
  <c r="BK151" i="48" l="1"/>
  <c r="BM154" i="48" s="1"/>
  <c r="BO7" i="48"/>
  <c r="BP7" i="48"/>
  <c r="O14" i="33"/>
  <c r="Q14" i="33" s="1"/>
  <c r="BN7" i="48"/>
  <c r="O158" i="33"/>
  <c r="AK158" i="33" s="1"/>
  <c r="BP151" i="48"/>
  <c r="BN151" i="48"/>
  <c r="BO151" i="48"/>
  <c r="AD77" i="33"/>
  <c r="AO57" i="33"/>
  <c r="Z57" i="33"/>
  <c r="T57" i="33"/>
  <c r="V57" i="33" s="1"/>
  <c r="X57" i="33" s="1"/>
  <c r="AW57" i="33"/>
  <c r="BX50" i="48"/>
  <c r="BV50" i="48"/>
  <c r="AD41" i="33"/>
  <c r="AA41" i="33"/>
  <c r="BU74" i="48"/>
  <c r="BV73" i="48"/>
  <c r="U80" i="33"/>
  <c r="V80" i="33" s="1"/>
  <c r="X80" i="33" s="1"/>
  <c r="AD80" i="33" s="1"/>
  <c r="U79" i="33"/>
  <c r="V79" i="33" s="1"/>
  <c r="X79" i="33" s="1"/>
  <c r="AD79" i="33" s="1"/>
  <c r="BV72" i="48"/>
  <c r="AM14" i="33" l="1"/>
  <c r="AN14" i="33" s="1"/>
  <c r="S155" i="48"/>
  <c r="S157" i="48" s="1"/>
  <c r="BQ7" i="48"/>
  <c r="BR7" i="48" s="1"/>
  <c r="BR151" i="48" s="1"/>
  <c r="AS14" i="33"/>
  <c r="AK14" i="33"/>
  <c r="P14" i="33"/>
  <c r="AT14" i="33" s="1"/>
  <c r="AU14" i="33"/>
  <c r="AV14" i="33" s="1"/>
  <c r="BQ151" i="48"/>
  <c r="AM158" i="33"/>
  <c r="AD57" i="33"/>
  <c r="AA57" i="33"/>
  <c r="Q158" i="33"/>
  <c r="BU75" i="48"/>
  <c r="U81" i="33"/>
  <c r="V81" i="33" s="1"/>
  <c r="X81" i="33" s="1"/>
  <c r="AD81" i="33" s="1"/>
  <c r="BV74" i="48"/>
  <c r="BT7" i="48" l="1"/>
  <c r="BX7" i="48" s="1"/>
  <c r="BX151" i="48" s="1"/>
  <c r="P158" i="33"/>
  <c r="AL158" i="33" s="1"/>
  <c r="R14" i="33"/>
  <c r="R158" i="33" s="1"/>
  <c r="R159" i="33" s="1"/>
  <c r="AL14" i="33"/>
  <c r="Q159" i="33"/>
  <c r="AN158" i="33"/>
  <c r="BU76" i="48"/>
  <c r="BV75" i="48"/>
  <c r="U82" i="33"/>
  <c r="V82" i="33" s="1"/>
  <c r="X82" i="33" s="1"/>
  <c r="AD82" i="33" s="1"/>
  <c r="BV7" i="48" l="1"/>
  <c r="BT151" i="48"/>
  <c r="P159" i="33"/>
  <c r="AO158" i="33"/>
  <c r="Z14" i="33"/>
  <c r="AA14" i="33" s="1"/>
  <c r="T14" i="33"/>
  <c r="V14" i="33" s="1"/>
  <c r="X14" i="33" s="1"/>
  <c r="AW14" i="33"/>
  <c r="AO14" i="33"/>
  <c r="U83" i="33"/>
  <c r="V83" i="33" s="1"/>
  <c r="X83" i="33" s="1"/>
  <c r="AD83" i="33" s="1"/>
  <c r="BU77" i="48"/>
  <c r="BV76" i="48"/>
  <c r="E11" i="8"/>
  <c r="E10" i="9" s="1"/>
  <c r="AA21" i="4"/>
  <c r="AG145" i="33"/>
  <c r="AG144" i="33"/>
  <c r="AG143" i="33"/>
  <c r="AG142" i="33"/>
  <c r="AG141" i="33"/>
  <c r="AG140" i="33"/>
  <c r="AG139" i="33"/>
  <c r="AG138" i="33"/>
  <c r="AG137" i="33"/>
  <c r="AG136" i="33"/>
  <c r="AG135" i="33"/>
  <c r="AG134" i="33"/>
  <c r="AG133" i="33"/>
  <c r="AG132" i="33"/>
  <c r="AG131" i="33"/>
  <c r="AG130" i="33"/>
  <c r="AG129" i="33"/>
  <c r="AG128" i="33"/>
  <c r="AG127" i="33"/>
  <c r="AG126" i="33"/>
  <c r="AG125" i="33"/>
  <c r="AG124" i="33"/>
  <c r="AG123" i="33"/>
  <c r="AG122" i="33"/>
  <c r="AG121" i="33"/>
  <c r="AG120" i="33"/>
  <c r="AG119" i="33"/>
  <c r="AG118" i="33"/>
  <c r="AG117" i="33"/>
  <c r="AG116" i="33"/>
  <c r="AG115" i="33"/>
  <c r="AG114" i="33"/>
  <c r="AG113" i="33"/>
  <c r="AG112" i="33"/>
  <c r="AG111" i="33"/>
  <c r="AG110" i="33"/>
  <c r="AG109" i="33"/>
  <c r="AG108" i="33"/>
  <c r="AG107" i="33"/>
  <c r="AG106" i="33"/>
  <c r="AG105" i="33"/>
  <c r="AG104" i="33"/>
  <c r="AG103" i="33"/>
  <c r="AG102" i="33"/>
  <c r="AG101" i="33"/>
  <c r="AG100" i="33"/>
  <c r="AG99" i="33"/>
  <c r="AG98" i="33"/>
  <c r="AG97" i="33"/>
  <c r="AG96" i="33"/>
  <c r="AG95" i="33"/>
  <c r="AG94" i="33"/>
  <c r="AG93" i="33"/>
  <c r="AG92" i="33"/>
  <c r="AG91" i="33"/>
  <c r="AG90" i="33"/>
  <c r="AG89" i="33"/>
  <c r="AG88" i="33"/>
  <c r="AG87" i="33"/>
  <c r="AG86" i="33"/>
  <c r="AG85" i="33"/>
  <c r="AG84" i="33"/>
  <c r="AG83" i="33"/>
  <c r="AG82" i="33"/>
  <c r="AG81" i="33"/>
  <c r="AG80" i="33"/>
  <c r="AG79" i="33"/>
  <c r="AG78" i="33"/>
  <c r="AG77" i="33"/>
  <c r="AG76" i="33"/>
  <c r="AG75" i="33"/>
  <c r="AG74" i="33"/>
  <c r="AG73" i="33"/>
  <c r="AG72" i="33"/>
  <c r="AG71" i="33"/>
  <c r="AG70" i="33"/>
  <c r="AG69" i="33"/>
  <c r="AG68" i="33"/>
  <c r="AG67" i="33"/>
  <c r="AG66" i="33"/>
  <c r="AG65" i="33"/>
  <c r="AG64" i="33"/>
  <c r="AG63" i="33"/>
  <c r="AG62" i="33"/>
  <c r="AG61" i="33"/>
  <c r="AG60" i="33"/>
  <c r="AG59" i="33"/>
  <c r="AG58" i="33"/>
  <c r="AG57" i="33"/>
  <c r="AG56" i="33"/>
  <c r="AG55" i="33"/>
  <c r="AG54" i="33"/>
  <c r="AG53" i="33"/>
  <c r="AG52" i="33"/>
  <c r="AG51" i="33"/>
  <c r="AG50" i="33"/>
  <c r="AG49" i="33"/>
  <c r="AG48" i="33"/>
  <c r="AG47" i="33"/>
  <c r="AG46" i="33"/>
  <c r="AG45" i="33"/>
  <c r="AG44" i="33"/>
  <c r="AG43" i="33"/>
  <c r="AG42" i="33"/>
  <c r="AG41" i="33"/>
  <c r="AG40" i="33"/>
  <c r="AG39" i="33"/>
  <c r="AG38" i="33"/>
  <c r="AG37" i="33"/>
  <c r="AG36" i="33"/>
  <c r="AG35" i="33"/>
  <c r="AG34" i="33"/>
  <c r="AG33" i="33"/>
  <c r="AG32" i="33"/>
  <c r="AG31" i="33"/>
  <c r="AG30" i="33"/>
  <c r="AG29" i="33"/>
  <c r="AG28" i="33"/>
  <c r="AG27" i="33"/>
  <c r="AG26" i="33"/>
  <c r="AG25" i="33"/>
  <c r="AG24" i="33"/>
  <c r="AG23" i="33"/>
  <c r="AG22" i="33"/>
  <c r="AG21" i="33"/>
  <c r="U84" i="33" l="1"/>
  <c r="V84" i="33" s="1"/>
  <c r="X84" i="33" s="1"/>
  <c r="AD84" i="33" s="1"/>
  <c r="BV77" i="48"/>
  <c r="BU78" i="48"/>
  <c r="N10" i="5"/>
  <c r="E10" i="6"/>
  <c r="E11" i="7" s="1"/>
  <c r="C164" i="33"/>
  <c r="BV78" i="48" l="1"/>
  <c r="BU79" i="48"/>
  <c r="U85" i="33"/>
  <c r="V85" i="33" s="1"/>
  <c r="X85" i="33" s="1"/>
  <c r="AD85" i="33" s="1"/>
  <c r="D22" i="17"/>
  <c r="M11" i="17"/>
  <c r="D22" i="21"/>
  <c r="M11" i="21"/>
  <c r="D22" i="16"/>
  <c r="M11" i="16"/>
  <c r="D22" i="15"/>
  <c r="M11" i="14"/>
  <c r="D22" i="14"/>
  <c r="D23" i="13"/>
  <c r="M12" i="13"/>
  <c r="D23" i="12"/>
  <c r="M11" i="15"/>
  <c r="U86" i="33" l="1"/>
  <c r="V86" i="33" s="1"/>
  <c r="X86" i="33" s="1"/>
  <c r="AD86" i="33" s="1"/>
  <c r="BU80" i="48"/>
  <c r="BV79" i="48"/>
  <c r="D15" i="44"/>
  <c r="D15" i="43"/>
  <c r="D15" i="42"/>
  <c r="D15" i="39"/>
  <c r="D15" i="41"/>
  <c r="D15" i="40"/>
  <c r="D15" i="34"/>
  <c r="D15" i="38"/>
  <c r="AC19" i="33"/>
  <c r="AC18" i="33"/>
  <c r="AC16" i="33"/>
  <c r="AC15" i="33"/>
  <c r="AC17" i="33"/>
  <c r="U87" i="33" l="1"/>
  <c r="V87" i="33" s="1"/>
  <c r="X87" i="33" s="1"/>
  <c r="AD87" i="33" s="1"/>
  <c r="BU81" i="48"/>
  <c r="BU86" i="48"/>
  <c r="BV80" i="48"/>
  <c r="AC22" i="33"/>
  <c r="L14" i="33"/>
  <c r="AC27" i="33"/>
  <c r="AC32" i="33"/>
  <c r="AC31" i="33"/>
  <c r="AC28" i="33"/>
  <c r="AC37" i="33"/>
  <c r="AC33" i="33"/>
  <c r="AC29" i="33"/>
  <c r="AC52" i="33"/>
  <c r="AC30" i="33"/>
  <c r="AC21" i="33"/>
  <c r="AC51" i="33"/>
  <c r="AC49" i="33"/>
  <c r="AC24" i="33"/>
  <c r="AC26" i="33"/>
  <c r="AC50" i="33"/>
  <c r="AC54" i="33"/>
  <c r="AC55" i="33"/>
  <c r="AC35" i="33"/>
  <c r="AC47" i="33"/>
  <c r="AC25" i="33"/>
  <c r="AC34" i="33"/>
  <c r="AC23" i="33"/>
  <c r="AC36" i="33"/>
  <c r="AC53" i="33"/>
  <c r="AC41" i="33"/>
  <c r="AC40" i="33"/>
  <c r="AC39" i="33"/>
  <c r="AC38" i="33"/>
  <c r="AC46" i="33"/>
  <c r="AC44" i="33"/>
  <c r="AC43" i="33"/>
  <c r="AC42" i="33"/>
  <c r="U93" i="33" l="1"/>
  <c r="V93" i="33" s="1"/>
  <c r="X93" i="33" s="1"/>
  <c r="AD93" i="33" s="1"/>
  <c r="BU87" i="48"/>
  <c r="BV86" i="48"/>
  <c r="BV81" i="48"/>
  <c r="BU82" i="48"/>
  <c r="U88" i="33"/>
  <c r="V88" i="33" s="1"/>
  <c r="X88" i="33" s="1"/>
  <c r="AD88" i="33" s="1"/>
  <c r="AC14" i="33"/>
  <c r="AC48" i="33"/>
  <c r="AC58" i="33"/>
  <c r="AC60" i="33"/>
  <c r="AC64" i="33"/>
  <c r="AC45" i="33"/>
  <c r="AC56" i="33"/>
  <c r="AC63" i="33"/>
  <c r="AC62" i="33"/>
  <c r="AC57" i="33"/>
  <c r="AC59" i="33"/>
  <c r="AC61" i="33"/>
  <c r="BV82" i="48" l="1"/>
  <c r="U89" i="33"/>
  <c r="V89" i="33" s="1"/>
  <c r="X89" i="33" s="1"/>
  <c r="AD89" i="33" s="1"/>
  <c r="BU83" i="48"/>
  <c r="BV87" i="48"/>
  <c r="U94" i="33"/>
  <c r="V94" i="33" s="1"/>
  <c r="X94" i="33" s="1"/>
  <c r="AD94" i="33" s="1"/>
  <c r="BU88" i="48"/>
  <c r="AH22" i="33"/>
  <c r="AA22" i="4"/>
  <c r="AC71" i="33"/>
  <c r="AC68" i="33"/>
  <c r="AC72" i="33"/>
  <c r="AC69" i="33"/>
  <c r="AC70" i="33"/>
  <c r="AC65" i="33"/>
  <c r="AC73" i="33"/>
  <c r="AC67" i="33"/>
  <c r="AC66" i="33"/>
  <c r="BV83" i="48" l="1"/>
  <c r="BU84" i="48"/>
  <c r="U90" i="33"/>
  <c r="V90" i="33" s="1"/>
  <c r="X90" i="33" s="1"/>
  <c r="AD90" i="33" s="1"/>
  <c r="BV88" i="48"/>
  <c r="BU89" i="48"/>
  <c r="U95" i="33"/>
  <c r="V95" i="33" s="1"/>
  <c r="X95" i="33" s="1"/>
  <c r="AD95" i="33" s="1"/>
  <c r="AH35" i="33"/>
  <c r="AH29" i="33"/>
  <c r="AH24" i="33"/>
  <c r="AH37" i="33"/>
  <c r="AH36" i="33"/>
  <c r="AH26" i="33"/>
  <c r="E24" i="6"/>
  <c r="E26" i="6" s="1"/>
  <c r="E27" i="7" s="1"/>
  <c r="AI22" i="33"/>
  <c r="AC74" i="33"/>
  <c r="AC79" i="33"/>
  <c r="AC78" i="33"/>
  <c r="AC81" i="33"/>
  <c r="AC77" i="33"/>
  <c r="AC82" i="33"/>
  <c r="AC76" i="33"/>
  <c r="AC75" i="33"/>
  <c r="AC80" i="33"/>
  <c r="BV84" i="48" l="1"/>
  <c r="U91" i="33"/>
  <c r="V91" i="33" s="1"/>
  <c r="X91" i="33" s="1"/>
  <c r="AD91" i="33" s="1"/>
  <c r="BU85" i="48"/>
  <c r="U96" i="33"/>
  <c r="V96" i="33" s="1"/>
  <c r="X96" i="33" s="1"/>
  <c r="AD96" i="33" s="1"/>
  <c r="BV89" i="48"/>
  <c r="BU90" i="48"/>
  <c r="AI36" i="33"/>
  <c r="AI26" i="33"/>
  <c r="AI37" i="33"/>
  <c r="AI35" i="33"/>
  <c r="AH39" i="33"/>
  <c r="AH40" i="33"/>
  <c r="AH27" i="33"/>
  <c r="AH28" i="33"/>
  <c r="AH34" i="33"/>
  <c r="AH21" i="33"/>
  <c r="AH31" i="33"/>
  <c r="AH25" i="33"/>
  <c r="AH41" i="33"/>
  <c r="AH23" i="33"/>
  <c r="AH38" i="33"/>
  <c r="AI24" i="33"/>
  <c r="AI29" i="33"/>
  <c r="AD14" i="33"/>
  <c r="AH33" i="33"/>
  <c r="AC84" i="33"/>
  <c r="AC87" i="33"/>
  <c r="AC86" i="33"/>
  <c r="AC90" i="33"/>
  <c r="AC85" i="33"/>
  <c r="AC89" i="33"/>
  <c r="AC88" i="33"/>
  <c r="AC91" i="33"/>
  <c r="AC83" i="33"/>
  <c r="BU91" i="48" l="1"/>
  <c r="U97" i="33"/>
  <c r="V97" i="33" s="1"/>
  <c r="X97" i="33" s="1"/>
  <c r="AD97" i="33" s="1"/>
  <c r="BV90" i="48"/>
  <c r="U92" i="33"/>
  <c r="V92" i="33" s="1"/>
  <c r="X92" i="33" s="1"/>
  <c r="AD92" i="33" s="1"/>
  <c r="BV85" i="48"/>
  <c r="AI25" i="33"/>
  <c r="AI31" i="33"/>
  <c r="AI28" i="33"/>
  <c r="AI23" i="33"/>
  <c r="AI41" i="33"/>
  <c r="AI40" i="33"/>
  <c r="AH32" i="33"/>
  <c r="AH30" i="33"/>
  <c r="AI27" i="33"/>
  <c r="AI39" i="33"/>
  <c r="AI33" i="33"/>
  <c r="AI21" i="33"/>
  <c r="AI34" i="33"/>
  <c r="AI38" i="33"/>
  <c r="AH43" i="33"/>
  <c r="AC94" i="33"/>
  <c r="AC95" i="33"/>
  <c r="AC97" i="33"/>
  <c r="AC99" i="33"/>
  <c r="AC96" i="33"/>
  <c r="AC100" i="33"/>
  <c r="AC98" i="33"/>
  <c r="AC93" i="33"/>
  <c r="AC92" i="33"/>
  <c r="BV91" i="48" l="1"/>
  <c r="U98" i="33"/>
  <c r="V98" i="33" s="1"/>
  <c r="X98" i="33" s="1"/>
  <c r="AD98" i="33" s="1"/>
  <c r="BU92" i="48"/>
  <c r="AI32" i="33"/>
  <c r="AI30" i="33"/>
  <c r="AI43" i="33"/>
  <c r="AH44" i="33"/>
  <c r="AI44" i="33" s="1"/>
  <c r="AC103" i="33"/>
  <c r="AC102" i="33"/>
  <c r="AC107" i="33"/>
  <c r="AC109" i="33"/>
  <c r="AC105" i="33"/>
  <c r="AC108" i="33"/>
  <c r="AC104" i="33"/>
  <c r="AC106" i="33"/>
  <c r="AC101" i="33"/>
  <c r="BV92" i="48" l="1"/>
  <c r="BU93" i="48"/>
  <c r="U99" i="33"/>
  <c r="V99" i="33" s="1"/>
  <c r="X99" i="33" s="1"/>
  <c r="AD99" i="33" s="1"/>
  <c r="AH46" i="33"/>
  <c r="AI46" i="33" s="1"/>
  <c r="AH42" i="33"/>
  <c r="AI42" i="33" s="1"/>
  <c r="AH45" i="33"/>
  <c r="AI45" i="33" s="1"/>
  <c r="AC117" i="33"/>
  <c r="AC114" i="33"/>
  <c r="AC115" i="33"/>
  <c r="AC118" i="33"/>
  <c r="AC113" i="33"/>
  <c r="AC116" i="33"/>
  <c r="AC111" i="33"/>
  <c r="AC110" i="33"/>
  <c r="AC112" i="33"/>
  <c r="BU99" i="48" l="1"/>
  <c r="BV93" i="48"/>
  <c r="U100" i="33"/>
  <c r="V100" i="33" s="1"/>
  <c r="X100" i="33" s="1"/>
  <c r="AD100" i="33" s="1"/>
  <c r="BU94" i="48"/>
  <c r="AH47" i="33"/>
  <c r="AI47" i="33" s="1"/>
  <c r="AC119" i="33"/>
  <c r="AC124" i="33"/>
  <c r="AC120" i="33"/>
  <c r="AC123" i="33"/>
  <c r="AC122" i="33"/>
  <c r="AC127" i="33"/>
  <c r="AC126" i="33"/>
  <c r="AC121" i="33"/>
  <c r="AC125" i="33"/>
  <c r="BU95" i="48" l="1"/>
  <c r="U101" i="33"/>
  <c r="V101" i="33" s="1"/>
  <c r="X101" i="33" s="1"/>
  <c r="AD101" i="33" s="1"/>
  <c r="BV94" i="48"/>
  <c r="U106" i="33"/>
  <c r="V106" i="33" s="1"/>
  <c r="X106" i="33" s="1"/>
  <c r="AD106" i="33" s="1"/>
  <c r="BU100" i="48"/>
  <c r="BV99" i="48"/>
  <c r="AH48" i="33"/>
  <c r="AI48" i="33" s="1"/>
  <c r="AC131" i="33"/>
  <c r="AC133" i="33"/>
  <c r="AC135" i="33"/>
  <c r="AC132" i="33"/>
  <c r="AC138" i="33"/>
  <c r="AC129" i="33"/>
  <c r="AC136" i="33"/>
  <c r="AC130" i="33"/>
  <c r="AC137" i="33"/>
  <c r="AC128" i="33"/>
  <c r="AC134" i="33"/>
  <c r="BV100" i="48" l="1"/>
  <c r="BU101" i="48"/>
  <c r="U107" i="33"/>
  <c r="V107" i="33" s="1"/>
  <c r="X107" i="33" s="1"/>
  <c r="AD107" i="33" s="1"/>
  <c r="BU96" i="48"/>
  <c r="BV95" i="48"/>
  <c r="U102" i="33"/>
  <c r="V102" i="33" s="1"/>
  <c r="X102" i="33" s="1"/>
  <c r="AD102" i="33" s="1"/>
  <c r="AH50" i="33"/>
  <c r="AI50" i="33" s="1"/>
  <c r="AC139" i="33"/>
  <c r="AH49" i="33"/>
  <c r="AI49" i="33" s="1"/>
  <c r="BV96" i="48" l="1"/>
  <c r="BU97" i="48"/>
  <c r="U103" i="33"/>
  <c r="V103" i="33" s="1"/>
  <c r="X103" i="33" s="1"/>
  <c r="AD103" i="33" s="1"/>
  <c r="BV101" i="48"/>
  <c r="U108" i="33"/>
  <c r="V108" i="33" s="1"/>
  <c r="X108" i="33" s="1"/>
  <c r="AD108" i="33" s="1"/>
  <c r="BU102" i="48"/>
  <c r="U109" i="33" l="1"/>
  <c r="V109" i="33" s="1"/>
  <c r="X109" i="33" s="1"/>
  <c r="AD109" i="33" s="1"/>
  <c r="BU103" i="48"/>
  <c r="BV102" i="48"/>
  <c r="U104" i="33"/>
  <c r="V104" i="33" s="1"/>
  <c r="X104" i="33" s="1"/>
  <c r="AD104" i="33" s="1"/>
  <c r="BU98" i="48"/>
  <c r="BV97" i="48"/>
  <c r="AH51" i="33"/>
  <c r="AI51" i="33" s="1"/>
  <c r="BV98" i="48" l="1"/>
  <c r="U105" i="33"/>
  <c r="V105" i="33" s="1"/>
  <c r="X105" i="33" s="1"/>
  <c r="AD105" i="33" s="1"/>
  <c r="U110" i="33"/>
  <c r="V110" i="33" s="1"/>
  <c r="X110" i="33" s="1"/>
  <c r="AD110" i="33" s="1"/>
  <c r="BU104" i="48"/>
  <c r="BV103" i="48"/>
  <c r="AH52" i="33"/>
  <c r="AI52" i="33" s="1"/>
  <c r="BV104" i="48" l="1"/>
  <c r="U111" i="33"/>
  <c r="V111" i="33" s="1"/>
  <c r="X111" i="33" s="1"/>
  <c r="AD111" i="33" s="1"/>
  <c r="BU105" i="48"/>
  <c r="R160" i="33"/>
  <c r="AH53" i="33"/>
  <c r="AI53" i="33" s="1"/>
  <c r="U112" i="33" l="1"/>
  <c r="V112" i="33" s="1"/>
  <c r="X112" i="33" s="1"/>
  <c r="AD112" i="33" s="1"/>
  <c r="BV105" i="48"/>
  <c r="BU106" i="48"/>
  <c r="AH55" i="33"/>
  <c r="AI55" i="33" s="1"/>
  <c r="AH54" i="33"/>
  <c r="AI54" i="33" s="1"/>
  <c r="BU112" i="48" l="1"/>
  <c r="BV106" i="48"/>
  <c r="U113" i="33"/>
  <c r="V113" i="33" s="1"/>
  <c r="X113" i="33" s="1"/>
  <c r="AD113" i="33" s="1"/>
  <c r="BU107" i="48"/>
  <c r="AH56" i="33"/>
  <c r="AI56" i="33" s="1"/>
  <c r="U114" i="33" l="1"/>
  <c r="V114" i="33" s="1"/>
  <c r="X114" i="33" s="1"/>
  <c r="AD114" i="33" s="1"/>
  <c r="BU108" i="48"/>
  <c r="BV107" i="48"/>
  <c r="U119" i="33"/>
  <c r="V119" i="33" s="1"/>
  <c r="X119" i="33" s="1"/>
  <c r="AD119" i="33" s="1"/>
  <c r="BU113" i="48"/>
  <c r="BV112" i="48"/>
  <c r="AH57" i="33"/>
  <c r="AI57" i="33" s="1"/>
  <c r="BV113" i="48" l="1"/>
  <c r="U120" i="33"/>
  <c r="V120" i="33" s="1"/>
  <c r="X120" i="33" s="1"/>
  <c r="AD120" i="33" s="1"/>
  <c r="BU114" i="48"/>
  <c r="U115" i="33"/>
  <c r="V115" i="33" s="1"/>
  <c r="X115" i="33" s="1"/>
  <c r="AD115" i="33" s="1"/>
  <c r="BU109" i="48"/>
  <c r="BV108" i="48"/>
  <c r="AH58" i="33"/>
  <c r="AI58" i="33" s="1"/>
  <c r="BU110" i="48" l="1"/>
  <c r="U116" i="33"/>
  <c r="V116" i="33" s="1"/>
  <c r="X116" i="33" s="1"/>
  <c r="AD116" i="33" s="1"/>
  <c r="BV109" i="48"/>
  <c r="BV114" i="48"/>
  <c r="U121" i="33"/>
  <c r="V121" i="33" s="1"/>
  <c r="X121" i="33" s="1"/>
  <c r="AD121" i="33" s="1"/>
  <c r="BU115" i="48"/>
  <c r="AH59" i="33"/>
  <c r="AI59" i="33" s="1"/>
  <c r="BU116" i="48" l="1"/>
  <c r="BV115" i="48"/>
  <c r="U122" i="33"/>
  <c r="V122" i="33" s="1"/>
  <c r="X122" i="33" s="1"/>
  <c r="AD122" i="33" s="1"/>
  <c r="U117" i="33"/>
  <c r="V117" i="33" s="1"/>
  <c r="X117" i="33" s="1"/>
  <c r="AD117" i="33" s="1"/>
  <c r="BU111" i="48"/>
  <c r="BV110" i="48"/>
  <c r="AH60" i="33"/>
  <c r="AI60" i="33" s="1"/>
  <c r="BV111" i="48" l="1"/>
  <c r="U118" i="33"/>
  <c r="V118" i="33" s="1"/>
  <c r="X118" i="33" s="1"/>
  <c r="AD118" i="33" s="1"/>
  <c r="BV116" i="48"/>
  <c r="U123" i="33"/>
  <c r="V123" i="33" s="1"/>
  <c r="X123" i="33" s="1"/>
  <c r="AD123" i="33" s="1"/>
  <c r="BU117" i="48"/>
  <c r="AH61" i="33"/>
  <c r="AI61" i="33" s="1"/>
  <c r="BU118" i="48" l="1"/>
  <c r="BV117" i="48"/>
  <c r="U124" i="33"/>
  <c r="V124" i="33" s="1"/>
  <c r="X124" i="33" s="1"/>
  <c r="AD124" i="33" s="1"/>
  <c r="AH62" i="33"/>
  <c r="AI62" i="33" s="1"/>
  <c r="BV118" i="48" l="1"/>
  <c r="BU119" i="48"/>
  <c r="U125" i="33"/>
  <c r="V125" i="33" s="1"/>
  <c r="X125" i="33" s="1"/>
  <c r="AD125" i="33" s="1"/>
  <c r="AH63" i="33"/>
  <c r="AI63" i="33" s="1"/>
  <c r="BU120" i="48" l="1"/>
  <c r="U126" i="33"/>
  <c r="V126" i="33" s="1"/>
  <c r="X126" i="33" s="1"/>
  <c r="AD126" i="33" s="1"/>
  <c r="BV119" i="48"/>
  <c r="AH65" i="33"/>
  <c r="AI65" i="33" s="1"/>
  <c r="AH64" i="33"/>
  <c r="AI64" i="33" s="1"/>
  <c r="U127" i="33" l="1"/>
  <c r="V127" i="33" s="1"/>
  <c r="X127" i="33" s="1"/>
  <c r="AD127" i="33" s="1"/>
  <c r="BU121" i="48"/>
  <c r="BV120" i="48"/>
  <c r="AH66" i="33"/>
  <c r="AI66" i="33" s="1"/>
  <c r="BV121" i="48" l="1"/>
  <c r="BU122" i="48"/>
  <c r="U128" i="33"/>
  <c r="V128" i="33" s="1"/>
  <c r="X128" i="33" s="1"/>
  <c r="AD128" i="33" s="1"/>
  <c r="AH67" i="33"/>
  <c r="AI67" i="33" s="1"/>
  <c r="BU123" i="48" l="1"/>
  <c r="U129" i="33"/>
  <c r="V129" i="33" s="1"/>
  <c r="X129" i="33" s="1"/>
  <c r="AD129" i="33" s="1"/>
  <c r="BV122" i="48"/>
  <c r="AH68" i="33"/>
  <c r="AI68" i="33" s="1"/>
  <c r="U130" i="33" l="1"/>
  <c r="V130" i="33" s="1"/>
  <c r="X130" i="33" s="1"/>
  <c r="AD130" i="33" s="1"/>
  <c r="BV123" i="48"/>
  <c r="BU124" i="48"/>
  <c r="AH69" i="33"/>
  <c r="AI69" i="33" s="1"/>
  <c r="BV124" i="48" l="1"/>
  <c r="BU125" i="48"/>
  <c r="U131" i="33"/>
  <c r="V131" i="33" s="1"/>
  <c r="X131" i="33" s="1"/>
  <c r="AD131" i="33" s="1"/>
  <c r="AH70" i="33"/>
  <c r="AI70" i="33" s="1"/>
  <c r="BU126" i="48" l="1"/>
  <c r="U132" i="33"/>
  <c r="V132" i="33" s="1"/>
  <c r="X132" i="33" s="1"/>
  <c r="AD132" i="33" s="1"/>
  <c r="BV125" i="48"/>
  <c r="AH71" i="33"/>
  <c r="AI71" i="33" s="1"/>
  <c r="U133" i="33" l="1"/>
  <c r="V133" i="33" s="1"/>
  <c r="X133" i="33" s="1"/>
  <c r="AD133" i="33" s="1"/>
  <c r="BV126" i="48"/>
  <c r="BU127" i="48"/>
  <c r="AH72" i="33"/>
  <c r="AI72" i="33" s="1"/>
  <c r="BV127" i="48" l="1"/>
  <c r="U134" i="33"/>
  <c r="V134" i="33" s="1"/>
  <c r="X134" i="33" s="1"/>
  <c r="AD134" i="33" s="1"/>
  <c r="BU128" i="48"/>
  <c r="AH74" i="33"/>
  <c r="AI74" i="33" s="1"/>
  <c r="AH73" i="33"/>
  <c r="AI73" i="33" s="1"/>
  <c r="BV128" i="48" l="1"/>
  <c r="U135" i="33"/>
  <c r="V135" i="33" s="1"/>
  <c r="X135" i="33" s="1"/>
  <c r="AD135" i="33" s="1"/>
  <c r="BU129" i="48"/>
  <c r="AH75" i="33"/>
  <c r="AI75" i="33" s="1"/>
  <c r="BU130" i="48" l="1"/>
  <c r="U136" i="33"/>
  <c r="V136" i="33" s="1"/>
  <c r="X136" i="33" s="1"/>
  <c r="AD136" i="33" s="1"/>
  <c r="BV129" i="48"/>
  <c r="AH76" i="33"/>
  <c r="AI76" i="33" s="1"/>
  <c r="U137" i="33" l="1"/>
  <c r="V137" i="33" s="1"/>
  <c r="X137" i="33" s="1"/>
  <c r="AD137" i="33" s="1"/>
  <c r="BU131" i="48"/>
  <c r="BV130" i="48"/>
  <c r="AH77" i="33"/>
  <c r="AI77" i="33" s="1"/>
  <c r="U138" i="33" l="1"/>
  <c r="V138" i="33" s="1"/>
  <c r="X138" i="33" s="1"/>
  <c r="AD138" i="33" s="1"/>
  <c r="BU132" i="48"/>
  <c r="BV131" i="48"/>
  <c r="AH78" i="33"/>
  <c r="AI78" i="33" s="1"/>
  <c r="AH79" i="33"/>
  <c r="AI79" i="33" s="1"/>
  <c r="U139" i="33" l="1"/>
  <c r="V139" i="33" s="1"/>
  <c r="X139" i="33" s="1"/>
  <c r="AD139" i="33" s="1"/>
  <c r="BU133" i="48"/>
  <c r="BV132" i="48"/>
  <c r="AH80" i="33"/>
  <c r="AI80" i="33" s="1"/>
  <c r="U140" i="33" l="1"/>
  <c r="V140" i="33" s="1"/>
  <c r="X140" i="33" s="1"/>
  <c r="AD140" i="33" s="1"/>
  <c r="BV133" i="48"/>
  <c r="BU134" i="48"/>
  <c r="AH81" i="33"/>
  <c r="AI81" i="33" s="1"/>
  <c r="AH82" i="33"/>
  <c r="AI82" i="33" s="1"/>
  <c r="AH83" i="33"/>
  <c r="AI83" i="33" s="1"/>
  <c r="BU135" i="48" l="1"/>
  <c r="BV134" i="48"/>
  <c r="U141" i="33"/>
  <c r="V141" i="33" s="1"/>
  <c r="X141" i="33" s="1"/>
  <c r="AD141" i="33" s="1"/>
  <c r="AH84" i="33"/>
  <c r="AI84" i="33" s="1"/>
  <c r="U142" i="33" l="1"/>
  <c r="V142" i="33" s="1"/>
  <c r="X142" i="33" s="1"/>
  <c r="AD142" i="33" s="1"/>
  <c r="BV135" i="48"/>
  <c r="BU136" i="48"/>
  <c r="AH85" i="33"/>
  <c r="AI85" i="33" s="1"/>
  <c r="BU137" i="48" l="1"/>
  <c r="BV136" i="48"/>
  <c r="U143" i="33"/>
  <c r="V143" i="33" s="1"/>
  <c r="X143" i="33" s="1"/>
  <c r="AD143" i="33" s="1"/>
  <c r="AH86" i="33"/>
  <c r="AI86" i="33" s="1"/>
  <c r="U144" i="33" l="1"/>
  <c r="V144" i="33" s="1"/>
  <c r="X144" i="33" s="1"/>
  <c r="AD144" i="33" s="1"/>
  <c r="BU138" i="48"/>
  <c r="BV137" i="48"/>
  <c r="AH87" i="33"/>
  <c r="AI87" i="33" s="1"/>
  <c r="BV138" i="48" l="1"/>
  <c r="U145" i="33"/>
  <c r="V145" i="33" s="1"/>
  <c r="X145" i="33" s="1"/>
  <c r="AD145" i="33" s="1"/>
  <c r="BU139" i="48"/>
  <c r="AH88" i="33"/>
  <c r="AI88" i="33" s="1"/>
  <c r="BU140" i="48" l="1"/>
  <c r="BV139" i="48"/>
  <c r="U146" i="33"/>
  <c r="V146" i="33" s="1"/>
  <c r="X146" i="33" s="1"/>
  <c r="AH89" i="33"/>
  <c r="AI89" i="33" s="1"/>
  <c r="AH146" i="33" l="1"/>
  <c r="AI146" i="33" s="1"/>
  <c r="AD146" i="33"/>
  <c r="U147" i="33"/>
  <c r="V147" i="33" s="1"/>
  <c r="X147" i="33" s="1"/>
  <c r="BV140" i="48"/>
  <c r="BU141" i="48"/>
  <c r="AH92" i="33"/>
  <c r="AI92" i="33" s="1"/>
  <c r="AH90" i="33"/>
  <c r="AI90" i="33" s="1"/>
  <c r="AH147" i="33" l="1"/>
  <c r="AI147" i="33" s="1"/>
  <c r="AD147" i="33"/>
  <c r="BV141" i="48"/>
  <c r="U148" i="33"/>
  <c r="V148" i="33" s="1"/>
  <c r="X148" i="33" s="1"/>
  <c r="BU142" i="48"/>
  <c r="AH91" i="33"/>
  <c r="AI91" i="33" s="1"/>
  <c r="AH93" i="33"/>
  <c r="AI93" i="33" s="1"/>
  <c r="AH148" i="33" l="1"/>
  <c r="AI148" i="33" s="1"/>
  <c r="AD148" i="33"/>
  <c r="U149" i="33"/>
  <c r="V149" i="33" s="1"/>
  <c r="X149" i="33" s="1"/>
  <c r="BU143" i="48"/>
  <c r="BV142" i="48"/>
  <c r="AH94" i="33"/>
  <c r="AI94" i="33" s="1"/>
  <c r="AH149" i="33" l="1"/>
  <c r="AI149" i="33" s="1"/>
  <c r="AD149" i="33"/>
  <c r="U150" i="33"/>
  <c r="V150" i="33" s="1"/>
  <c r="X150" i="33" s="1"/>
  <c r="BU144" i="48"/>
  <c r="BV143" i="48"/>
  <c r="AH95" i="33"/>
  <c r="AI95" i="33" s="1"/>
  <c r="AH150" i="33" l="1"/>
  <c r="AI150" i="33" s="1"/>
  <c r="AD150" i="33"/>
  <c r="U151" i="33"/>
  <c r="V151" i="33" s="1"/>
  <c r="X151" i="33" s="1"/>
  <c r="AD151" i="33" s="1"/>
  <c r="BU145" i="48"/>
  <c r="BV144" i="48"/>
  <c r="AH96" i="33"/>
  <c r="AI96" i="33" s="1"/>
  <c r="U152" i="33" l="1"/>
  <c r="V152" i="33" s="1"/>
  <c r="X152" i="33" s="1"/>
  <c r="AD152" i="33" s="1"/>
  <c r="BU146" i="48"/>
  <c r="BV145" i="48"/>
  <c r="AH97" i="33"/>
  <c r="AI97" i="33" s="1"/>
  <c r="U153" i="33" l="1"/>
  <c r="V153" i="33" s="1"/>
  <c r="X153" i="33" s="1"/>
  <c r="AD153" i="33" s="1"/>
  <c r="BV146" i="48"/>
  <c r="BU147" i="48"/>
  <c r="AH98" i="33"/>
  <c r="AI98" i="33" s="1"/>
  <c r="BU148" i="48" l="1"/>
  <c r="BV147" i="48"/>
  <c r="U154" i="33"/>
  <c r="V154" i="33" s="1"/>
  <c r="X154" i="33" s="1"/>
  <c r="AD154" i="33" s="1"/>
  <c r="AH99" i="33"/>
  <c r="AI99" i="33" s="1"/>
  <c r="AH101" i="33"/>
  <c r="AI101" i="33" s="1"/>
  <c r="U155" i="33" l="1"/>
  <c r="V155" i="33" s="1"/>
  <c r="X155" i="33" s="1"/>
  <c r="AD155" i="33" s="1"/>
  <c r="BV148" i="48"/>
  <c r="BU149" i="48"/>
  <c r="AH100" i="33"/>
  <c r="AI100" i="33" s="1"/>
  <c r="AH102" i="33"/>
  <c r="AI102" i="33" s="1"/>
  <c r="BU150" i="48" l="1"/>
  <c r="BU151" i="48" s="1"/>
  <c r="U156" i="33"/>
  <c r="V156" i="33" s="1"/>
  <c r="X156" i="33" s="1"/>
  <c r="AD156" i="33" s="1"/>
  <c r="BV149" i="48"/>
  <c r="AH103" i="33"/>
  <c r="AI103" i="33" s="1"/>
  <c r="BV150" i="48" l="1"/>
  <c r="BV151" i="48" s="1"/>
  <c r="U157" i="33"/>
  <c r="V157" i="33" s="1"/>
  <c r="X157" i="33" s="1"/>
  <c r="AD157" i="33" s="1"/>
  <c r="AH105" i="33"/>
  <c r="AI105" i="33" s="1"/>
  <c r="AH104" i="33"/>
  <c r="AI104" i="33" s="1"/>
  <c r="AH106" i="33" l="1"/>
  <c r="AI106" i="33" s="1"/>
  <c r="AH108" i="33" l="1"/>
  <c r="AI108" i="33" s="1"/>
  <c r="AH107" i="33"/>
  <c r="AI107" i="33" s="1"/>
  <c r="AH110" i="33"/>
  <c r="AI110" i="33" s="1"/>
  <c r="AH109" i="33" l="1"/>
  <c r="AI109" i="33" s="1"/>
  <c r="AH111" i="33"/>
  <c r="AI111" i="33" s="1"/>
  <c r="AH112" i="33" l="1"/>
  <c r="AI112" i="33" s="1"/>
  <c r="AH113" i="33" l="1"/>
  <c r="AI113" i="33" s="1"/>
  <c r="AH114" i="33" l="1"/>
  <c r="AI114" i="33" s="1"/>
  <c r="AH115" i="33" l="1"/>
  <c r="AI115" i="33" s="1"/>
  <c r="AH116" i="33" l="1"/>
  <c r="AI116" i="33" s="1"/>
  <c r="AH119" i="33" l="1"/>
  <c r="AI119" i="33" s="1"/>
  <c r="AH120" i="33"/>
  <c r="AI120" i="33" s="1"/>
  <c r="AH117" i="33"/>
  <c r="AI117" i="33" s="1"/>
  <c r="AH118" i="33" l="1"/>
  <c r="AI118" i="33" s="1"/>
  <c r="AH121" i="33" l="1"/>
  <c r="AI121" i="33" s="1"/>
  <c r="AH122" i="33" l="1"/>
  <c r="AI122" i="33" s="1"/>
  <c r="AH123" i="33" l="1"/>
  <c r="AI123" i="33" s="1"/>
  <c r="AH124" i="33" l="1"/>
  <c r="AI124" i="33" s="1"/>
  <c r="AH125" i="33" l="1"/>
  <c r="AI125" i="33" s="1"/>
  <c r="AH126" i="33" l="1"/>
  <c r="AI126" i="33" s="1"/>
  <c r="AH129" i="33"/>
  <c r="AI129" i="33" s="1"/>
  <c r="AH128" i="33"/>
  <c r="AI128" i="33" s="1"/>
  <c r="AH130" i="33" l="1"/>
  <c r="AI130" i="33" s="1"/>
  <c r="AH127" i="33"/>
  <c r="AI127" i="33" s="1"/>
  <c r="AH131" i="33" l="1"/>
  <c r="AI131" i="33" s="1"/>
  <c r="AH132" i="33" l="1"/>
  <c r="AI132" i="33" s="1"/>
  <c r="AH133" i="33" l="1"/>
  <c r="AI133" i="33" s="1"/>
  <c r="AH135" i="33" l="1"/>
  <c r="AI135" i="33" s="1"/>
  <c r="AH134" i="33"/>
  <c r="AI134" i="33" s="1"/>
  <c r="AH136" i="33" l="1"/>
  <c r="AI136" i="33" s="1"/>
  <c r="AH137" i="33" l="1"/>
  <c r="AI137" i="33" s="1"/>
  <c r="AH139" i="33"/>
  <c r="AI139" i="33" s="1"/>
  <c r="AH138" i="33"/>
  <c r="AI138" i="33" s="1"/>
  <c r="AH141" i="33" l="1"/>
  <c r="AI141" i="33" s="1"/>
  <c r="AH140" i="33"/>
  <c r="AI140" i="33" s="1"/>
  <c r="AH142" i="33" l="1"/>
  <c r="AI142" i="33" s="1"/>
  <c r="AH143" i="33" l="1"/>
  <c r="AI143" i="33" s="1"/>
  <c r="AH145" i="33" l="1"/>
  <c r="AI145" i="33" s="1"/>
  <c r="AH144" i="33"/>
  <c r="AI144" i="33" s="1"/>
  <c r="E13" i="5" l="1"/>
  <c r="C2" i="44" l="1"/>
  <c r="C2" i="42"/>
  <c r="C2" i="43"/>
  <c r="C2" i="40"/>
  <c r="C2" i="41"/>
  <c r="C2" i="38"/>
  <c r="C2" i="39"/>
  <c r="C1" i="26"/>
  <c r="C2" i="34"/>
  <c r="D41" i="7"/>
  <c r="D40" i="6"/>
  <c r="D39" i="5"/>
  <c r="B31" i="26"/>
  <c r="B32" i="26"/>
  <c r="B30" i="26"/>
  <c r="Q43" i="4" l="1"/>
  <c r="M43" i="4"/>
  <c r="D21" i="27" l="1"/>
  <c r="E16" i="27"/>
  <c r="I11" i="27"/>
  <c r="A10" i="27"/>
  <c r="H8" i="27"/>
  <c r="A120" i="27" s="1"/>
  <c r="A4" i="27"/>
  <c r="D3" i="27"/>
  <c r="I115" i="27" s="1"/>
  <c r="B7" i="26"/>
  <c r="B8" i="26"/>
  <c r="B9" i="26"/>
  <c r="B10" i="26"/>
  <c r="B11" i="26"/>
  <c r="B12" i="26"/>
  <c r="B13" i="26"/>
  <c r="B6" i="26"/>
  <c r="E9" i="26"/>
  <c r="F67" i="26"/>
  <c r="B67" i="26"/>
  <c r="P69" i="26"/>
  <c r="K69" i="26"/>
  <c r="D41" i="26"/>
  <c r="D40" i="26"/>
  <c r="D39" i="26"/>
  <c r="D38" i="26"/>
  <c r="N9" i="26"/>
  <c r="X9" i="26" s="1"/>
  <c r="M17" i="26"/>
  <c r="F33" i="26" l="1"/>
  <c r="AH17" i="26"/>
  <c r="AI16" i="26"/>
  <c r="L1" i="26"/>
  <c r="U1" i="26" s="1"/>
  <c r="AI17" i="26" l="1"/>
  <c r="AL20" i="26" s="1"/>
  <c r="AL21" i="26"/>
  <c r="AJ21" i="26"/>
  <c r="AH18" i="26" l="1"/>
  <c r="AJ20" i="26"/>
  <c r="AH19" i="26" l="1"/>
  <c r="G10" i="5"/>
  <c r="AH20" i="26" l="1"/>
  <c r="F19" i="5"/>
  <c r="K13" i="27"/>
  <c r="P10" i="5"/>
  <c r="G10" i="26"/>
  <c r="P10" i="26" s="1"/>
  <c r="Z10" i="26" s="1"/>
  <c r="G11" i="7"/>
  <c r="R11" i="7" s="1"/>
  <c r="G10" i="9"/>
  <c r="Q10" i="9" s="1"/>
  <c r="G10" i="10"/>
  <c r="P10" i="10" s="1"/>
  <c r="Z10" i="10" s="1"/>
  <c r="G10" i="6"/>
  <c r="O10" i="6" s="1"/>
  <c r="G11" i="8"/>
  <c r="Q11" i="8" s="1"/>
  <c r="G10" i="20"/>
  <c r="P10" i="20" s="1"/>
  <c r="AH21" i="26" l="1"/>
  <c r="K13" i="12"/>
  <c r="K13" i="13"/>
  <c r="K12" i="14" s="1"/>
  <c r="K12" i="15" s="1"/>
  <c r="AH22" i="26" l="1"/>
  <c r="K12" i="16"/>
  <c r="K12" i="21" s="1"/>
  <c r="K12" i="17" s="1"/>
  <c r="E10" i="20"/>
  <c r="AH23" i="26" l="1"/>
  <c r="E21" i="7"/>
  <c r="AH24" i="26" l="1"/>
  <c r="E34" i="26"/>
  <c r="AH25" i="26" l="1"/>
  <c r="A40" i="4"/>
  <c r="E8" i="26"/>
  <c r="F15" i="26"/>
  <c r="I27" i="27" s="1"/>
  <c r="I20" i="34" s="1"/>
  <c r="E11" i="26"/>
  <c r="N11" i="26" s="1"/>
  <c r="X11" i="26" s="1"/>
  <c r="E12" i="26"/>
  <c r="N12" i="26" s="1"/>
  <c r="X12" i="26" s="1"/>
  <c r="F25" i="20"/>
  <c r="F17" i="9"/>
  <c r="F28" i="7"/>
  <c r="F18" i="7"/>
  <c r="F27" i="6"/>
  <c r="F25" i="5"/>
  <c r="F25" i="26" s="1"/>
  <c r="F16" i="26"/>
  <c r="I28" i="27" s="1"/>
  <c r="I21" i="34" s="1"/>
  <c r="AH26" i="26" l="1"/>
  <c r="N8" i="26"/>
  <c r="X8" i="26" s="1"/>
  <c r="E15" i="9"/>
  <c r="E16" i="8"/>
  <c r="D25" i="27"/>
  <c r="E10" i="26"/>
  <c r="N10" i="26" s="1"/>
  <c r="X10" i="26" s="1"/>
  <c r="F20" i="26"/>
  <c r="I30" i="27" s="1"/>
  <c r="I23" i="34" s="1"/>
  <c r="F17" i="26"/>
  <c r="F19" i="26" s="1"/>
  <c r="E13" i="26"/>
  <c r="D24" i="27"/>
  <c r="A9" i="17"/>
  <c r="H7" i="17"/>
  <c r="A9" i="21"/>
  <c r="H7" i="21"/>
  <c r="A115" i="21" s="1"/>
  <c r="A9" i="16"/>
  <c r="H7" i="16"/>
  <c r="A9" i="15"/>
  <c r="H7" i="15"/>
  <c r="A9" i="14"/>
  <c r="H7" i="14"/>
  <c r="A10" i="13"/>
  <c r="H8" i="13"/>
  <c r="A10" i="12"/>
  <c r="H8" i="12"/>
  <c r="AH27" i="26" l="1"/>
  <c r="N13" i="26"/>
  <c r="X13" i="26" s="1"/>
  <c r="I29" i="27"/>
  <c r="I22" i="34" s="1"/>
  <c r="A114" i="26"/>
  <c r="I32" i="27"/>
  <c r="I24" i="34" s="1"/>
  <c r="G58" i="5"/>
  <c r="G60" i="26" s="1"/>
  <c r="AH28" i="26" l="1"/>
  <c r="F22" i="26"/>
  <c r="F24" i="26" s="1"/>
  <c r="A95" i="15"/>
  <c r="A96" i="15"/>
  <c r="A97" i="15"/>
  <c r="AH29" i="26" l="1"/>
  <c r="I33" i="27"/>
  <c r="I25" i="34" s="1"/>
  <c r="F34" i="26"/>
  <c r="F40" i="26" s="1"/>
  <c r="G40" i="26" s="1"/>
  <c r="AH30" i="26" l="1"/>
  <c r="F38" i="26"/>
  <c r="G38" i="26" s="1"/>
  <c r="N62" i="26"/>
  <c r="F39" i="26"/>
  <c r="G39" i="26" s="1"/>
  <c r="F41" i="26"/>
  <c r="G41" i="26" s="1"/>
  <c r="A94" i="17"/>
  <c r="A95" i="17"/>
  <c r="A96" i="17"/>
  <c r="A93" i="17"/>
  <c r="A95" i="21"/>
  <c r="A96" i="21"/>
  <c r="A97" i="21"/>
  <c r="A94" i="21"/>
  <c r="A95" i="16"/>
  <c r="A96" i="16"/>
  <c r="A97" i="16"/>
  <c r="A94" i="16"/>
  <c r="AH31" i="26" l="1"/>
  <c r="A94" i="15"/>
  <c r="A96" i="14"/>
  <c r="A97" i="14"/>
  <c r="A98" i="14"/>
  <c r="A95" i="14"/>
  <c r="A101" i="13"/>
  <c r="A100" i="13"/>
  <c r="A99" i="13"/>
  <c r="A98" i="13"/>
  <c r="AH32" i="26" l="1"/>
  <c r="A4" i="12"/>
  <c r="D3" i="12"/>
  <c r="I115" i="12" s="1"/>
  <c r="AH33" i="26" l="1"/>
  <c r="I28" i="12"/>
  <c r="I21" i="38" s="1"/>
  <c r="AH34" i="26" l="1"/>
  <c r="F16" i="20"/>
  <c r="I27" i="21" s="1"/>
  <c r="I21" i="43" s="1"/>
  <c r="I27" i="14"/>
  <c r="I21" i="40" s="1"/>
  <c r="G56" i="5"/>
  <c r="G58" i="26" s="1"/>
  <c r="G54" i="5"/>
  <c r="G56" i="26" s="1"/>
  <c r="G52" i="5"/>
  <c r="G54" i="26" s="1"/>
  <c r="D58" i="5"/>
  <c r="D56" i="5"/>
  <c r="D54" i="5"/>
  <c r="D52" i="5"/>
  <c r="G50" i="5"/>
  <c r="G52" i="26" s="1"/>
  <c r="D50" i="5"/>
  <c r="B58" i="5"/>
  <c r="B56" i="5"/>
  <c r="B54" i="5"/>
  <c r="B52" i="5"/>
  <c r="B50" i="5"/>
  <c r="G48" i="5"/>
  <c r="G50" i="26" s="1"/>
  <c r="D48" i="5"/>
  <c r="B48" i="5"/>
  <c r="AH35" i="26" l="1"/>
  <c r="B50" i="6"/>
  <c r="B52" i="7" s="1"/>
  <c r="B35" i="8" s="1"/>
  <c r="B34" i="9" s="1"/>
  <c r="B36" i="20" s="1"/>
  <c r="B50" i="26"/>
  <c r="B54" i="6"/>
  <c r="B56" i="7" s="1"/>
  <c r="B39" i="8" s="1"/>
  <c r="B38" i="9" s="1"/>
  <c r="B40" i="20" s="1"/>
  <c r="B54" i="26"/>
  <c r="D52" i="6"/>
  <c r="D54" i="7" s="1"/>
  <c r="D37" i="8" s="1"/>
  <c r="D36" i="9" s="1"/>
  <c r="D38" i="20" s="1"/>
  <c r="D52" i="26"/>
  <c r="D58" i="6"/>
  <c r="D60" i="7" s="1"/>
  <c r="D43" i="8" s="1"/>
  <c r="D42" i="9" s="1"/>
  <c r="D44" i="20" s="1"/>
  <c r="D58" i="26"/>
  <c r="D50" i="6"/>
  <c r="D52" i="7" s="1"/>
  <c r="D35" i="8" s="1"/>
  <c r="D34" i="9" s="1"/>
  <c r="D36" i="20" s="1"/>
  <c r="D50" i="26"/>
  <c r="B56" i="6"/>
  <c r="B58" i="7" s="1"/>
  <c r="B41" i="8" s="1"/>
  <c r="B40" i="9" s="1"/>
  <c r="B42" i="20" s="1"/>
  <c r="B56" i="26"/>
  <c r="D60" i="6"/>
  <c r="D62" i="7" s="1"/>
  <c r="D45" i="8" s="1"/>
  <c r="D44" i="9" s="1"/>
  <c r="D46" i="20" s="1"/>
  <c r="D60" i="26"/>
  <c r="D54" i="6"/>
  <c r="D56" i="7" s="1"/>
  <c r="D39" i="8" s="1"/>
  <c r="D38" i="9" s="1"/>
  <c r="D40" i="20" s="1"/>
  <c r="D54" i="26"/>
  <c r="B58" i="6"/>
  <c r="B60" i="7" s="1"/>
  <c r="B43" i="8" s="1"/>
  <c r="B42" i="9" s="1"/>
  <c r="B44" i="20" s="1"/>
  <c r="B58" i="26"/>
  <c r="B52" i="6"/>
  <c r="B54" i="7" s="1"/>
  <c r="B37" i="8" s="1"/>
  <c r="B36" i="9" s="1"/>
  <c r="B38" i="20" s="1"/>
  <c r="B52" i="26"/>
  <c r="B60" i="6"/>
  <c r="B62" i="7" s="1"/>
  <c r="B45" i="8" s="1"/>
  <c r="B44" i="9" s="1"/>
  <c r="B46" i="20" s="1"/>
  <c r="B60" i="26"/>
  <c r="D56" i="6"/>
  <c r="D58" i="7" s="1"/>
  <c r="D41" i="8" s="1"/>
  <c r="D40" i="9" s="1"/>
  <c r="D42" i="20" s="1"/>
  <c r="D56" i="26"/>
  <c r="G50" i="6"/>
  <c r="G54" i="6"/>
  <c r="G56" i="6"/>
  <c r="G58" i="6"/>
  <c r="G52" i="6"/>
  <c r="G60" i="6"/>
  <c r="D3" i="13"/>
  <c r="H116" i="13" s="1"/>
  <c r="D2" i="14"/>
  <c r="G112" i="14" s="1"/>
  <c r="E2" i="15"/>
  <c r="I111" i="15" s="1"/>
  <c r="D2" i="16"/>
  <c r="H110" i="16" s="1"/>
  <c r="D2" i="21"/>
  <c r="I110" i="21" s="1"/>
  <c r="D2" i="17"/>
  <c r="I110" i="17" s="1"/>
  <c r="AH36" i="26" l="1"/>
  <c r="G58" i="7"/>
  <c r="H41" i="8" s="1"/>
  <c r="G40" i="9" s="1"/>
  <c r="H42" i="20" s="1"/>
  <c r="G62" i="7"/>
  <c r="H45" i="8" s="1"/>
  <c r="G44" i="9" s="1"/>
  <c r="H46" i="20" s="1"/>
  <c r="G56" i="7"/>
  <c r="H39" i="8" s="1"/>
  <c r="G38" i="9" s="1"/>
  <c r="H40" i="20" s="1"/>
  <c r="G60" i="7"/>
  <c r="H43" i="8" s="1"/>
  <c r="G42" i="9" s="1"/>
  <c r="H44" i="20" s="1"/>
  <c r="G54" i="7"/>
  <c r="H37" i="8" s="1"/>
  <c r="G36" i="9" s="1"/>
  <c r="H38" i="20" s="1"/>
  <c r="G52" i="7"/>
  <c r="H35" i="8" s="1"/>
  <c r="AH37" i="26" l="1"/>
  <c r="G34" i="9"/>
  <c r="H36" i="20" s="1"/>
  <c r="B56" i="10"/>
  <c r="F56" i="10"/>
  <c r="G61" i="20"/>
  <c r="B61" i="20"/>
  <c r="G58" i="9"/>
  <c r="B58" i="9"/>
  <c r="G65" i="8"/>
  <c r="B65" i="8"/>
  <c r="F69" i="6"/>
  <c r="B69" i="6"/>
  <c r="F69" i="5"/>
  <c r="B69" i="5"/>
  <c r="AH38" i="26" l="1"/>
  <c r="F73" i="7"/>
  <c r="B73" i="7"/>
  <c r="AH39" i="26" l="1"/>
  <c r="A115" i="17"/>
  <c r="D20" i="17"/>
  <c r="E15" i="17"/>
  <c r="I10" i="17"/>
  <c r="A3" i="17"/>
  <c r="T39" i="21"/>
  <c r="O39" i="21" s="1"/>
  <c r="D20" i="21"/>
  <c r="E15" i="21"/>
  <c r="I10" i="21"/>
  <c r="A3" i="21"/>
  <c r="A115" i="16"/>
  <c r="T39" i="16"/>
  <c r="N39" i="16" s="1"/>
  <c r="D20" i="16"/>
  <c r="E15" i="16"/>
  <c r="I10" i="16"/>
  <c r="A3" i="16"/>
  <c r="A116" i="15"/>
  <c r="T39" i="15"/>
  <c r="O39" i="15" s="1"/>
  <c r="D20" i="15"/>
  <c r="E15" i="15"/>
  <c r="I10" i="15"/>
  <c r="A3" i="15"/>
  <c r="A117" i="14"/>
  <c r="D20" i="14"/>
  <c r="E15" i="14"/>
  <c r="I10" i="14"/>
  <c r="A3" i="14"/>
  <c r="A121" i="13"/>
  <c r="T41" i="13"/>
  <c r="O41" i="13" s="1"/>
  <c r="D21" i="13"/>
  <c r="E16" i="13"/>
  <c r="I11" i="13"/>
  <c r="A4" i="13"/>
  <c r="AH40" i="26" l="1"/>
  <c r="E20" i="6"/>
  <c r="E19" i="20"/>
  <c r="E21" i="6"/>
  <c r="E20" i="20"/>
  <c r="P66" i="20"/>
  <c r="K66" i="20"/>
  <c r="F26" i="20"/>
  <c r="N17" i="20" s="1"/>
  <c r="E9" i="20"/>
  <c r="N9" i="20" s="1"/>
  <c r="E7" i="20"/>
  <c r="N7" i="20" s="1"/>
  <c r="E6" i="20"/>
  <c r="N6" i="20" s="1"/>
  <c r="C1" i="20"/>
  <c r="M17" i="20" s="1"/>
  <c r="V17" i="20" s="1"/>
  <c r="AH41" i="26" l="1"/>
  <c r="AA19" i="20"/>
  <c r="Y19" i="20"/>
  <c r="L1" i="20"/>
  <c r="AH42" i="26" l="1"/>
  <c r="V19" i="20"/>
  <c r="V20" i="20" s="1"/>
  <c r="V21" i="20" s="1"/>
  <c r="V22" i="20" s="1"/>
  <c r="V23" i="20" s="1"/>
  <c r="V24" i="20" s="1"/>
  <c r="V25" i="20" s="1"/>
  <c r="V26" i="20" s="1"/>
  <c r="V27" i="20" s="1"/>
  <c r="V28" i="20" s="1"/>
  <c r="V29" i="20" s="1"/>
  <c r="V30" i="20" s="1"/>
  <c r="V31" i="20" s="1"/>
  <c r="V32" i="20" s="1"/>
  <c r="V33" i="20" s="1"/>
  <c r="V34" i="20" s="1"/>
  <c r="V35" i="20" s="1"/>
  <c r="V36" i="20" s="1"/>
  <c r="V37" i="20" s="1"/>
  <c r="V38" i="20" s="1"/>
  <c r="V39" i="20" s="1"/>
  <c r="V40" i="20" s="1"/>
  <c r="V41" i="20" s="1"/>
  <c r="V42" i="20" s="1"/>
  <c r="V43" i="20" s="1"/>
  <c r="V44" i="20" s="1"/>
  <c r="V45" i="20" s="1"/>
  <c r="V46" i="20" s="1"/>
  <c r="V47" i="20" s="1"/>
  <c r="V48" i="20" s="1"/>
  <c r="V49" i="20" s="1"/>
  <c r="V50" i="20" s="1"/>
  <c r="V51" i="20" s="1"/>
  <c r="V52" i="20" s="1"/>
  <c r="V53" i="20" s="1"/>
  <c r="V54" i="20" s="1"/>
  <c r="V55" i="20" s="1"/>
  <c r="V56" i="20" s="1"/>
  <c r="V57" i="20" s="1"/>
  <c r="V58" i="20" s="1"/>
  <c r="V59" i="20" s="1"/>
  <c r="V60" i="20" s="1"/>
  <c r="V61" i="20" s="1"/>
  <c r="V62" i="20" s="1"/>
  <c r="V63" i="20" s="1"/>
  <c r="V64" i="20" s="1"/>
  <c r="E9" i="10"/>
  <c r="P18" i="7"/>
  <c r="M17" i="6"/>
  <c r="T41" i="12"/>
  <c r="O41" i="12" s="1"/>
  <c r="AH43" i="26" l="1"/>
  <c r="AH44" i="26" s="1"/>
  <c r="AH45" i="26" s="1"/>
  <c r="AH46" i="26" s="1"/>
  <c r="AH47" i="26" s="1"/>
  <c r="AH48" i="26" s="1"/>
  <c r="AH49" i="26" s="1"/>
  <c r="AH50" i="26" s="1"/>
  <c r="AH51" i="26" s="1"/>
  <c r="AH52" i="26" s="1"/>
  <c r="AH53" i="26" s="1"/>
  <c r="AH54" i="26" s="1"/>
  <c r="AH55" i="26" s="1"/>
  <c r="AH56" i="26" s="1"/>
  <c r="AH57" i="26" s="1"/>
  <c r="AH58" i="26" s="1"/>
  <c r="AH59" i="26" s="1"/>
  <c r="E9" i="9"/>
  <c r="E10" i="8"/>
  <c r="E10" i="7"/>
  <c r="E9" i="6"/>
  <c r="A120" i="12"/>
  <c r="E16" i="12"/>
  <c r="D21" i="12"/>
  <c r="I11" i="12"/>
  <c r="D13" i="44" l="1"/>
  <c r="D13" i="42"/>
  <c r="D13" i="43"/>
  <c r="D13" i="41"/>
  <c r="D13" i="40"/>
  <c r="D13" i="39"/>
  <c r="D13" i="34"/>
  <c r="D13" i="38"/>
  <c r="F26" i="5"/>
  <c r="F26" i="9" l="1"/>
  <c r="O17" i="9" s="1"/>
  <c r="F26" i="26"/>
  <c r="Q27" i="9"/>
  <c r="L27" i="9"/>
  <c r="N17" i="26" l="1"/>
  <c r="F27" i="26"/>
  <c r="N9" i="10"/>
  <c r="X9" i="10" s="1"/>
  <c r="G32" i="26" l="1"/>
  <c r="N30" i="26" s="1"/>
  <c r="G30" i="26"/>
  <c r="G31" i="26"/>
  <c r="C2" i="7"/>
  <c r="N25" i="26" l="1"/>
  <c r="N24" i="26"/>
  <c r="N32" i="26"/>
  <c r="M39" i="26"/>
  <c r="M40" i="26"/>
  <c r="N26" i="26"/>
  <c r="N33" i="26"/>
  <c r="M35" i="26"/>
  <c r="N28" i="26"/>
  <c r="M28" i="26" s="1"/>
  <c r="N27" i="26"/>
  <c r="M27" i="26" s="1"/>
  <c r="M38" i="26"/>
  <c r="M36" i="26"/>
  <c r="N18" i="26"/>
  <c r="E9" i="8"/>
  <c r="E8" i="6"/>
  <c r="E8" i="20"/>
  <c r="N8" i="20" s="1"/>
  <c r="E9" i="7"/>
  <c r="E8" i="10"/>
  <c r="E8" i="9"/>
  <c r="E7" i="26"/>
  <c r="N7" i="26" s="1"/>
  <c r="X7" i="26" s="1"/>
  <c r="N19" i="26" l="1"/>
  <c r="M18" i="26"/>
  <c r="I30" i="12"/>
  <c r="I23" i="38" s="1"/>
  <c r="E7" i="9"/>
  <c r="E6" i="9"/>
  <c r="N20" i="26" l="1"/>
  <c r="M19" i="26"/>
  <c r="D1" i="5"/>
  <c r="R29" i="7"/>
  <c r="M29" i="7"/>
  <c r="C1" i="10"/>
  <c r="M17" i="10" s="1"/>
  <c r="P51" i="10"/>
  <c r="K51" i="10"/>
  <c r="C2" i="8"/>
  <c r="C1" i="9"/>
  <c r="N17" i="9" s="1"/>
  <c r="Q27" i="8"/>
  <c r="L27" i="8"/>
  <c r="E8" i="8"/>
  <c r="E7" i="8"/>
  <c r="E8" i="7"/>
  <c r="E7" i="7"/>
  <c r="O28" i="6"/>
  <c r="J28" i="6"/>
  <c r="N21" i="26" l="1"/>
  <c r="M20" i="26"/>
  <c r="L1" i="10"/>
  <c r="U1" i="10" s="1"/>
  <c r="N18" i="9"/>
  <c r="N19" i="9"/>
  <c r="C1" i="5"/>
  <c r="E11" i="20"/>
  <c r="N11" i="20" s="1"/>
  <c r="E12" i="20"/>
  <c r="N12" i="20" s="1"/>
  <c r="C2" i="5"/>
  <c r="M17" i="5" s="1"/>
  <c r="C2" i="6"/>
  <c r="L17" i="6" s="1"/>
  <c r="E7" i="6"/>
  <c r="E6" i="6"/>
  <c r="E6" i="26"/>
  <c r="N6" i="26" s="1"/>
  <c r="X6" i="26" s="1"/>
  <c r="O70" i="5"/>
  <c r="K70" i="5"/>
  <c r="N22" i="26" l="1"/>
  <c r="M21" i="26"/>
  <c r="L18" i="6"/>
  <c r="E32" i="7"/>
  <c r="E31" i="5"/>
  <c r="D24" i="17"/>
  <c r="D24" i="16"/>
  <c r="D24" i="14"/>
  <c r="D25" i="12"/>
  <c r="D17" i="44" s="1"/>
  <c r="D24" i="21"/>
  <c r="D24" i="15"/>
  <c r="D25" i="13"/>
  <c r="N10" i="20"/>
  <c r="D23" i="17"/>
  <c r="D23" i="16"/>
  <c r="D23" i="14"/>
  <c r="D23" i="21"/>
  <c r="D24" i="13"/>
  <c r="D23" i="15"/>
  <c r="F15" i="20"/>
  <c r="F17" i="20" s="1"/>
  <c r="A238" i="5"/>
  <c r="E13" i="20"/>
  <c r="N13" i="20" s="1"/>
  <c r="F17" i="5"/>
  <c r="F20" i="5" s="1"/>
  <c r="F22" i="5" s="1"/>
  <c r="I27" i="12"/>
  <c r="I20" i="38" s="1"/>
  <c r="D24" i="12"/>
  <c r="F28" i="6"/>
  <c r="F27" i="8"/>
  <c r="F29" i="7"/>
  <c r="E14" i="8"/>
  <c r="E13" i="6"/>
  <c r="E13" i="10"/>
  <c r="E13" i="9"/>
  <c r="E14" i="7"/>
  <c r="E11" i="10"/>
  <c r="E11" i="9"/>
  <c r="E12" i="7"/>
  <c r="E11" i="6"/>
  <c r="E12" i="8"/>
  <c r="O12" i="8" s="1"/>
  <c r="E13" i="8"/>
  <c r="E12" i="6"/>
  <c r="E12" i="10"/>
  <c r="E12" i="9"/>
  <c r="E13" i="7"/>
  <c r="E7" i="10"/>
  <c r="E6" i="10"/>
  <c r="N23" i="26" l="1"/>
  <c r="M22" i="26"/>
  <c r="D16" i="43"/>
  <c r="D16" i="44"/>
  <c r="D16" i="42"/>
  <c r="D16" i="41"/>
  <c r="D16" i="40"/>
  <c r="D16" i="39"/>
  <c r="D17" i="43"/>
  <c r="D17" i="42"/>
  <c r="D17" i="40"/>
  <c r="D17" i="39"/>
  <c r="D17" i="41"/>
  <c r="D17" i="38"/>
  <c r="D17" i="34"/>
  <c r="D16" i="34"/>
  <c r="D16" i="38"/>
  <c r="I26" i="21"/>
  <c r="I20" i="43" s="1"/>
  <c r="F19" i="20"/>
  <c r="I29" i="21" s="1"/>
  <c r="I23" i="43" s="1"/>
  <c r="W17" i="5"/>
  <c r="D38" i="10"/>
  <c r="D37" i="10"/>
  <c r="D36" i="10"/>
  <c r="D35" i="10"/>
  <c r="N8" i="10"/>
  <c r="X8" i="10" s="1"/>
  <c r="N7" i="10"/>
  <c r="X7" i="10" s="1"/>
  <c r="N6" i="10"/>
  <c r="X6" i="10" s="1"/>
  <c r="O13" i="9"/>
  <c r="O12" i="9"/>
  <c r="O11" i="9"/>
  <c r="O10" i="9"/>
  <c r="O9" i="9"/>
  <c r="O8" i="9"/>
  <c r="O7" i="9"/>
  <c r="O6" i="9"/>
  <c r="M1" i="9"/>
  <c r="O18" i="8"/>
  <c r="O14" i="8"/>
  <c r="O13" i="8"/>
  <c r="O10" i="8"/>
  <c r="O9" i="8"/>
  <c r="O8" i="8"/>
  <c r="O7" i="8"/>
  <c r="Q2" i="8"/>
  <c r="M2" i="8"/>
  <c r="D40" i="7"/>
  <c r="D39" i="7"/>
  <c r="D38" i="7"/>
  <c r="D28" i="7"/>
  <c r="P14" i="7"/>
  <c r="P13" i="7"/>
  <c r="P12" i="7"/>
  <c r="P10" i="7"/>
  <c r="P9" i="7"/>
  <c r="P8" i="7"/>
  <c r="P7" i="7"/>
  <c r="Q2" i="7"/>
  <c r="K2" i="6"/>
  <c r="M6" i="6"/>
  <c r="M7" i="6"/>
  <c r="M8" i="6"/>
  <c r="M9" i="6"/>
  <c r="M11" i="6"/>
  <c r="M12" i="6"/>
  <c r="M13" i="6"/>
  <c r="D27" i="6"/>
  <c r="E31" i="6"/>
  <c r="D37" i="6"/>
  <c r="D38" i="6"/>
  <c r="D39" i="6"/>
  <c r="D37" i="5"/>
  <c r="D36" i="5"/>
  <c r="D25" i="5"/>
  <c r="N13" i="5"/>
  <c r="N12" i="5"/>
  <c r="N11" i="5"/>
  <c r="N9" i="5"/>
  <c r="N8" i="5"/>
  <c r="N7" i="5"/>
  <c r="N6" i="5"/>
  <c r="L2" i="5"/>
  <c r="N17" i="5"/>
  <c r="M23" i="26" l="1"/>
  <c r="AB20" i="5"/>
  <c r="Z20" i="5"/>
  <c r="N2" i="7"/>
  <c r="O18" i="7"/>
  <c r="N18" i="8"/>
  <c r="N19" i="8" s="1"/>
  <c r="M24" i="26" l="1"/>
  <c r="W18" i="5"/>
  <c r="W19" i="5" s="1"/>
  <c r="F20" i="20"/>
  <c r="F22" i="20" s="1"/>
  <c r="I28" i="21"/>
  <c r="I22" i="43" s="1"/>
  <c r="A51" i="20"/>
  <c r="O19" i="7"/>
  <c r="F15" i="9"/>
  <c r="F16" i="8"/>
  <c r="F15" i="6"/>
  <c r="F16" i="7"/>
  <c r="F15" i="10"/>
  <c r="F16" i="10" s="1"/>
  <c r="N10" i="10"/>
  <c r="X10" i="10" s="1"/>
  <c r="N11" i="10"/>
  <c r="X11" i="10" s="1"/>
  <c r="F17" i="6" l="1"/>
  <c r="I28" i="13" s="1"/>
  <c r="I21" i="39" s="1"/>
  <c r="F16" i="6"/>
  <c r="M25" i="26"/>
  <c r="W20" i="5"/>
  <c r="W21" i="5" s="1"/>
  <c r="W22" i="5" s="1"/>
  <c r="W23" i="5" s="1"/>
  <c r="W24" i="5" s="1"/>
  <c r="W25" i="5" s="1"/>
  <c r="W26" i="5" s="1"/>
  <c r="W27" i="5" s="1"/>
  <c r="W28" i="5" s="1"/>
  <c r="W29" i="5" s="1"/>
  <c r="W30" i="5" s="1"/>
  <c r="W31" i="5" s="1"/>
  <c r="W32" i="5" s="1"/>
  <c r="W33" i="5" s="1"/>
  <c r="W34" i="5" s="1"/>
  <c r="W35" i="5" s="1"/>
  <c r="W36" i="5" s="1"/>
  <c r="W37" i="5" s="1"/>
  <c r="W38" i="5" s="1"/>
  <c r="W39" i="5" s="1"/>
  <c r="W40" i="5" s="1"/>
  <c r="F21" i="8"/>
  <c r="I29" i="15" s="1"/>
  <c r="I23" i="41" s="1"/>
  <c r="F18" i="8"/>
  <c r="I26" i="14"/>
  <c r="I20" i="40" s="1"/>
  <c r="F17" i="7"/>
  <c r="F19" i="7" s="1"/>
  <c r="F22" i="7" s="1"/>
  <c r="I30" i="21"/>
  <c r="I24" i="43" s="1"/>
  <c r="I26" i="16"/>
  <c r="I20" i="42" s="1"/>
  <c r="F20" i="9"/>
  <c r="I29" i="16" s="1"/>
  <c r="I23" i="42" s="1"/>
  <c r="I26" i="15"/>
  <c r="I20" i="41" s="1"/>
  <c r="I26" i="17"/>
  <c r="I20" i="44" s="1"/>
  <c r="F19" i="10"/>
  <c r="I29" i="17" s="1"/>
  <c r="I23" i="44" s="1"/>
  <c r="I27" i="13"/>
  <c r="I20" i="39" s="1"/>
  <c r="I31" i="21"/>
  <c r="I25" i="43" s="1"/>
  <c r="F31" i="5"/>
  <c r="F21" i="7"/>
  <c r="I29" i="14" s="1"/>
  <c r="I23" i="40" s="1"/>
  <c r="F20" i="6"/>
  <c r="I32" i="12"/>
  <c r="I24" i="38" s="1"/>
  <c r="I29" i="12"/>
  <c r="I22" i="38" s="1"/>
  <c r="O11" i="8"/>
  <c r="M10" i="6"/>
  <c r="P11" i="7"/>
  <c r="F17" i="8"/>
  <c r="F16" i="9"/>
  <c r="I27" i="16" s="1"/>
  <c r="I21" i="42" s="1"/>
  <c r="N13" i="10"/>
  <c r="X13" i="10" s="1"/>
  <c r="N12" i="10"/>
  <c r="X12" i="10" s="1"/>
  <c r="F18" i="6" l="1"/>
  <c r="F21" i="6" s="1"/>
  <c r="E23" i="6" s="1"/>
  <c r="W41" i="5"/>
  <c r="W42" i="5" s="1"/>
  <c r="W43" i="5" s="1"/>
  <c r="W44" i="5" s="1"/>
  <c r="W45" i="5" s="1"/>
  <c r="W46" i="5" s="1"/>
  <c r="W47" i="5" s="1"/>
  <c r="W48" i="5" s="1"/>
  <c r="W49" i="5" s="1"/>
  <c r="W50" i="5" s="1"/>
  <c r="W51" i="5" s="1"/>
  <c r="W52" i="5" s="1"/>
  <c r="W53" i="5" s="1"/>
  <c r="W54" i="5" s="1"/>
  <c r="W55" i="5" s="1"/>
  <c r="W56" i="5" s="1"/>
  <c r="W57" i="5" s="1"/>
  <c r="W58" i="5" s="1"/>
  <c r="W59" i="5" s="1"/>
  <c r="W60" i="5" s="1"/>
  <c r="W61" i="5" s="1"/>
  <c r="W62" i="5" s="1"/>
  <c r="N29" i="26"/>
  <c r="M26" i="26"/>
  <c r="I27" i="15"/>
  <c r="I21" i="41" s="1"/>
  <c r="F18" i="9"/>
  <c r="F21" i="9" s="1"/>
  <c r="N64" i="5"/>
  <c r="E39" i="5"/>
  <c r="F39" i="5" s="1"/>
  <c r="I31" i="13"/>
  <c r="I24" i="39" s="1"/>
  <c r="I30" i="13"/>
  <c r="I23" i="39" s="1"/>
  <c r="A52" i="7"/>
  <c r="I28" i="14"/>
  <c r="I22" i="40" s="1"/>
  <c r="F19" i="8"/>
  <c r="F22" i="8" s="1"/>
  <c r="F24" i="20"/>
  <c r="F27" i="20" s="1"/>
  <c r="I33" i="12"/>
  <c r="I25" i="38" s="1"/>
  <c r="F24" i="5"/>
  <c r="F27" i="5" s="1"/>
  <c r="F29" i="5" s="1"/>
  <c r="I29" i="13" l="1"/>
  <c r="I22" i="39" s="1"/>
  <c r="M29" i="26"/>
  <c r="I30" i="14"/>
  <c r="I24" i="40" s="1"/>
  <c r="I28" i="16"/>
  <c r="I22" i="42" s="1"/>
  <c r="F23" i="9"/>
  <c r="I28" i="15"/>
  <c r="I22" i="41" s="1"/>
  <c r="F24" i="8"/>
  <c r="E24" i="7"/>
  <c r="A72" i="8"/>
  <c r="A74" i="8"/>
  <c r="A61" i="9"/>
  <c r="A59" i="9"/>
  <c r="N31" i="26" l="1"/>
  <c r="M30" i="26"/>
  <c r="I30" i="15"/>
  <c r="I24" i="41" s="1"/>
  <c r="I30" i="16"/>
  <c r="I24" i="42" s="1"/>
  <c r="E38" i="5"/>
  <c r="F38" i="5" s="1"/>
  <c r="I31" i="14"/>
  <c r="I25" i="40" s="1"/>
  <c r="F32" i="7"/>
  <c r="E41" i="7" s="1"/>
  <c r="F41" i="7" s="1"/>
  <c r="F27" i="7"/>
  <c r="F30" i="7" s="1"/>
  <c r="I31" i="15"/>
  <c r="I25" i="41" s="1"/>
  <c r="E37" i="5"/>
  <c r="F37" i="5" s="1"/>
  <c r="E36" i="5"/>
  <c r="F36" i="5" s="1"/>
  <c r="M31" i="26" l="1"/>
  <c r="E38" i="7"/>
  <c r="F38" i="7" s="1"/>
  <c r="P20" i="7"/>
  <c r="I31" i="16"/>
  <c r="I25" i="42" s="1"/>
  <c r="F25" i="9"/>
  <c r="E39" i="7"/>
  <c r="F39" i="7" s="1"/>
  <c r="E40" i="7"/>
  <c r="F40" i="7" s="1"/>
  <c r="F26" i="8"/>
  <c r="F28" i="8" s="1"/>
  <c r="O19" i="8" s="1"/>
  <c r="M32" i="26" l="1"/>
  <c r="F27" i="9"/>
  <c r="F28" i="9" s="1"/>
  <c r="O19" i="9" s="1"/>
  <c r="P19" i="7"/>
  <c r="A53" i="6"/>
  <c r="I32" i="13" s="1"/>
  <c r="I25" i="39" s="1"/>
  <c r="N34" i="26" l="1"/>
  <c r="M33" i="26"/>
  <c r="O18" i="9"/>
  <c r="I33" i="13"/>
  <c r="M34" i="26" l="1"/>
  <c r="F26" i="6"/>
  <c r="F29" i="6" s="1"/>
  <c r="F31" i="6"/>
  <c r="M37" i="26" l="1"/>
  <c r="M19" i="6"/>
  <c r="E40" i="6"/>
  <c r="F40" i="6" s="1"/>
  <c r="E38" i="6"/>
  <c r="F38" i="6" s="1"/>
  <c r="E37" i="6"/>
  <c r="F37" i="6" s="1"/>
  <c r="E39" i="6"/>
  <c r="F39" i="6" s="1"/>
  <c r="M18" i="6" l="1"/>
  <c r="E29" i="20" l="1"/>
  <c r="R1" i="6"/>
  <c r="L19" i="6" s="1"/>
  <c r="X17" i="5"/>
  <c r="U1" i="7"/>
  <c r="O20" i="7" s="1"/>
  <c r="N63" i="5"/>
  <c r="N61" i="5"/>
  <c r="N42" i="26" l="1"/>
  <c r="M42" i="26" s="1"/>
  <c r="M41" i="26"/>
  <c r="N56" i="5"/>
  <c r="K56" i="5" s="1"/>
  <c r="N60" i="5"/>
  <c r="K60" i="5" s="1"/>
  <c r="N58" i="5"/>
  <c r="K58" i="5" s="1"/>
  <c r="N59" i="5"/>
  <c r="K59" i="5" s="1"/>
  <c r="N54" i="5"/>
  <c r="K54" i="5" s="1"/>
  <c r="N53" i="5"/>
  <c r="K53" i="5" s="1"/>
  <c r="AB19" i="5"/>
  <c r="Z19" i="5"/>
  <c r="N62" i="5"/>
  <c r="M62" i="5" s="1"/>
  <c r="N55" i="5"/>
  <c r="K55" i="5" s="1"/>
  <c r="N37" i="5"/>
  <c r="M37" i="5" s="1"/>
  <c r="N46" i="5"/>
  <c r="M46" i="5" s="1"/>
  <c r="N36" i="5"/>
  <c r="M36" i="5" s="1"/>
  <c r="N30" i="5"/>
  <c r="M30" i="5" s="1"/>
  <c r="N22" i="5"/>
  <c r="M22" i="5" s="1"/>
  <c r="N29" i="5"/>
  <c r="K29" i="5" s="1"/>
  <c r="N48" i="5"/>
  <c r="K48" i="5" s="1"/>
  <c r="N51" i="5"/>
  <c r="M51" i="5" s="1"/>
  <c r="N40" i="5"/>
  <c r="K40" i="5" s="1"/>
  <c r="N32" i="5"/>
  <c r="K32" i="5" s="1"/>
  <c r="N34" i="5"/>
  <c r="K34" i="5" s="1"/>
  <c r="N52" i="5"/>
  <c r="M52" i="5" s="1"/>
  <c r="N35" i="5"/>
  <c r="K35" i="5" s="1"/>
  <c r="N25" i="5"/>
  <c r="K25" i="5" s="1"/>
  <c r="N21" i="5"/>
  <c r="K21" i="5" s="1"/>
  <c r="N23" i="5"/>
  <c r="K23" i="5" s="1"/>
  <c r="N27" i="5"/>
  <c r="K27" i="5" s="1"/>
  <c r="N38" i="5"/>
  <c r="K38" i="5" s="1"/>
  <c r="N39" i="5"/>
  <c r="K39" i="5" s="1"/>
  <c r="N45" i="5"/>
  <c r="M45" i="5" s="1"/>
  <c r="N33" i="5"/>
  <c r="K33" i="5" s="1"/>
  <c r="N18" i="5"/>
  <c r="M18" i="5" s="1"/>
  <c r="N42" i="5"/>
  <c r="K42" i="5" s="1"/>
  <c r="N19" i="5"/>
  <c r="N47" i="5"/>
  <c r="K47" i="5" s="1"/>
  <c r="N50" i="5"/>
  <c r="K50" i="5" s="1"/>
  <c r="N26" i="5"/>
  <c r="K26" i="5" s="1"/>
  <c r="N28" i="5"/>
  <c r="K28" i="5" s="1"/>
  <c r="N24" i="5"/>
  <c r="M24" i="5" s="1"/>
  <c r="N44" i="5"/>
  <c r="K44" i="5" s="1"/>
  <c r="K63" i="5"/>
  <c r="M63" i="5"/>
  <c r="N20" i="5"/>
  <c r="K61" i="5"/>
  <c r="M61" i="5"/>
  <c r="N49" i="5"/>
  <c r="N57" i="5"/>
  <c r="N43" i="5"/>
  <c r="N31" i="5"/>
  <c r="F29" i="20"/>
  <c r="N23" i="20" s="1"/>
  <c r="K19" i="5" l="1"/>
  <c r="M19" i="5"/>
  <c r="M60" i="5"/>
  <c r="M58" i="5"/>
  <c r="M56" i="5"/>
  <c r="M54" i="5"/>
  <c r="M53" i="5"/>
  <c r="M59" i="5"/>
  <c r="K62" i="5"/>
  <c r="M64" i="5"/>
  <c r="M55" i="5"/>
  <c r="N58" i="20"/>
  <c r="K58" i="20" s="1"/>
  <c r="N60" i="20"/>
  <c r="M60" i="20" s="1"/>
  <c r="N62" i="20"/>
  <c r="M62" i="20" s="1"/>
  <c r="N61" i="20"/>
  <c r="K61" i="20" s="1"/>
  <c r="K30" i="5"/>
  <c r="K37" i="5"/>
  <c r="K46" i="5"/>
  <c r="K36" i="5"/>
  <c r="K22" i="5"/>
  <c r="N59" i="20"/>
  <c r="K59" i="20" s="1"/>
  <c r="M27" i="5"/>
  <c r="M40" i="5"/>
  <c r="M32" i="5"/>
  <c r="K51" i="5"/>
  <c r="M29" i="5"/>
  <c r="M34" i="5"/>
  <c r="M48" i="5"/>
  <c r="M47" i="5"/>
  <c r="M33" i="5"/>
  <c r="M35" i="5"/>
  <c r="K52" i="5"/>
  <c r="K18" i="5"/>
  <c r="M21" i="5"/>
  <c r="M26" i="5"/>
  <c r="M39" i="5"/>
  <c r="K45" i="5"/>
  <c r="M23" i="5"/>
  <c r="M38" i="5"/>
  <c r="M50" i="5"/>
  <c r="M42" i="5"/>
  <c r="M42" i="10" s="1"/>
  <c r="M25" i="5"/>
  <c r="K24" i="5"/>
  <c r="M28" i="5"/>
  <c r="M44" i="5"/>
  <c r="N52" i="20"/>
  <c r="K52" i="20" s="1"/>
  <c r="N32" i="20"/>
  <c r="K32" i="20" s="1"/>
  <c r="N26" i="20"/>
  <c r="K26" i="20" s="1"/>
  <c r="N29" i="20"/>
  <c r="K29" i="20" s="1"/>
  <c r="N45" i="20"/>
  <c r="M45" i="20" s="1"/>
  <c r="N22" i="20"/>
  <c r="M22" i="20" s="1"/>
  <c r="N53" i="20"/>
  <c r="M53" i="20" s="1"/>
  <c r="N19" i="20"/>
  <c r="M19" i="20" s="1"/>
  <c r="N31" i="20"/>
  <c r="M31" i="20" s="1"/>
  <c r="N54" i="20"/>
  <c r="K54" i="20" s="1"/>
  <c r="N24" i="20"/>
  <c r="M24" i="20" s="1"/>
  <c r="N47" i="20"/>
  <c r="K47" i="20" s="1"/>
  <c r="N25" i="20"/>
  <c r="M25" i="20" s="1"/>
  <c r="N30" i="20"/>
  <c r="K30" i="20" s="1"/>
  <c r="N27" i="20"/>
  <c r="K27" i="20" s="1"/>
  <c r="N42" i="20"/>
  <c r="K42" i="20" s="1"/>
  <c r="N49" i="20"/>
  <c r="M49" i="20" s="1"/>
  <c r="N35" i="20"/>
  <c r="M35" i="20" s="1"/>
  <c r="N36" i="20"/>
  <c r="K36" i="20" s="1"/>
  <c r="N48" i="20"/>
  <c r="M48" i="20" s="1"/>
  <c r="N57" i="20"/>
  <c r="M57" i="20" s="1"/>
  <c r="N43" i="20"/>
  <c r="M43" i="20" s="1"/>
  <c r="N56" i="20"/>
  <c r="K56" i="20" s="1"/>
  <c r="N50" i="20"/>
  <c r="M50" i="20" s="1"/>
  <c r="N21" i="20"/>
  <c r="K21" i="20" s="1"/>
  <c r="N38" i="20"/>
  <c r="K38" i="20" s="1"/>
  <c r="N37" i="20"/>
  <c r="K37" i="20" s="1"/>
  <c r="N34" i="20"/>
  <c r="M34" i="20" s="1"/>
  <c r="N46" i="20"/>
  <c r="M46" i="20" s="1"/>
  <c r="N28" i="20"/>
  <c r="K28" i="20" s="1"/>
  <c r="N39" i="20"/>
  <c r="M39" i="20" s="1"/>
  <c r="K23" i="20"/>
  <c r="M23" i="20"/>
  <c r="N41" i="20"/>
  <c r="N40" i="20"/>
  <c r="N44" i="20"/>
  <c r="N55" i="20"/>
  <c r="K49" i="5"/>
  <c r="M49" i="5"/>
  <c r="M20" i="5"/>
  <c r="K20" i="5"/>
  <c r="N20" i="20"/>
  <c r="N51" i="20"/>
  <c r="N18" i="20"/>
  <c r="N33" i="20"/>
  <c r="K31" i="5"/>
  <c r="M31" i="5"/>
  <c r="K43" i="5"/>
  <c r="M43" i="5"/>
  <c r="M43" i="10" s="1"/>
  <c r="K57" i="5"/>
  <c r="M57" i="5"/>
  <c r="M41" i="10"/>
  <c r="M58" i="20" l="1"/>
  <c r="K60" i="20"/>
  <c r="K62" i="20"/>
  <c r="M61" i="20"/>
  <c r="M59" i="20"/>
  <c r="M27" i="20"/>
  <c r="M26" i="20"/>
  <c r="M32" i="20"/>
  <c r="M29" i="20"/>
  <c r="M42" i="20"/>
  <c r="K50" i="20"/>
  <c r="M36" i="20"/>
  <c r="M37" i="20"/>
  <c r="M21" i="20"/>
  <c r="K49" i="20"/>
  <c r="K45" i="20"/>
  <c r="K57" i="20"/>
  <c r="M52" i="20"/>
  <c r="M30" i="20"/>
  <c r="K39" i="20"/>
  <c r="K53" i="20"/>
  <c r="K24" i="20"/>
  <c r="M56" i="20"/>
  <c r="K43" i="20"/>
  <c r="K19" i="20"/>
  <c r="K22" i="20"/>
  <c r="M28" i="20"/>
  <c r="K46" i="20"/>
  <c r="K31" i="20"/>
  <c r="K34" i="20"/>
  <c r="K48" i="20"/>
  <c r="M47" i="20"/>
  <c r="K35" i="20"/>
  <c r="M38" i="20"/>
  <c r="K25" i="20"/>
  <c r="M54" i="20"/>
  <c r="K51" i="20"/>
  <c r="M51" i="20"/>
  <c r="M40" i="20"/>
  <c r="K40" i="20"/>
  <c r="M20" i="20"/>
  <c r="K20" i="20"/>
  <c r="M41" i="20"/>
  <c r="K41" i="20"/>
  <c r="M33" i="20"/>
  <c r="K33" i="20"/>
  <c r="K55" i="20"/>
  <c r="M55" i="20"/>
  <c r="K18" i="20"/>
  <c r="M18" i="20"/>
  <c r="M44" i="20"/>
  <c r="K44" i="20"/>
  <c r="D22" i="27" l="1"/>
  <c r="D21" i="14" s="1"/>
  <c r="D21" i="17" l="1"/>
  <c r="D21" i="15"/>
  <c r="D22" i="13"/>
  <c r="D21" i="16"/>
  <c r="D22" i="12"/>
  <c r="D21" i="21"/>
  <c r="D14" i="34" l="1"/>
  <c r="D14" i="41"/>
  <c r="D14" i="44"/>
  <c r="D14" i="43"/>
  <c r="D14" i="38"/>
  <c r="D14" i="40"/>
  <c r="D14" i="39"/>
  <c r="D14" i="42"/>
  <c r="I27" i="17" l="1"/>
  <c r="I21" i="44" s="1"/>
  <c r="F17" i="10"/>
  <c r="A114" i="10" l="1"/>
  <c r="I28" i="17"/>
  <c r="I22" i="44" s="1"/>
  <c r="F20" i="10"/>
  <c r="F22" i="10" l="1"/>
  <c r="I31" i="17"/>
  <c r="I25" i="44" s="1"/>
  <c r="F24" i="10" l="1"/>
  <c r="F27" i="10" s="1"/>
  <c r="F29" i="10" s="1"/>
  <c r="N18" i="10" s="1"/>
  <c r="F25" i="10"/>
  <c r="F31" i="10"/>
  <c r="I32" i="17"/>
  <c r="N19" i="10" l="1"/>
  <c r="N20" i="10" s="1"/>
  <c r="N21" i="10" s="1"/>
  <c r="N22" i="10" s="1"/>
  <c r="N23" i="10" s="1"/>
  <c r="N24" i="10" s="1"/>
  <c r="N25" i="10" s="1"/>
  <c r="N26" i="10" s="1"/>
  <c r="N27" i="10" s="1"/>
  <c r="N28" i="10" s="1"/>
  <c r="N29" i="10" s="1"/>
  <c r="N30" i="10" s="1"/>
  <c r="N31" i="10" s="1"/>
  <c r="N32" i="10" s="1"/>
  <c r="N33" i="10" s="1"/>
  <c r="N34" i="10" s="1"/>
  <c r="N35" i="10" s="1"/>
  <c r="N36" i="10" s="1"/>
  <c r="N37" i="10" s="1"/>
  <c r="N38" i="10" s="1"/>
  <c r="N39" i="10" s="1"/>
  <c r="N42" i="10" s="1"/>
  <c r="N43" i="10" s="1"/>
  <c r="F38" i="10"/>
  <c r="G38" i="10" s="1"/>
  <c r="N44" i="10"/>
  <c r="F36" i="10"/>
  <c r="G36" i="10" s="1"/>
  <c r="F35" i="10"/>
  <c r="G35" i="10" s="1"/>
  <c r="F37" i="10"/>
  <c r="G37" i="10" s="1"/>
  <c r="N45" i="10" l="1"/>
  <c r="O46" i="10"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gntangsoc</author>
  </authors>
  <commentList>
    <comment ref="F4" authorId="0" shapeId="0" xr:uid="{C5D0D7A9-C848-429E-BC2F-8681A0D4E65E}">
      <text>
        <r>
          <rPr>
            <b/>
            <sz val="9"/>
            <color indexed="81"/>
            <rFont val="Tahoma"/>
            <family val="2"/>
          </rPr>
          <t>gntangsoc:</t>
        </r>
        <r>
          <rPr>
            <sz val="9"/>
            <color indexed="81"/>
            <rFont val="Tahoma"/>
            <family val="2"/>
          </rPr>
          <t xml:space="preserve">
Anthony - 2, PCFI - 6, WCDI - 5</t>
        </r>
      </text>
    </comment>
    <comment ref="F5" authorId="0" shapeId="0" xr:uid="{F76F9D69-7F4C-461E-9B54-D6FBB291BB61}">
      <text>
        <r>
          <rPr>
            <b/>
            <sz val="9"/>
            <color indexed="81"/>
            <rFont val="Tahoma"/>
            <family val="2"/>
          </rPr>
          <t>gntangsoc:</t>
        </r>
        <r>
          <rPr>
            <sz val="9"/>
            <color indexed="81"/>
            <rFont val="Tahoma"/>
            <family val="2"/>
          </rPr>
          <t xml:space="preserve">
Bry</t>
        </r>
      </text>
    </comment>
  </commentList>
</comments>
</file>

<file path=xl/sharedStrings.xml><?xml version="1.0" encoding="utf-8"?>
<sst xmlns="http://schemas.openxmlformats.org/spreadsheetml/2006/main" count="5269" uniqueCount="988">
  <si>
    <t>Project Name</t>
  </si>
  <si>
    <t>Tinio</t>
  </si>
  <si>
    <t>Project Location</t>
  </si>
  <si>
    <t>Project Data</t>
  </si>
  <si>
    <t>Scheme Number</t>
  </si>
  <si>
    <t>PACKAGE BREAKDOWN - Public Selling Price</t>
  </si>
  <si>
    <t>Type</t>
  </si>
  <si>
    <t>1BR, Fully Fitted</t>
  </si>
  <si>
    <t>Commercial Unit 1</t>
  </si>
  <si>
    <t>Commercial Unit 2</t>
  </si>
  <si>
    <t>Commercial Unit 3</t>
  </si>
  <si>
    <t>Commercial Unit 4</t>
  </si>
  <si>
    <t>Commercial Unit 5</t>
  </si>
  <si>
    <t>Commercial Unit 6</t>
  </si>
  <si>
    <t>Commercial Unit 7</t>
  </si>
  <si>
    <t>Commercial Unit 8</t>
  </si>
  <si>
    <t>Parking Slot - Regular</t>
  </si>
  <si>
    <t>Parking Slot - Parallel</t>
  </si>
  <si>
    <t>Parking Slot - Small</t>
  </si>
  <si>
    <t>Unit A</t>
  </si>
  <si>
    <t>Unit  B</t>
  </si>
  <si>
    <t>Unit C</t>
  </si>
  <si>
    <t>Unit D</t>
  </si>
  <si>
    <t>Unit E</t>
  </si>
  <si>
    <t>Unit F</t>
  </si>
  <si>
    <t>Unit G</t>
  </si>
  <si>
    <t>Unit H</t>
  </si>
  <si>
    <t>Unit I to K</t>
  </si>
  <si>
    <t>Unit L</t>
  </si>
  <si>
    <t>Unit M</t>
  </si>
  <si>
    <t>Area</t>
  </si>
  <si>
    <t>Balcony Area</t>
  </si>
  <si>
    <t>Total Area</t>
  </si>
  <si>
    <t>Price per sq. m.</t>
  </si>
  <si>
    <t>Price of Unit</t>
  </si>
  <si>
    <t>Price per sq. m. (balcony)</t>
  </si>
  <si>
    <t>Price of Balcony</t>
  </si>
  <si>
    <t>Total Selling Price</t>
  </si>
  <si>
    <t>VAT (12%)</t>
  </si>
  <si>
    <t>Legal &amp; Misc. Fees (6%)</t>
  </si>
  <si>
    <t>Bank Fees (2.5%)</t>
  </si>
  <si>
    <t>Total Contract Price</t>
  </si>
  <si>
    <t>Equity</t>
  </si>
  <si>
    <t>Equity Amount</t>
  </si>
  <si>
    <t>Reservation Fee</t>
  </si>
  <si>
    <t>Equity Balance</t>
  </si>
  <si>
    <t>Equity Term</t>
  </si>
  <si>
    <t>Monthly Payment</t>
  </si>
  <si>
    <t>Loanable Amount</t>
  </si>
  <si>
    <t>5 years @ 7.00%</t>
  </si>
  <si>
    <t>10 Years @ 7.5%</t>
  </si>
  <si>
    <t>15 Years @ 8.0%</t>
  </si>
  <si>
    <t>Construction Contingency</t>
  </si>
  <si>
    <t>Package Selling Price:</t>
  </si>
  <si>
    <t>Package 4</t>
  </si>
  <si>
    <t>Lot Area:</t>
  </si>
  <si>
    <t>Floor Area:</t>
  </si>
  <si>
    <t>Lot Selling Price:</t>
  </si>
  <si>
    <t>Selling Price/SQM:</t>
  </si>
  <si>
    <t>House Cost:</t>
  </si>
  <si>
    <t>House Cost/SQM:</t>
  </si>
  <si>
    <t>House Selling Price:</t>
  </si>
  <si>
    <t>Monthy Payments, 43 mos.</t>
  </si>
  <si>
    <t>Balance - 75%</t>
  </si>
  <si>
    <t>10 years to pay</t>
  </si>
  <si>
    <t>15 years to pay</t>
  </si>
  <si>
    <t>PACKAGE BREAKDOWN - PSG1 and 1.5 (7 units)</t>
  </si>
  <si>
    <t>PACKAGE BREAKDOWN - PSG2 (25 units)</t>
  </si>
  <si>
    <t>PACKAGE BREAKDOWN - PSG3 (25 units)</t>
  </si>
  <si>
    <t>PACKAGE BREAKDOWN - PSG4 (25 Units)</t>
  </si>
  <si>
    <t>PACKAGE BREAKDOWN - Increase 1 (25 Units)</t>
  </si>
  <si>
    <t>PACKAGE BREAKDOWN - Increase 2 (23 Units)</t>
  </si>
  <si>
    <t>Residential</t>
  </si>
  <si>
    <t>No.</t>
  </si>
  <si>
    <t>Sale Status</t>
  </si>
  <si>
    <t>Actual Floor</t>
  </si>
  <si>
    <t>Building Floor</t>
  </si>
  <si>
    <t>Unit</t>
  </si>
  <si>
    <t>Unit Code</t>
  </si>
  <si>
    <t>Unit Type</t>
  </si>
  <si>
    <t>Floor Area</t>
  </si>
  <si>
    <t>Balcony</t>
  </si>
  <si>
    <t>Discount</t>
  </si>
  <si>
    <t>Floor Nominal</t>
  </si>
  <si>
    <t>Floor Additive</t>
  </si>
  <si>
    <t>Special Additive</t>
  </si>
  <si>
    <t>Recovery Additive</t>
  </si>
  <si>
    <t>Corner</t>
  </si>
  <si>
    <t>Facing East</t>
  </si>
  <si>
    <t>Configuration</t>
  </si>
  <si>
    <t>level additives</t>
  </si>
  <si>
    <t>Total Additives</t>
  </si>
  <si>
    <t>Net Selling Price</t>
  </si>
  <si>
    <t>LMF</t>
  </si>
  <si>
    <t>BF</t>
  </si>
  <si>
    <t>VAT</t>
  </si>
  <si>
    <t>TCP</t>
  </si>
  <si>
    <t>Price per sqm</t>
  </si>
  <si>
    <t xml:space="preserve">DP% </t>
  </si>
  <si>
    <t>RF</t>
  </si>
  <si>
    <t>Monthly Equity</t>
  </si>
  <si>
    <t>SUM</t>
  </si>
  <si>
    <t>Variance</t>
  </si>
  <si>
    <t>SP/SQM</t>
  </si>
  <si>
    <t>Unsold</t>
  </si>
  <si>
    <t>4th</t>
  </si>
  <si>
    <t>5th</t>
  </si>
  <si>
    <t>A</t>
  </si>
  <si>
    <t>5A</t>
  </si>
  <si>
    <t>2-BR</t>
  </si>
  <si>
    <t>CORNER</t>
  </si>
  <si>
    <t>B</t>
  </si>
  <si>
    <t>5B</t>
  </si>
  <si>
    <t>1-BR</t>
  </si>
  <si>
    <t>INNER</t>
  </si>
  <si>
    <t>C</t>
  </si>
  <si>
    <t>5C</t>
  </si>
  <si>
    <t>D</t>
  </si>
  <si>
    <t>5D</t>
  </si>
  <si>
    <t>E</t>
  </si>
  <si>
    <t>5E</t>
  </si>
  <si>
    <t>F</t>
  </si>
  <si>
    <t>5F</t>
  </si>
  <si>
    <t>G</t>
  </si>
  <si>
    <t>5G</t>
  </si>
  <si>
    <t>H</t>
  </si>
  <si>
    <t>5H</t>
  </si>
  <si>
    <t>I</t>
  </si>
  <si>
    <t>5I</t>
  </si>
  <si>
    <t>J</t>
  </si>
  <si>
    <t>5J</t>
  </si>
  <si>
    <t>K</t>
  </si>
  <si>
    <t>5K</t>
  </si>
  <si>
    <t>L</t>
  </si>
  <si>
    <t>5L</t>
  </si>
  <si>
    <t>Not Yet Open</t>
  </si>
  <si>
    <t>M</t>
  </si>
  <si>
    <t>5M</t>
  </si>
  <si>
    <t xml:space="preserve">6th </t>
  </si>
  <si>
    <t>6A</t>
  </si>
  <si>
    <t>6B</t>
  </si>
  <si>
    <t>6C</t>
  </si>
  <si>
    <t>6D</t>
  </si>
  <si>
    <t>6E</t>
  </si>
  <si>
    <t>6F</t>
  </si>
  <si>
    <t>6G</t>
  </si>
  <si>
    <t>6H</t>
  </si>
  <si>
    <t>6I</t>
  </si>
  <si>
    <t>6J</t>
  </si>
  <si>
    <t>6K</t>
  </si>
  <si>
    <t>6L</t>
  </si>
  <si>
    <t>6M</t>
  </si>
  <si>
    <t>7th</t>
  </si>
  <si>
    <t>7A</t>
  </si>
  <si>
    <t>7B</t>
  </si>
  <si>
    <t>7C</t>
  </si>
  <si>
    <t>7D</t>
  </si>
  <si>
    <t>7E</t>
  </si>
  <si>
    <t>7F</t>
  </si>
  <si>
    <t>7G</t>
  </si>
  <si>
    <t>7H</t>
  </si>
  <si>
    <t>7I</t>
  </si>
  <si>
    <t>7J</t>
  </si>
  <si>
    <t>7K</t>
  </si>
  <si>
    <t>7L</t>
  </si>
  <si>
    <t>7M</t>
  </si>
  <si>
    <t>8th</t>
  </si>
  <si>
    <t>8A</t>
  </si>
  <si>
    <t>8B</t>
  </si>
  <si>
    <t>8C</t>
  </si>
  <si>
    <t>8D</t>
  </si>
  <si>
    <t>8E</t>
  </si>
  <si>
    <t>8F</t>
  </si>
  <si>
    <t>8G</t>
  </si>
  <si>
    <t>8H</t>
  </si>
  <si>
    <t>8I</t>
  </si>
  <si>
    <t>8J</t>
  </si>
  <si>
    <t>8K</t>
  </si>
  <si>
    <t>8L</t>
  </si>
  <si>
    <t>8M</t>
  </si>
  <si>
    <t>9th</t>
  </si>
  <si>
    <t>9A</t>
  </si>
  <si>
    <t>9B</t>
  </si>
  <si>
    <t>9C</t>
  </si>
  <si>
    <t>9D</t>
  </si>
  <si>
    <t>9E</t>
  </si>
  <si>
    <t>9F</t>
  </si>
  <si>
    <t>9G</t>
  </si>
  <si>
    <t>9H</t>
  </si>
  <si>
    <t>9I</t>
  </si>
  <si>
    <t>9J</t>
  </si>
  <si>
    <t>9K</t>
  </si>
  <si>
    <t>9L</t>
  </si>
  <si>
    <t>9M</t>
  </si>
  <si>
    <t>10th</t>
  </si>
  <si>
    <t>10A</t>
  </si>
  <si>
    <t>10B</t>
  </si>
  <si>
    <t>10C</t>
  </si>
  <si>
    <t>10D</t>
  </si>
  <si>
    <t>10E</t>
  </si>
  <si>
    <t>10F</t>
  </si>
  <si>
    <t>10G</t>
  </si>
  <si>
    <t>10H</t>
  </si>
  <si>
    <t>10I</t>
  </si>
  <si>
    <t>10J</t>
  </si>
  <si>
    <t>10K</t>
  </si>
  <si>
    <t>10L</t>
  </si>
  <si>
    <t>10M</t>
  </si>
  <si>
    <t>11th</t>
  </si>
  <si>
    <t>11A</t>
  </si>
  <si>
    <t>11B</t>
  </si>
  <si>
    <t>11C</t>
  </si>
  <si>
    <t>11D</t>
  </si>
  <si>
    <t>11E</t>
  </si>
  <si>
    <t>11F</t>
  </si>
  <si>
    <t>11G</t>
  </si>
  <si>
    <t>11H</t>
  </si>
  <si>
    <t>11I</t>
  </si>
  <si>
    <t>11J</t>
  </si>
  <si>
    <t>11K</t>
  </si>
  <si>
    <t>11L</t>
  </si>
  <si>
    <t>11M</t>
  </si>
  <si>
    <t>12th</t>
  </si>
  <si>
    <t>12A</t>
  </si>
  <si>
    <t>12B</t>
  </si>
  <si>
    <t>12C</t>
  </si>
  <si>
    <t>12D</t>
  </si>
  <si>
    <t>12E</t>
  </si>
  <si>
    <t>12F</t>
  </si>
  <si>
    <t>12G</t>
  </si>
  <si>
    <t>12H</t>
  </si>
  <si>
    <t>12I</t>
  </si>
  <si>
    <t>12J</t>
  </si>
  <si>
    <t>12K</t>
  </si>
  <si>
    <t>12L</t>
  </si>
  <si>
    <t>12M</t>
  </si>
  <si>
    <t>Locked</t>
  </si>
  <si>
    <t>14th</t>
  </si>
  <si>
    <t>14A</t>
  </si>
  <si>
    <t>14B</t>
  </si>
  <si>
    <t>14C</t>
  </si>
  <si>
    <t>14D</t>
  </si>
  <si>
    <t>14E</t>
  </si>
  <si>
    <t>14F</t>
  </si>
  <si>
    <t>14G</t>
  </si>
  <si>
    <t>14H</t>
  </si>
  <si>
    <t>14I</t>
  </si>
  <si>
    <t>14J</t>
  </si>
  <si>
    <t>14K</t>
  </si>
  <si>
    <t>14L</t>
  </si>
  <si>
    <t>14M</t>
  </si>
  <si>
    <t>13th</t>
  </si>
  <si>
    <t>15th</t>
  </si>
  <si>
    <t>15A</t>
  </si>
  <si>
    <t>15B</t>
  </si>
  <si>
    <t>15C</t>
  </si>
  <si>
    <t>15D</t>
  </si>
  <si>
    <t>15E</t>
  </si>
  <si>
    <t>15F</t>
  </si>
  <si>
    <t>15G</t>
  </si>
  <si>
    <t>15H</t>
  </si>
  <si>
    <t>15I</t>
  </si>
  <si>
    <t>15J</t>
  </si>
  <si>
    <t>15K</t>
  </si>
  <si>
    <t>15L</t>
  </si>
  <si>
    <t>15M</t>
  </si>
  <si>
    <t>TOTAL RESIDENTIAL SALES</t>
  </si>
  <si>
    <t>Parking</t>
  </si>
  <si>
    <t>Penthouse Additive</t>
  </si>
  <si>
    <t>B5</t>
  </si>
  <si>
    <t>B5-1</t>
  </si>
  <si>
    <t>B5-2</t>
  </si>
  <si>
    <t>B5-3</t>
  </si>
  <si>
    <t>B5-4</t>
  </si>
  <si>
    <t>B5-5</t>
  </si>
  <si>
    <t>B5-6</t>
  </si>
  <si>
    <t>B5-7</t>
  </si>
  <si>
    <t>B5-8</t>
  </si>
  <si>
    <t>B5-9</t>
  </si>
  <si>
    <t>B5-10</t>
  </si>
  <si>
    <t>B5-11</t>
  </si>
  <si>
    <t>B5-12</t>
  </si>
  <si>
    <t>B5-13</t>
  </si>
  <si>
    <t>B5-14</t>
  </si>
  <si>
    <t>B5-15</t>
  </si>
  <si>
    <t>B5-16</t>
  </si>
  <si>
    <t>B5-17</t>
  </si>
  <si>
    <t>B5-18</t>
  </si>
  <si>
    <t>B5-19</t>
  </si>
  <si>
    <t>B5-20</t>
  </si>
  <si>
    <t>B5-21</t>
  </si>
  <si>
    <t>B5-22</t>
  </si>
  <si>
    <t>B5-23</t>
  </si>
  <si>
    <t>B5-24</t>
  </si>
  <si>
    <t>B5-25</t>
  </si>
  <si>
    <t>B5-26</t>
  </si>
  <si>
    <t>B5-27</t>
  </si>
  <si>
    <t>B5-28</t>
  </si>
  <si>
    <t>B5-29</t>
  </si>
  <si>
    <t>B5-30</t>
  </si>
  <si>
    <t>B5-31</t>
  </si>
  <si>
    <t>B5-32</t>
  </si>
  <si>
    <t>B6</t>
  </si>
  <si>
    <t>B5-33</t>
  </si>
  <si>
    <t>B4</t>
  </si>
  <si>
    <t>B4-1</t>
  </si>
  <si>
    <t>B4-2</t>
  </si>
  <si>
    <t>B4-3</t>
  </si>
  <si>
    <t>B4-4</t>
  </si>
  <si>
    <t>B4-5</t>
  </si>
  <si>
    <t>B4-6</t>
  </si>
  <si>
    <t>B4-7</t>
  </si>
  <si>
    <t>B4-8</t>
  </si>
  <si>
    <t>B4-9</t>
  </si>
  <si>
    <t>B4-10</t>
  </si>
  <si>
    <t>B4-11</t>
  </si>
  <si>
    <t>B4-12</t>
  </si>
  <si>
    <t>B4-13</t>
  </si>
  <si>
    <t>B4-14</t>
  </si>
  <si>
    <t>B4-15</t>
  </si>
  <si>
    <t>B4-16</t>
  </si>
  <si>
    <t>B4-17</t>
  </si>
  <si>
    <t>B4-18</t>
  </si>
  <si>
    <t>B4-19</t>
  </si>
  <si>
    <t>B4-20</t>
  </si>
  <si>
    <t>B4-21</t>
  </si>
  <si>
    <t>B4-22</t>
  </si>
  <si>
    <t>B4-23</t>
  </si>
  <si>
    <t>B4-24</t>
  </si>
  <si>
    <t>B4-25</t>
  </si>
  <si>
    <t>B4-26</t>
  </si>
  <si>
    <t>B4-27</t>
  </si>
  <si>
    <t>B4-28</t>
  </si>
  <si>
    <t>B4-29</t>
  </si>
  <si>
    <t>B4-30</t>
  </si>
  <si>
    <t>B4-31</t>
  </si>
  <si>
    <t>B4-32</t>
  </si>
  <si>
    <t>B3</t>
  </si>
  <si>
    <t>B3-1</t>
  </si>
  <si>
    <t>B3-2</t>
  </si>
  <si>
    <t>B3-3</t>
  </si>
  <si>
    <t>B3-4</t>
  </si>
  <si>
    <t>B3-5</t>
  </si>
  <si>
    <t>B3-6</t>
  </si>
  <si>
    <t>B3-7</t>
  </si>
  <si>
    <t>B3-8</t>
  </si>
  <si>
    <t>B3-9</t>
  </si>
  <si>
    <t>B3-10</t>
  </si>
  <si>
    <t>B3-11</t>
  </si>
  <si>
    <t>B3-12</t>
  </si>
  <si>
    <t>B3-13</t>
  </si>
  <si>
    <t>B3-14</t>
  </si>
  <si>
    <t>B3-15</t>
  </si>
  <si>
    <t>B3-16</t>
  </si>
  <si>
    <t>B3-17</t>
  </si>
  <si>
    <t>B3-18</t>
  </si>
  <si>
    <t>B3-19</t>
  </si>
  <si>
    <t>B3-20</t>
  </si>
  <si>
    <t>B3-21</t>
  </si>
  <si>
    <t>B3-22</t>
  </si>
  <si>
    <t>B3-23</t>
  </si>
  <si>
    <t>B3-24</t>
  </si>
  <si>
    <t>B3-25</t>
  </si>
  <si>
    <t>B3-26</t>
  </si>
  <si>
    <t>B3-27</t>
  </si>
  <si>
    <t>B3-28</t>
  </si>
  <si>
    <t>B3-29</t>
  </si>
  <si>
    <t>B3-30</t>
  </si>
  <si>
    <t>B3-31</t>
  </si>
  <si>
    <t>B3-32</t>
  </si>
  <si>
    <t>B2</t>
  </si>
  <si>
    <t>B2-1</t>
  </si>
  <si>
    <t>B2-2</t>
  </si>
  <si>
    <t>B2-3</t>
  </si>
  <si>
    <t>B2-4</t>
  </si>
  <si>
    <t>B2-5</t>
  </si>
  <si>
    <t>B2-6</t>
  </si>
  <si>
    <t>B2-7</t>
  </si>
  <si>
    <t>B2-8</t>
  </si>
  <si>
    <t>B2-9</t>
  </si>
  <si>
    <t>B2-10</t>
  </si>
  <si>
    <t>B2-11</t>
  </si>
  <si>
    <t>B2-12</t>
  </si>
  <si>
    <t>B2-13</t>
  </si>
  <si>
    <t>B2-14</t>
  </si>
  <si>
    <t>B2-15</t>
  </si>
  <si>
    <t>B2-16</t>
  </si>
  <si>
    <t>B2-17</t>
  </si>
  <si>
    <t>B2-18</t>
  </si>
  <si>
    <t>B2-19</t>
  </si>
  <si>
    <t>B2-20</t>
  </si>
  <si>
    <t>B2-21</t>
  </si>
  <si>
    <t>B2-22</t>
  </si>
  <si>
    <t>B2-23</t>
  </si>
  <si>
    <t>B2-24</t>
  </si>
  <si>
    <t>B2-25</t>
  </si>
  <si>
    <t>B2-26</t>
  </si>
  <si>
    <t>B2-27</t>
  </si>
  <si>
    <t>B2-28</t>
  </si>
  <si>
    <t>B2-29</t>
  </si>
  <si>
    <t>B2-30</t>
  </si>
  <si>
    <t>B2-31</t>
  </si>
  <si>
    <t>B2-32</t>
  </si>
  <si>
    <t>B1</t>
  </si>
  <si>
    <t>B1-1</t>
  </si>
  <si>
    <t>B1-2</t>
  </si>
  <si>
    <t>B1-3</t>
  </si>
  <si>
    <t>B1-4</t>
  </si>
  <si>
    <t>B1-5</t>
  </si>
  <si>
    <t>B1-6</t>
  </si>
  <si>
    <t>B1-7</t>
  </si>
  <si>
    <t>B1-8</t>
  </si>
  <si>
    <t>B1-9</t>
  </si>
  <si>
    <t>B1-10</t>
  </si>
  <si>
    <t>B1-11</t>
  </si>
  <si>
    <t>B1-12</t>
  </si>
  <si>
    <t>B1-13</t>
  </si>
  <si>
    <t>B1-14</t>
  </si>
  <si>
    <t>B1-15</t>
  </si>
  <si>
    <t>B1-16</t>
  </si>
  <si>
    <t>B1-17</t>
  </si>
  <si>
    <t>B1-18</t>
  </si>
  <si>
    <t>G-1</t>
  </si>
  <si>
    <t>G-2</t>
  </si>
  <si>
    <t>G-3</t>
  </si>
  <si>
    <t>G-4</t>
  </si>
  <si>
    <t>G-5</t>
  </si>
  <si>
    <t>G-6</t>
  </si>
  <si>
    <t>G-7</t>
  </si>
  <si>
    <t>G-8</t>
  </si>
  <si>
    <t>TOTAL PARKING SALES</t>
  </si>
  <si>
    <t>Commercial</t>
  </si>
  <si>
    <t>DP %</t>
  </si>
  <si>
    <t>GF</t>
  </si>
  <si>
    <t>C-1</t>
  </si>
  <si>
    <t>Comm.</t>
  </si>
  <si>
    <t>C-2</t>
  </si>
  <si>
    <t>C-3</t>
  </si>
  <si>
    <t>C-4</t>
  </si>
  <si>
    <t>C-5</t>
  </si>
  <si>
    <t>C-6</t>
  </si>
  <si>
    <t>C-7</t>
  </si>
  <si>
    <t>C-8</t>
  </si>
  <si>
    <t>Assumptions:</t>
  </si>
  <si>
    <t>Category</t>
  </si>
  <si>
    <t>New Scheme</t>
  </si>
  <si>
    <t>Old Scheme</t>
  </si>
  <si>
    <t>No. of Units</t>
  </si>
  <si>
    <t>With Discount</t>
  </si>
  <si>
    <t>Allotted/Sold</t>
  </si>
  <si>
    <t>Typical 70 sqm unit TCP</t>
  </si>
  <si>
    <t>PS1</t>
  </si>
  <si>
    <t xml:space="preserve"> Family, Executives, Employees</t>
  </si>
  <si>
    <t>P120k/sqm + 15% Disc</t>
  </si>
  <si>
    <t>PS1.5</t>
  </si>
  <si>
    <t>Family, Executives, Employees</t>
  </si>
  <si>
    <t xml:space="preserve">P120k/sqm + 10% Disc </t>
  </si>
  <si>
    <t>PS2</t>
  </si>
  <si>
    <t>Suppliers and Friends</t>
  </si>
  <si>
    <t>PS3</t>
  </si>
  <si>
    <t>Past Clients for B1 and B2</t>
  </si>
  <si>
    <t>P126k/sqm + 8% Disc</t>
  </si>
  <si>
    <t>PS4</t>
  </si>
  <si>
    <t>Prestige Circle</t>
  </si>
  <si>
    <t>P129k/sqm + 6% Disc</t>
  </si>
  <si>
    <t>Public Selling</t>
  </si>
  <si>
    <t>P132k/sqm</t>
  </si>
  <si>
    <t>PS1,1.5,2</t>
  </si>
  <si>
    <t>TOTAL</t>
  </si>
  <si>
    <t>TOTAL DISCOUNTS</t>
  </si>
  <si>
    <t xml:space="preserve">Category </t>
  </si>
  <si>
    <t>Price Per Sqm</t>
  </si>
  <si>
    <t>Roger*</t>
  </si>
  <si>
    <t>Edward*</t>
  </si>
  <si>
    <t xml:space="preserve">Kerwin </t>
  </si>
  <si>
    <t xml:space="preserve">Ryan </t>
  </si>
  <si>
    <t xml:space="preserve">Sharon </t>
  </si>
  <si>
    <t>Mark Labrador</t>
  </si>
  <si>
    <t>Anthony Go (2 units*)</t>
  </si>
  <si>
    <t>Ray Roxas-Chua*</t>
  </si>
  <si>
    <t>Tere*</t>
  </si>
  <si>
    <t>Glenn</t>
  </si>
  <si>
    <t>Sean*</t>
  </si>
  <si>
    <t xml:space="preserve">Carson's Dad (2 Units) </t>
  </si>
  <si>
    <t xml:space="preserve"> P123k/sqm + 10% Disc</t>
  </si>
  <si>
    <t xml:space="preserve">Carson's Sister (2 Units - 70sqm) </t>
  </si>
  <si>
    <t>Isaac</t>
  </si>
  <si>
    <t xml:space="preserve">Sherwin </t>
  </si>
  <si>
    <t xml:space="preserve">Kirst </t>
  </si>
  <si>
    <t xml:space="preserve">Bry's Sister </t>
  </si>
  <si>
    <t xml:space="preserve">Coy </t>
  </si>
  <si>
    <t>Atty Abalos</t>
  </si>
  <si>
    <t>PS 1.5</t>
  </si>
  <si>
    <t>Aiana</t>
  </si>
  <si>
    <t>Carla</t>
  </si>
  <si>
    <t>Kat</t>
  </si>
  <si>
    <t>Tommy</t>
  </si>
  <si>
    <t>PS 2</t>
  </si>
  <si>
    <t>Prestige Sales</t>
  </si>
  <si>
    <t>Elite Sales</t>
  </si>
  <si>
    <t>Elite (incoming)</t>
  </si>
  <si>
    <t>Units Left</t>
  </si>
  <si>
    <t>C1</t>
  </si>
  <si>
    <t>Inroductory</t>
  </si>
  <si>
    <t>TOTAL INCREASED</t>
  </si>
  <si>
    <t>TO 1</t>
  </si>
  <si>
    <t>10.01.2025</t>
  </si>
  <si>
    <t>C A-F</t>
  </si>
  <si>
    <t>COMMERCIAL</t>
  </si>
  <si>
    <t>TO 2</t>
  </si>
  <si>
    <t>11.01.2025</t>
  </si>
  <si>
    <t>SOLD</t>
  </si>
  <si>
    <t>Mezzanine</t>
  </si>
  <si>
    <t>PR1</t>
  </si>
  <si>
    <t>PR1 - 1</t>
  </si>
  <si>
    <t>PR1 - 2</t>
  </si>
  <si>
    <t>PR1 - 3</t>
  </si>
  <si>
    <t>PR2</t>
  </si>
  <si>
    <t>10 units</t>
  </si>
  <si>
    <t>PR3</t>
  </si>
  <si>
    <t>PR4</t>
  </si>
  <si>
    <t>8 units</t>
  </si>
  <si>
    <t>PR5</t>
  </si>
  <si>
    <t>5 units</t>
  </si>
  <si>
    <t>PR6</t>
  </si>
  <si>
    <t>PR7</t>
  </si>
  <si>
    <t>PR8</t>
  </si>
  <si>
    <t>PR9</t>
  </si>
  <si>
    <t>2 units</t>
  </si>
  <si>
    <t>PR10</t>
  </si>
  <si>
    <t>TO 3</t>
  </si>
  <si>
    <t>03.01.2026</t>
  </si>
  <si>
    <t>UNSOLD</t>
  </si>
  <si>
    <t>RESIDENTIAL</t>
  </si>
  <si>
    <t>DIFFERENCE</t>
  </si>
  <si>
    <t>Inventory Count</t>
  </si>
  <si>
    <t>Per Floor</t>
  </si>
  <si>
    <t>EXEC</t>
  </si>
  <si>
    <t>Special Additive 8th Floor</t>
  </si>
  <si>
    <t>Classification</t>
  </si>
  <si>
    <t>1ST INCREASE 3.08%</t>
  </si>
  <si>
    <t xml:space="preserve">NEW SELLIG PRICE </t>
  </si>
  <si>
    <t>2ND INCREASE 2.7%</t>
  </si>
  <si>
    <t>NEW SELLING PRICE</t>
  </si>
  <si>
    <t>3RD INCREASE</t>
  </si>
  <si>
    <t>New Selling Price</t>
  </si>
  <si>
    <t>4TH INCREASE</t>
  </si>
  <si>
    <t>5TH INCREASE</t>
  </si>
  <si>
    <t>6TH INCREASE</t>
  </si>
  <si>
    <t>7TH INCREASE</t>
  </si>
  <si>
    <t>8TH INCREASE</t>
  </si>
  <si>
    <t>9TH INCREASE</t>
  </si>
  <si>
    <t>10TH INCREASE</t>
  </si>
  <si>
    <t>11TH INCREASE</t>
  </si>
  <si>
    <t>12TH INCREASE</t>
  </si>
  <si>
    <t>TURNED OVER DATE</t>
  </si>
  <si>
    <t>EQUITY TERM</t>
  </si>
  <si>
    <t>For Brooky</t>
  </si>
  <si>
    <t>Sold</t>
  </si>
  <si>
    <t>COMM A</t>
  </si>
  <si>
    <t>COMM B</t>
  </si>
  <si>
    <t>COMM C</t>
  </si>
  <si>
    <t>COMM D</t>
  </si>
  <si>
    <t>COMM E</t>
  </si>
  <si>
    <t>COMM F</t>
  </si>
  <si>
    <t>COMM A - M</t>
  </si>
  <si>
    <t>Comm. w/ Mezzanine</t>
  </si>
  <si>
    <t>COMM B - M</t>
  </si>
  <si>
    <t>COMM C - M</t>
  </si>
  <si>
    <t>COMM D - M</t>
  </si>
  <si>
    <t>COMM E - M</t>
  </si>
  <si>
    <t>COMM F - M</t>
  </si>
  <si>
    <t>3-BR</t>
  </si>
  <si>
    <t>EAST</t>
  </si>
  <si>
    <t>Model Unit</t>
  </si>
  <si>
    <t>Ms. Cendy</t>
  </si>
  <si>
    <t>GLENN</t>
  </si>
  <si>
    <t>TERE</t>
  </si>
  <si>
    <t>CORA/CELINE</t>
  </si>
  <si>
    <t>1- BR</t>
  </si>
  <si>
    <t>JAN</t>
  </si>
  <si>
    <t>FEB</t>
  </si>
  <si>
    <t>MAR</t>
  </si>
  <si>
    <t>APR</t>
  </si>
  <si>
    <t>Unit 8i</t>
  </si>
  <si>
    <t>Less 10%</t>
  </si>
  <si>
    <t>TSP</t>
  </si>
  <si>
    <t>MAY</t>
  </si>
  <si>
    <t>JUNE</t>
  </si>
  <si>
    <t>Jan</t>
  </si>
  <si>
    <t>feb</t>
  </si>
  <si>
    <t>march</t>
  </si>
  <si>
    <t>april</t>
  </si>
  <si>
    <t>may</t>
  </si>
  <si>
    <t>june</t>
  </si>
  <si>
    <t>july</t>
  </si>
  <si>
    <t>august</t>
  </si>
  <si>
    <t>sept</t>
  </si>
  <si>
    <t>oct</t>
  </si>
  <si>
    <t>nov</t>
  </si>
  <si>
    <t>dec</t>
  </si>
  <si>
    <t>V12.</t>
  </si>
  <si>
    <t>WEECOMM CENTRE PRICELIST</t>
  </si>
  <si>
    <t>AUGUST 2025</t>
  </si>
  <si>
    <t>fitted</t>
  </si>
  <si>
    <t>TOTAL INVENTORY</t>
  </si>
  <si>
    <t>UNIT ID</t>
  </si>
  <si>
    <t>SALE STATUS</t>
  </si>
  <si>
    <t>NO. OF UNITS/FLOOR</t>
  </si>
  <si>
    <t>ACTUAL FLOOR</t>
  </si>
  <si>
    <t>FLOOR NO.</t>
  </si>
  <si>
    <t>UNIT NO.</t>
  </si>
  <si>
    <t>UNIT TYPE</t>
  </si>
  <si>
    <t>LIVEABLE</t>
  </si>
  <si>
    <t>( + ) BALCONY</t>
  </si>
  <si>
    <t>MEZZANINE</t>
  </si>
  <si>
    <t>( = ) GROSS AREA</t>
  </si>
  <si>
    <t>ORIENTATION</t>
  </si>
  <si>
    <t>CLASSIFICATION</t>
  </si>
  <si>
    <t>Add: VAT</t>
  </si>
  <si>
    <t>(+) LEGAL AND
MISCS. FEES
(PROCESSING FEE)</t>
  </si>
  <si>
    <t>TOTAL CONTRACT PRICE</t>
  </si>
  <si>
    <t>EQUITY %</t>
  </si>
  <si>
    <t>EQUITY DOWN
PAYMENT</t>
  </si>
  <si>
    <t>RESERVATION FEE</t>
  </si>
  <si>
    <t>NET EQUITY</t>
  </si>
  <si>
    <t>MONTHLY EQUITY</t>
  </si>
  <si>
    <t>LOANABLE %</t>
  </si>
  <si>
    <t>LOANABLE AMOUNT</t>
  </si>
  <si>
    <t>MONTHLY
AMMORT
15YEARS @ 7%
FIX 3 YEARS</t>
  </si>
  <si>
    <t>NSP/SQM</t>
  </si>
  <si>
    <t>CROSS CHECKING</t>
  </si>
  <si>
    <t>VARIANCE</t>
  </si>
  <si>
    <t>nsp</t>
  </si>
  <si>
    <t>vat</t>
  </si>
  <si>
    <t>lmf + bf</t>
  </si>
  <si>
    <t>tcp</t>
  </si>
  <si>
    <t>NSP</t>
  </si>
  <si>
    <t>LMF + BF</t>
  </si>
  <si>
    <t>REMARKS</t>
  </si>
  <si>
    <t>***Prices and Payment schemes may change without prior notice.</t>
  </si>
  <si>
    <t>NOT YET OPEN</t>
  </si>
  <si>
    <t>***Prices are inclusive of Legal and Miscellaneous Fees and Financing Fees.</t>
  </si>
  <si>
    <t>Hold</t>
  </si>
  <si>
    <t>***Financing Fees are assumptions based on current rates.</t>
  </si>
  <si>
    <t>***Official Selling Price shall be based on signed/approved Reservation Agreement Forms.</t>
  </si>
  <si>
    <t>PROJECT NAME</t>
  </si>
  <si>
    <t>:</t>
  </si>
  <si>
    <t>WEECOMM CENTRE</t>
  </si>
  <si>
    <t>WEE COMMUNITY DEVELOPERS, INC.</t>
  </si>
  <si>
    <t xml:space="preserve">TOWER </t>
  </si>
  <si>
    <t>166 A. Mabini Street, Addition Hills, San Juan City</t>
  </si>
  <si>
    <t>APPLICABLE PROMOS AND DISCOUNTS</t>
  </si>
  <si>
    <t xml:space="preserve">UNIT NO. </t>
  </si>
  <si>
    <t>DISCOUNT ON TSP</t>
  </si>
  <si>
    <t>CIRCULAR NO.</t>
  </si>
  <si>
    <t xml:space="preserve">DESCRIPTION </t>
  </si>
  <si>
    <t xml:space="preserve">DISCOUNT AMOUNT </t>
  </si>
  <si>
    <t>FURNISH TYPE</t>
  </si>
  <si>
    <t>FITTED</t>
  </si>
  <si>
    <t xml:space="preserve"> </t>
  </si>
  <si>
    <t>DATE OF RESERVATION</t>
  </si>
  <si>
    <t>BARE</t>
  </si>
  <si>
    <t>DISCOUNT ON EQUITY</t>
  </si>
  <si>
    <r>
      <rPr>
        <b/>
        <sz val="11"/>
        <color rgb="FFFFC000"/>
        <rFont val="Cambria"/>
        <family val="1"/>
      </rPr>
      <t>REQUIRED</t>
    </r>
    <r>
      <rPr>
        <b/>
        <sz val="11"/>
        <color theme="0"/>
        <rFont val="Cambria"/>
        <family val="1"/>
      </rPr>
      <t xml:space="preserve"> EQUITY DOWNPAYMENT (%)</t>
    </r>
  </si>
  <si>
    <r>
      <rPr>
        <b/>
        <sz val="11"/>
        <color rgb="FFFFC000"/>
        <rFont val="Cambria"/>
        <family val="1"/>
      </rPr>
      <t>REQUESTED</t>
    </r>
    <r>
      <rPr>
        <b/>
        <sz val="11"/>
        <color theme="0"/>
        <rFont val="Cambria"/>
        <family val="1"/>
      </rPr>
      <t xml:space="preserve"> EQUITY DOWNPAYMENT (%)</t>
    </r>
  </si>
  <si>
    <t>NAME OF BUYER</t>
  </si>
  <si>
    <t>OTHER PROMO</t>
  </si>
  <si>
    <t>PROMO INCLUSION</t>
  </si>
  <si>
    <t>AGENT/SELLER</t>
  </si>
  <si>
    <t>Seller</t>
  </si>
  <si>
    <t>BUYER'S COMPLETE ADDRESS</t>
  </si>
  <si>
    <t>STEP UP TERMS</t>
  </si>
  <si>
    <t>UNIT #</t>
  </si>
  <si>
    <t>#</t>
  </si>
  <si>
    <t>Months Covered</t>
  </si>
  <si>
    <t>No. of Months</t>
  </si>
  <si>
    <t>Percentage</t>
  </si>
  <si>
    <t>Tranche 1</t>
  </si>
  <si>
    <t>Tranche 2</t>
  </si>
  <si>
    <t>Tranche 3</t>
  </si>
  <si>
    <t>DATE :</t>
  </si>
  <si>
    <t>PAGE</t>
  </si>
  <si>
    <t>1 of 2</t>
  </si>
  <si>
    <t xml:space="preserve">PAGE </t>
  </si>
  <si>
    <t>2 of 2</t>
  </si>
  <si>
    <t>STANDARD PACKAGE COMPUTATION</t>
  </si>
  <si>
    <t>PAYMENT SCHEDULE</t>
  </si>
  <si>
    <t>CLIENT'S NAME</t>
  </si>
  <si>
    <t>UNIT NUMBER</t>
  </si>
  <si>
    <t>TOWER</t>
  </si>
  <si>
    <t>NA</t>
  </si>
  <si>
    <t>LIVEABLE AREA</t>
  </si>
  <si>
    <t>SQM.</t>
  </si>
  <si>
    <t>BALCONY AREA</t>
  </si>
  <si>
    <t>GROSS AREA</t>
  </si>
  <si>
    <t>TOTAL SELLING PRICE</t>
  </si>
  <si>
    <t>PARTICULARS</t>
  </si>
  <si>
    <t>DATE</t>
  </si>
  <si>
    <t>AMOUNT</t>
  </si>
  <si>
    <t>Less: Promo Discount on TSP</t>
  </si>
  <si>
    <t>NET SELLING PRICE</t>
  </si>
  <si>
    <t>1st EQUITY PAYMENT</t>
  </si>
  <si>
    <t>31st of the month</t>
  </si>
  <si>
    <t>Add: Legal &amp; Misc. Fees</t>
  </si>
  <si>
    <t>2nd EQUITY PAYMENT</t>
  </si>
  <si>
    <t>balance</t>
  </si>
  <si>
    <t>3rd EQUITY PAYMENT</t>
  </si>
  <si>
    <t>equity</t>
  </si>
  <si>
    <t>4th EQUITY PAYMENT</t>
  </si>
  <si>
    <t>5th EQUITY PAYMENT</t>
  </si>
  <si>
    <t>6th EQUITY PAYMENT</t>
  </si>
  <si>
    <t>Equity down Payment</t>
  </si>
  <si>
    <t>7th EQUITY PAYMENT</t>
  </si>
  <si>
    <t xml:space="preserve">less: Promo Discount on Equity </t>
  </si>
  <si>
    <t>8th EQUITY PAYMENT</t>
  </si>
  <si>
    <t>less: Reservation Fee</t>
  </si>
  <si>
    <t>9th EQUITY PAYMENT</t>
  </si>
  <si>
    <t>Net  Equity Payment</t>
  </si>
  <si>
    <t>10th EQUITY PAYMENT</t>
  </si>
  <si>
    <t>11th EQUITY PAYMENT</t>
  </si>
  <si>
    <t xml:space="preserve"> Monthly Equity</t>
  </si>
  <si>
    <t>12th EQUITY PAYMENT</t>
  </si>
  <si>
    <t>13th EQUITY PAYMENT</t>
  </si>
  <si>
    <t>FULL BALANCE (TCP)</t>
  </si>
  <si>
    <t>14th EQUITY PAYMENT</t>
  </si>
  <si>
    <t>15th EQUITY PAYMENT</t>
  </si>
  <si>
    <t>Estimated Monthly Amortization</t>
  </si>
  <si>
    <t>16th EQUITY PAYMENT</t>
  </si>
  <si>
    <t>17th EQUITY PAYMENT</t>
  </si>
  <si>
    <t>Term</t>
  </si>
  <si>
    <t>Interest Rate</t>
  </si>
  <si>
    <t>Factor Rate</t>
  </si>
  <si>
    <t>Amount</t>
  </si>
  <si>
    <t>Income Requirement</t>
  </si>
  <si>
    <t>18th EQUITY PAYMENT</t>
  </si>
  <si>
    <t>19th EQUITY PAYMENT</t>
  </si>
  <si>
    <t>20th EQUITY PAYMENT</t>
  </si>
  <si>
    <t>21st EQUITY PAYMENT</t>
  </si>
  <si>
    <t>22nd EQUITY PAYMENT</t>
  </si>
  <si>
    <t>Fixed for five (5) years</t>
  </si>
  <si>
    <t>23rd EQUITY PAYMENT</t>
  </si>
  <si>
    <t>Sample Computation for Interest rate is at 7% fixed for five (5) years only</t>
  </si>
  <si>
    <t>24th EQUITY PAYMENT</t>
  </si>
  <si>
    <t>A. Prices are subject to change without prior notice.</t>
  </si>
  <si>
    <t>25th EQUITY PAYMENT</t>
  </si>
  <si>
    <t>B. Bank Fees rates may vary per bank.</t>
  </si>
  <si>
    <t>26th EQUITY PAYMENT</t>
  </si>
  <si>
    <t>27th EQUITY PAYMENT</t>
  </si>
  <si>
    <t>APPLICABLE PROMO/DISCOUNTS</t>
  </si>
  <si>
    <t>28th EQUITY PAYMENT</t>
  </si>
  <si>
    <t>29th EQUITY PAYMENT</t>
  </si>
  <si>
    <t xml:space="preserve">CIRCULAR NO. </t>
  </si>
  <si>
    <t>DESCRIPTION</t>
  </si>
  <si>
    <t>DISCOUNT  / PROMO INCLUSION</t>
  </si>
  <si>
    <t>30th EQUITY PAYMENT</t>
  </si>
  <si>
    <t>31st EQUITY PAYMENT</t>
  </si>
  <si>
    <t>32nd EQUITY PAYMENT</t>
  </si>
  <si>
    <t>33rd EQUITY PAYMENT</t>
  </si>
  <si>
    <t>34th EQUITY PAYMENT</t>
  </si>
  <si>
    <t>35th EQUITY PAYMENT</t>
  </si>
  <si>
    <t>36th EQUITY PAYMENT</t>
  </si>
  <si>
    <t>37th EQUITY PAYMENT</t>
  </si>
  <si>
    <t>38th EQUITY PAYMENT</t>
  </si>
  <si>
    <t>39th EQUITY PAYMENT</t>
  </si>
  <si>
    <t>40th EQUITY PAYMENT</t>
  </si>
  <si>
    <t>41st EQUITY PAYMENT</t>
  </si>
  <si>
    <t>42nd EQUITY PAYMENT</t>
  </si>
  <si>
    <t>43rd EQUITY PAYMENT</t>
  </si>
  <si>
    <t>**Combined Units:</t>
  </si>
  <si>
    <t>44th EQUITY PAYMENT</t>
  </si>
  <si>
    <t>45th EQUITY PAYMENT</t>
  </si>
  <si>
    <t>46th EQUITY PAYMENT</t>
  </si>
  <si>
    <t>BALANCE</t>
  </si>
  <si>
    <t>Prepared by:</t>
  </si>
  <si>
    <t>Conformed:</t>
  </si>
  <si>
    <t>Date</t>
  </si>
  <si>
    <t>Date:</t>
  </si>
  <si>
    <t>DATE:</t>
  </si>
  <si>
    <t>GENTLEMEN:</t>
  </si>
  <si>
    <t>This is to formally signify my/our intent to purchase a property in your proposed project, the details of which is as follows:</t>
  </si>
  <si>
    <t xml:space="preserve">Project Name: </t>
  </si>
  <si>
    <t>Type:</t>
  </si>
  <si>
    <t xml:space="preserve">                        </t>
  </si>
  <si>
    <t xml:space="preserve">Condominium </t>
  </si>
  <si>
    <t>House &amp; Lot / Townhouse</t>
  </si>
  <si>
    <t>Commercial / Office</t>
  </si>
  <si>
    <t>Tower</t>
  </si>
  <si>
    <t>Phase</t>
  </si>
  <si>
    <t>Floor No.</t>
  </si>
  <si>
    <t>Unit Reference</t>
  </si>
  <si>
    <t>Block No.</t>
  </si>
  <si>
    <t>Unit No.</t>
  </si>
  <si>
    <t>Slot No.</t>
  </si>
  <si>
    <t>Lot No.</t>
  </si>
  <si>
    <t>Size (sqm)</t>
  </si>
  <si>
    <t>Type of Business</t>
  </si>
  <si>
    <t>Unit Model</t>
  </si>
  <si>
    <t>Parking Model</t>
  </si>
  <si>
    <t>Lot Area</t>
  </si>
  <si>
    <t>House Model</t>
  </si>
  <si>
    <t xml:space="preserve">          Less: Discounts</t>
  </si>
  <si>
    <t xml:space="preserve">           Add: Legal &amp; Miscellaneous Fees</t>
  </si>
  <si>
    <t xml:space="preserve">           Add: VAT</t>
  </si>
  <si>
    <t>I/We hereby agree to pay</t>
  </si>
  <si>
    <t>PHP (</t>
  </si>
  <si>
    <t>).</t>
  </si>
  <si>
    <r>
      <t xml:space="preserve">I/we understand that the acceptance of this </t>
    </r>
    <r>
      <rPr>
        <b/>
        <sz val="8"/>
        <color theme="1"/>
        <rFont val="Century Gothic"/>
        <family val="2"/>
      </rPr>
      <t>Letter of Intent</t>
    </r>
    <r>
      <rPr>
        <sz val="8"/>
        <color theme="1"/>
        <rFont val="Century Gothic"/>
        <family val="2"/>
      </rPr>
      <t xml:space="preserve"> and </t>
    </r>
    <r>
      <rPr>
        <b/>
        <sz val="8"/>
        <color theme="1"/>
        <rFont val="Century Gothic"/>
        <family val="2"/>
      </rPr>
      <t>Intent to Purchase Deposit</t>
    </r>
    <r>
      <rPr>
        <sz val="8"/>
        <color theme="1"/>
        <rFont val="Century Gothic"/>
        <family val="2"/>
      </rPr>
      <t xml:space="preserve"> does not represent a reservation or an accepted offer </t>
    </r>
  </si>
  <si>
    <t>of contract, until the submission, completion and execution of the following documents, namely, Reservation Agreement, Contract to Sell, including</t>
  </si>
  <si>
    <t>tender of complete post-dated checks as stipulated in the attached Monthly Deposit Schedule.</t>
  </si>
  <si>
    <t xml:space="preserve">In this connection, I am/we are willing to sign all the necessary documents and to pay the monthly equity on time as stated in the attached Schedule </t>
  </si>
  <si>
    <t>once duly informed by the Company that the above-referenced property is available for sale.</t>
  </si>
  <si>
    <t>Furthermore, I/we recognize that any act/s in relation to this Letter of Intent is purely voluntary on our part.</t>
  </si>
  <si>
    <r>
      <t xml:space="preserve">Finally, I/we confirm that the forgoing </t>
    </r>
    <r>
      <rPr>
        <b/>
        <sz val="8"/>
        <color theme="1"/>
        <rFont val="Century Gothic"/>
        <family val="2"/>
      </rPr>
      <t>Letter of Intent</t>
    </r>
    <r>
      <rPr>
        <sz val="8"/>
        <color theme="1"/>
        <rFont val="Century Gothic"/>
        <family val="2"/>
      </rPr>
      <t xml:space="preserve">, the attached </t>
    </r>
    <r>
      <rPr>
        <b/>
        <sz val="8"/>
        <color theme="1"/>
        <rFont val="Century Gothic"/>
        <family val="2"/>
      </rPr>
      <t>Schedule of Payment</t>
    </r>
    <r>
      <rPr>
        <sz val="8"/>
        <color theme="1"/>
        <rFont val="Century Gothic"/>
        <family val="2"/>
      </rPr>
      <t xml:space="preserve"> and </t>
    </r>
    <r>
      <rPr>
        <b/>
        <sz val="8"/>
        <color theme="1"/>
        <rFont val="Century Gothic"/>
        <family val="2"/>
      </rPr>
      <t>Buyer Information Sheet</t>
    </r>
    <r>
      <rPr>
        <sz val="8"/>
        <color theme="1"/>
        <rFont val="Century Gothic"/>
        <family val="2"/>
      </rPr>
      <t xml:space="preserve">, particularly the details and fine </t>
    </r>
  </si>
  <si>
    <t>print thereof, were duly explained to me/us and shall prove that I/we have voluntarily, willingly and knowingly signed this Letter of Intent  and</t>
  </si>
  <si>
    <t>tendered the Intent to Purchase Deposit as further proof of my/our interest in the above-referenced property</t>
  </si>
  <si>
    <t>Thank you.</t>
  </si>
  <si>
    <t>Very truly yours,</t>
  </si>
  <si>
    <t xml:space="preserve"> Signature over Printed Name</t>
  </si>
  <si>
    <t xml:space="preserve">Interested Purchaser   </t>
  </si>
  <si>
    <t>Broker</t>
  </si>
  <si>
    <t>BROKER / AGENT'S NAME</t>
  </si>
  <si>
    <t>POSITION</t>
  </si>
  <si>
    <t xml:space="preserve">NAME </t>
  </si>
  <si>
    <t>PRC #/HLURB #</t>
  </si>
  <si>
    <t>Brokerage/Realty</t>
  </si>
  <si>
    <t xml:space="preserve">Broker Head / AVP </t>
  </si>
  <si>
    <t>Sales Manager</t>
  </si>
  <si>
    <t>Sales Agent / Property Consultant</t>
  </si>
  <si>
    <t>I/We</t>
  </si>
  <si>
    <t>of legal age, a resident of</t>
  </si>
  <si>
    <t xml:space="preserve">, and having the capacity </t>
  </si>
  <si>
    <t>and qualification to own and possess real estate properties in the Philippines, hereby manifest my/our intention to purchase the herein below described property.</t>
  </si>
  <si>
    <t xml:space="preserve">I/We hereby acknowledges that </t>
  </si>
  <si>
    <t xml:space="preserve">(hereinafter known as the “Developer/Company”) </t>
  </si>
  <si>
    <t xml:space="preserve">a corporation duly organized and existing by virtue and under the laws of the Republic of the Philippines, with office at </t>
  </si>
  <si>
    <t xml:space="preserve">is the owner and Developer of a </t>
  </si>
  <si>
    <t>CONDOMINIUM PROJECT known as</t>
  </si>
  <si>
    <t>(the “Project”), to be established and constructed along</t>
  </si>
  <si>
    <t xml:space="preserve">The Property subject to my/our reservation is a </t>
  </si>
  <si>
    <t>unit and is particularly described as follows:</t>
  </si>
  <si>
    <t xml:space="preserve">Residential Condominium                        </t>
  </si>
  <si>
    <t>Townhouse</t>
  </si>
  <si>
    <t>Parking Slot</t>
  </si>
  <si>
    <t xml:space="preserve">House and Lot    </t>
  </si>
  <si>
    <t xml:space="preserve">Lot only </t>
  </si>
  <si>
    <t>Lot/Floor Area</t>
  </si>
  <si>
    <t xml:space="preserve">           Add: Bank Fees</t>
  </si>
  <si>
    <t>BALANCE PAYMENT SCHEME:</t>
  </si>
  <si>
    <t>Cash</t>
  </si>
  <si>
    <t>Bank Financing</t>
  </si>
  <si>
    <t>Deferred</t>
  </si>
  <si>
    <t>TERMS AND CONDITIONS</t>
  </si>
  <si>
    <t>1.</t>
  </si>
  <si>
    <t xml:space="preserve">As proof of my interest to purchase the Property, I hereby tender the sum of PESOS: </t>
  </si>
  <si>
    <r>
      <t>(</t>
    </r>
    <r>
      <rPr>
        <b/>
        <sz val="7.5"/>
        <color theme="1"/>
        <rFont val="Calibri"/>
        <family val="2"/>
      </rPr>
      <t>₱</t>
    </r>
  </si>
  <si>
    <t>)</t>
  </si>
  <si>
    <t>In connection with my reservation and purchase of the Property, I/we would like the purchase to be registered as follows:</t>
  </si>
  <si>
    <r>
      <t>Solely in my name</t>
    </r>
    <r>
      <rPr>
        <sz val="7.5"/>
        <color theme="1"/>
        <rFont val="Century Gothic"/>
        <family val="2"/>
      </rPr>
      <t xml:space="preserve">                                     </t>
    </r>
  </si>
  <si>
    <r>
      <t>In our names</t>
    </r>
    <r>
      <rPr>
        <sz val="7.5"/>
        <color theme="1"/>
        <rFont val="Century Gothic"/>
        <family val="2"/>
      </rPr>
      <t xml:space="preserve">                                                 </t>
    </r>
  </si>
  <si>
    <t>In the name of</t>
  </si>
  <si>
    <t xml:space="preserve">Individual </t>
  </si>
  <si>
    <t xml:space="preserve">Spouses </t>
  </si>
  <si>
    <t xml:space="preserve">A Corporation </t>
  </si>
  <si>
    <t xml:space="preserve">Married to </t>
  </si>
  <si>
    <t xml:space="preserve">Co-Owner </t>
  </si>
  <si>
    <t xml:space="preserve">A Person </t>
  </si>
  <si>
    <t xml:space="preserve">Trust Account </t>
  </si>
  <si>
    <t>DATA PRIVACY CONSENT</t>
  </si>
  <si>
    <t xml:space="preserve">Buyer's signature over printed name &amp; Date signed </t>
  </si>
  <si>
    <t>Confirmed / Accepted:</t>
  </si>
  <si>
    <t xml:space="preserve">PAGE: </t>
  </si>
  <si>
    <t>1 of 3</t>
  </si>
  <si>
    <t>PAGE:</t>
  </si>
  <si>
    <t>2 of 3</t>
  </si>
  <si>
    <t>3 of 3</t>
  </si>
  <si>
    <t xml:space="preserve">STEP UP </t>
  </si>
  <si>
    <t>SPECIAL PACKAGE APPROVAL</t>
  </si>
  <si>
    <r>
      <t xml:space="preserve">SIGNATURE OVER PRINTED NAME </t>
    </r>
    <r>
      <rPr>
        <b/>
        <i/>
        <sz val="9"/>
        <color theme="1"/>
        <rFont val="Century Gothic"/>
        <family val="2"/>
      </rPr>
      <t>(Please indicate date signed)</t>
    </r>
  </si>
  <si>
    <t>Recommended by:</t>
  </si>
  <si>
    <t>Remarks:</t>
  </si>
  <si>
    <t>Reservation Date</t>
  </si>
  <si>
    <t>1ST EQUITY PAYMENT</t>
  </si>
  <si>
    <t>Approved</t>
  </si>
  <si>
    <t>2ND EQUITY PAYMENT</t>
  </si>
  <si>
    <t>Disapproved</t>
  </si>
  <si>
    <t>C&amp;C Head</t>
  </si>
  <si>
    <t>Approved by:</t>
  </si>
  <si>
    <t>less: Equity Discount</t>
  </si>
  <si>
    <t>Net Equity Payment</t>
  </si>
  <si>
    <t>Project Director</t>
  </si>
  <si>
    <t>TERMS (STEP UP)</t>
  </si>
  <si>
    <t xml:space="preserve">Monthly Equity </t>
  </si>
  <si>
    <t>COO/CEO</t>
  </si>
  <si>
    <t>Income requirement</t>
  </si>
  <si>
    <t>**Combined Units</t>
  </si>
  <si>
    <t>#54 Tinio St. Barangay Addition Hills, Mandaluyong City</t>
  </si>
  <si>
    <t>SPOT EQUITY_7 DAYS</t>
  </si>
  <si>
    <t>less: Spot Equity Discount</t>
  </si>
  <si>
    <t>SPOT EQUITY PAYMENT</t>
  </si>
  <si>
    <t>Spot Equity down Payment</t>
  </si>
  <si>
    <t>Net Spot Equity Payment</t>
  </si>
  <si>
    <t>**Combined unit:</t>
  </si>
  <si>
    <t>SPOT EQUITY_30 DAYS</t>
  </si>
  <si>
    <t>Spot Equity Payment</t>
  </si>
  <si>
    <t xml:space="preserve">Prepared by: </t>
  </si>
  <si>
    <t xml:space="preserve"> DATE : </t>
  </si>
  <si>
    <t>SPOT CASH_30 DAYS</t>
  </si>
  <si>
    <t>Less: Discount on TSP</t>
  </si>
  <si>
    <t>SPOT CASH PAYMENT</t>
  </si>
  <si>
    <t>Less: Reservation Fee</t>
  </si>
  <si>
    <t>NET SPOT CASH PAYMENT</t>
  </si>
  <si>
    <t>SPOT CASH_60 DAYS</t>
  </si>
  <si>
    <t>1ST SPOT CASH PAYMENT</t>
  </si>
  <si>
    <t>2ND SPOT CASH PAYMENT</t>
  </si>
  <si>
    <t>SPOT CASH PAYMENT AFTER 30 DAYS</t>
  </si>
  <si>
    <t>SPOT CASH PAYMENT AFTER 60 DAYS</t>
  </si>
  <si>
    <t xml:space="preserve">          Deferred</t>
  </si>
  <si>
    <t>DEFERRED PAYMENT</t>
  </si>
  <si>
    <t>Equity Downpayment</t>
  </si>
  <si>
    <t>less: Promo Discount on Equity</t>
  </si>
  <si>
    <t>Montly Equity</t>
  </si>
  <si>
    <t>SPECIAL PACKAGE COMPUTATION</t>
  </si>
  <si>
    <t>Spot Equity</t>
  </si>
  <si>
    <t>Add: Equity</t>
  </si>
  <si>
    <t>Sample Computation for Interest rate is at 6.5% fixed for five (5) years only</t>
  </si>
  <si>
    <t>( = ) TOTAL</t>
  </si>
  <si>
    <t xml:space="preserve">      Bank Financing</t>
  </si>
  <si>
    <r>
      <t>(</t>
    </r>
    <r>
      <rPr>
        <sz val="7.5"/>
        <color theme="1"/>
        <rFont val="Calibri"/>
        <family val="2"/>
      </rPr>
      <t>₱</t>
    </r>
  </si>
  <si>
    <t>STANDARD REQUIREMENTS</t>
  </si>
  <si>
    <t>BUYER'S NAME</t>
  </si>
  <si>
    <t>PROJECT NAME/UNIT NO.</t>
  </si>
  <si>
    <t>DUE DATE</t>
  </si>
  <si>
    <t>Date of Submission</t>
  </si>
  <si>
    <t>Received 
By</t>
  </si>
  <si>
    <t>A. LOCAL EMPLOYEE - (Must complete within 30 days from the date of reservation)</t>
  </si>
  <si>
    <t>CERTIFICATE OF EMPLOYMENT WITH SALARY BREAKDOWN</t>
  </si>
  <si>
    <t>COPY OF PAYSLIP (At least 6 months)</t>
  </si>
  <si>
    <t>TAX IDENTIFICATION NUMBER (TIN)</t>
  </si>
  <si>
    <t>LATEST INCOME TAX RETURN (ITR) WITH RECEIPT FOR THE LAST YEAR</t>
  </si>
  <si>
    <t>PROOF OF BILLING ADDRESS IN THE PHILIPPINES</t>
  </si>
  <si>
    <t>BIRTH CERTIFICATE</t>
  </si>
  <si>
    <t>CERTIFICATE OF NO MARRIAGE (If Single)</t>
  </si>
  <si>
    <t>MARRIAGE CERTIFICATE (Annulment with Finality, if annulled)</t>
  </si>
  <si>
    <t>PHOTOCOPY OF BANK STATEMENT  (At least 6 months)</t>
  </si>
  <si>
    <t>POST DATED CHECKS (Complete post dated checks for the whole equity term)</t>
  </si>
  <si>
    <t>B. OFW (OVERSEAS FILIPINO WORKER) - (Must complete within 60 days from the date of reservation)</t>
  </si>
  <si>
    <t>CERTIFICATE OF EMPLOYMENT/JOB CONTRACT WITH SALARY BREAKDOWN</t>
  </si>
  <si>
    <t>SPECIAL POWER OF ATTORNEY (Notarized, if executed in the Philippines / Consularized if executed abroad)</t>
  </si>
  <si>
    <t>PHOTOCOPY OF PASSPORT WITH ARRIVAL DATE</t>
  </si>
  <si>
    <t xml:space="preserve">GOVERNMENT ISSUED ID OF ATTORNEY-IN-FACT </t>
  </si>
  <si>
    <t>CONTACT NUMBER OF ATTORNEY-IN-FACT</t>
  </si>
  <si>
    <t>PHOTO COPY OF  BANK STATEMENT  (At least 6 months)</t>
  </si>
  <si>
    <t>PROOF OF REMITTANCE (At least 6 months)</t>
  </si>
  <si>
    <t>C. SELF EMPLOYED - (Must complete within 30 days from the date of reservation)</t>
  </si>
  <si>
    <t>LATEST INCOME TAX RETURN (ITR) WITH RECEIPT FOR THE LAST 3 YEARS</t>
  </si>
  <si>
    <t>AUDITED FINANCIAL STATEMENT FOR THE LAST 3 YEARS</t>
  </si>
  <si>
    <t>BUSINESS PERMIT</t>
  </si>
  <si>
    <t>DTI CERTIFICATE</t>
  </si>
  <si>
    <t>COPY OF LEASE CONTRACT (OPTIONAL)</t>
  </si>
  <si>
    <t>D. FOREIGNER - (Must complete within 60 days from the date of reservation)</t>
  </si>
  <si>
    <t>CERTIFICATE OF EMPLOYMENT AND COMPENSATION</t>
  </si>
  <si>
    <t>COPY OF  PAYSLIP (At least  months)</t>
  </si>
  <si>
    <t>PHOTOCOPY OF BANK STATEMENT (At least 6 months)</t>
  </si>
  <si>
    <t>2 GOVERNMENT ID's</t>
  </si>
  <si>
    <t>GOVERNMENT ISSUED ID OF ATTORNEY-IN-FACT</t>
  </si>
  <si>
    <t>PROOF OF BILLING OF ATTORNEY-IN-FACT</t>
  </si>
  <si>
    <t>E. CORPORATION</t>
  </si>
  <si>
    <t>LATEST INCOME TAX RETURN (ITR)WITH RECEIPT FOR THE LAST 3 YEARS</t>
  </si>
  <si>
    <t>SEC CERTIFICATE</t>
  </si>
  <si>
    <t>SECRETARY CERTIFICATE</t>
  </si>
  <si>
    <t>BOARD RESOLUTION</t>
  </si>
  <si>
    <t xml:space="preserve">VALID ID OF CORPORATE SECRETARY 
</t>
  </si>
  <si>
    <t>VALID ID OF OFFICIAL REPRESENTATIVE OF THE COMPANY</t>
  </si>
  <si>
    <t>ARTICLES OF INCORPORATION</t>
  </si>
  <si>
    <t>LATEST BANK STATEMENT  (At least 6 months)</t>
  </si>
  <si>
    <t>F. REQUIREMENT AFTER OFFICIAL RESERVATION</t>
  </si>
  <si>
    <t>CREDIT INVESTIGATION WITHIN 3 DAYS FROM DATE OF APPLICATION</t>
  </si>
  <si>
    <t>COUNSELLING WITHIN 15 DAYS FROM THE DATE OF RESERVATION</t>
  </si>
  <si>
    <t xml:space="preserve">SIGNED CONTRACT TO SELL </t>
  </si>
  <si>
    <t>SIGNED DEED OF ABSOLUTE SALE</t>
  </si>
  <si>
    <t>SIGNED HOME IMPROVEMENT CONTRACT (If Applicable)</t>
  </si>
  <si>
    <t>G. ADDITIONAL REQUIEMENT (If Applicable)</t>
  </si>
  <si>
    <t>IF DUAL CITIZEN (REQUIRE TO SUBMIT OATH OF ALLEGIANCE)</t>
  </si>
  <si>
    <t>2PCS ID PICTURE</t>
  </si>
  <si>
    <t>Buyer's Signature: __________________________</t>
  </si>
  <si>
    <t>Date: __________________________</t>
  </si>
  <si>
    <t>WCCMICS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</si>
</sst>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5">
    <numFmt numFmtId="7" formatCode="&quot;₱&quot;#,##0.00;\-&quot;₱&quot;#,##0.00"/>
    <numFmt numFmtId="44" formatCode="_-&quot;₱&quot;* #,##0.00_-;\-&quot;₱&quot;* #,##0.00_-;_-&quot;₱&quot;* &quot;-&quot;??_-;_-@_-"/>
    <numFmt numFmtId="43" formatCode="_-* #,##0.00_-;\-* #,##0.00_-;_-* &quot;-&quot;??_-;_-@_-"/>
    <numFmt numFmtId="164" formatCode="_(* #,##0.00_);_(* \(#,##0.00\);_(* &quot;-&quot;??_);_(@_)"/>
    <numFmt numFmtId="165" formatCode="_(* #,##0_);_(* \(#,##0\);_(* &quot;-&quot;??_);_(@_)"/>
    <numFmt numFmtId="166" formatCode="[$-409]mmmm\ d\,\ yyyy;@"/>
    <numFmt numFmtId="167" formatCode="0.00_ "/>
    <numFmt numFmtId="168" formatCode="[$Php-3409]#,##0.00"/>
    <numFmt numFmtId="169" formatCode="[$-409]d\-mmm\-yy;@"/>
    <numFmt numFmtId="170" formatCode="0.0%"/>
    <numFmt numFmtId="171" formatCode="_([$₱-3409]* #,##0.00_);_([$₱-3409]* \(#,##0.00\);_([$₱-3409]* &quot;-&quot;??_);_(@_)"/>
    <numFmt numFmtId="172" formatCode="&quot;$&quot;#,##0.00"/>
    <numFmt numFmtId="173" formatCode="#,##0.00000000"/>
    <numFmt numFmtId="174" formatCode="_(* #,##0.00_);_(* \(#,##0.00\);_(* &quot;-&quot;??.0_);_(@_)"/>
    <numFmt numFmtId="175" formatCode="#,##0.00;#,##0.00"/>
    <numFmt numFmtId="176" formatCode="mm/dd/yy;@"/>
    <numFmt numFmtId="177" formatCode="&quot;₱&quot;#,##0.00"/>
    <numFmt numFmtId="178" formatCode="#,##0.00000000_);\(#,##0.00000000\)"/>
    <numFmt numFmtId="179" formatCode="[$₱-3409]#,##0.00;[Red][$₱-3409]#,##0.00"/>
    <numFmt numFmtId="180" formatCode="#,##0.00_ ;\-#,##0.00\ "/>
    <numFmt numFmtId="181" formatCode="[$-409]dd\-mmm\-yy;@"/>
    <numFmt numFmtId="182" formatCode="[$-409]mmm\-yy;@"/>
    <numFmt numFmtId="183" formatCode="_(* #,##0.0000000000_);_(* \(#,##0.0000000000\);_(* &quot;-&quot;??????????_);_(@_)"/>
    <numFmt numFmtId="184" formatCode="[$-3409]mmmm\ dd\,\ yyyy;@"/>
    <numFmt numFmtId="185" formatCode="[$-3409]dd\-mmm\-yy;@"/>
  </numFmts>
  <fonts count="118" x14ac:knownFonts="1">
    <font>
      <sz val="11"/>
      <color theme="1"/>
      <name val="Calibri"/>
      <family val="2"/>
      <scheme val="minor"/>
    </font>
    <font>
      <b/>
      <sz val="11"/>
      <color theme="1"/>
      <name val="Calibri"/>
      <family val="2"/>
      <scheme val="minor"/>
    </font>
    <font>
      <sz val="11"/>
      <name val="Calibri"/>
      <family val="2"/>
      <scheme val="minor"/>
    </font>
    <font>
      <sz val="11"/>
      <color theme="1"/>
      <name val="Calibri"/>
      <family val="2"/>
      <scheme val="minor"/>
    </font>
    <font>
      <sz val="11"/>
      <color theme="0"/>
      <name val="Calibri"/>
      <family val="2"/>
      <scheme val="minor"/>
    </font>
    <font>
      <b/>
      <sz val="9"/>
      <color theme="0"/>
      <name val="Century Gothic"/>
      <family val="2"/>
    </font>
    <font>
      <sz val="9"/>
      <color theme="1"/>
      <name val="Century Gothic"/>
      <family val="2"/>
    </font>
    <font>
      <sz val="10"/>
      <color theme="1"/>
      <name val="Calibri"/>
      <family val="2"/>
      <scheme val="minor"/>
    </font>
    <font>
      <b/>
      <sz val="10"/>
      <color theme="0"/>
      <name val="Century Gothic"/>
      <family val="2"/>
    </font>
    <font>
      <b/>
      <sz val="12"/>
      <color theme="0"/>
      <name val="Century Gothic"/>
      <family val="2"/>
    </font>
    <font>
      <b/>
      <sz val="10"/>
      <color theme="1"/>
      <name val="Calibri"/>
      <family val="2"/>
      <scheme val="minor"/>
    </font>
    <font>
      <sz val="9"/>
      <color theme="0"/>
      <name val="Century Gothic"/>
      <family val="2"/>
    </font>
    <font>
      <sz val="10"/>
      <color theme="1"/>
      <name val="Century Gothic"/>
      <family val="2"/>
    </font>
    <font>
      <sz val="11"/>
      <color theme="1"/>
      <name val="Arial"/>
      <family val="2"/>
    </font>
    <font>
      <b/>
      <sz val="10"/>
      <color theme="1"/>
      <name val="Century Gothic"/>
      <family val="2"/>
    </font>
    <font>
      <b/>
      <sz val="9"/>
      <color theme="1"/>
      <name val="Century Gothic"/>
      <family val="2"/>
    </font>
    <font>
      <sz val="10"/>
      <color theme="0"/>
      <name val="Calibri"/>
      <family val="2"/>
      <scheme val="minor"/>
    </font>
    <font>
      <sz val="10"/>
      <name val="Century Gothic"/>
      <family val="2"/>
    </font>
    <font>
      <b/>
      <sz val="9"/>
      <name val="Century Gothic"/>
      <family val="2"/>
    </font>
    <font>
      <sz val="9"/>
      <name val="Century Gothic"/>
      <family val="2"/>
    </font>
    <font>
      <sz val="10"/>
      <color theme="0"/>
      <name val="Century Gothic"/>
      <family val="2"/>
    </font>
    <font>
      <sz val="11"/>
      <color rgb="FF000000"/>
      <name val="Calibri"/>
      <family val="2"/>
    </font>
    <font>
      <sz val="10"/>
      <name val="Calibri"/>
      <family val="2"/>
      <scheme val="minor"/>
    </font>
    <font>
      <i/>
      <sz val="8"/>
      <color theme="1"/>
      <name val="Century Gothic"/>
      <family val="2"/>
    </font>
    <font>
      <sz val="8"/>
      <name val="Century Gothic"/>
      <family val="2"/>
    </font>
    <font>
      <sz val="8"/>
      <color theme="1"/>
      <name val="Century Gothic"/>
      <family val="2"/>
    </font>
    <font>
      <i/>
      <sz val="8"/>
      <name val="Century Gothic"/>
      <family val="2"/>
    </font>
    <font>
      <sz val="10"/>
      <name val="Arial"/>
      <family val="2"/>
    </font>
    <font>
      <sz val="8"/>
      <name val="Calibri"/>
      <family val="2"/>
      <scheme val="minor"/>
    </font>
    <font>
      <b/>
      <u/>
      <sz val="10"/>
      <name val="Calibri"/>
      <family val="2"/>
      <scheme val="minor"/>
    </font>
    <font>
      <sz val="10"/>
      <color rgb="FFFF0000"/>
      <name val="Calibri"/>
      <family val="2"/>
      <scheme val="minor"/>
    </font>
    <font>
      <b/>
      <i/>
      <sz val="9"/>
      <color rgb="FFFF0000"/>
      <name val="Century Gothic"/>
      <family val="2"/>
    </font>
    <font>
      <sz val="11"/>
      <color theme="1"/>
      <name val="Century Gothic"/>
      <family val="2"/>
    </font>
    <font>
      <b/>
      <sz val="10"/>
      <name val="Century Gothic"/>
      <family val="2"/>
    </font>
    <font>
      <b/>
      <u/>
      <sz val="12"/>
      <name val="Century Gothic"/>
      <family val="2"/>
    </font>
    <font>
      <sz val="12"/>
      <name val="Century Gothic"/>
      <family val="2"/>
    </font>
    <font>
      <sz val="10"/>
      <color rgb="FFFF0000"/>
      <name val="Century Gothic"/>
      <family val="2"/>
    </font>
    <font>
      <b/>
      <sz val="11"/>
      <color theme="0"/>
      <name val="Century Gothic"/>
      <family val="2"/>
    </font>
    <font>
      <b/>
      <sz val="11"/>
      <color theme="1"/>
      <name val="Century Gothic"/>
      <family val="2"/>
    </font>
    <font>
      <sz val="11"/>
      <color theme="0"/>
      <name val="Century Gothic"/>
      <family val="2"/>
    </font>
    <font>
      <i/>
      <sz val="10"/>
      <color theme="1"/>
      <name val="Century Gothic"/>
      <family val="2"/>
    </font>
    <font>
      <b/>
      <i/>
      <sz val="9"/>
      <color theme="1"/>
      <name val="Century Gothic"/>
      <family val="2"/>
    </font>
    <font>
      <i/>
      <sz val="9"/>
      <color theme="1"/>
      <name val="Century Gothic"/>
      <family val="2"/>
    </font>
    <font>
      <b/>
      <i/>
      <sz val="10"/>
      <color rgb="FFFF0000"/>
      <name val="Century Gothic"/>
      <family val="2"/>
    </font>
    <font>
      <b/>
      <sz val="18"/>
      <color theme="1"/>
      <name val="Century Gothic"/>
      <family val="2"/>
    </font>
    <font>
      <b/>
      <u/>
      <sz val="11"/>
      <name val="Century Gothic"/>
      <family val="2"/>
    </font>
    <font>
      <sz val="11"/>
      <name val="Century Gothic"/>
      <family val="2"/>
    </font>
    <font>
      <sz val="11"/>
      <color rgb="FFFF0000"/>
      <name val="Century Gothic"/>
      <family val="2"/>
    </font>
    <font>
      <i/>
      <sz val="9"/>
      <name val="Century Gothic"/>
      <family val="2"/>
    </font>
    <font>
      <sz val="11"/>
      <color rgb="FFFF0000"/>
      <name val="Calibri"/>
      <family val="2"/>
      <scheme val="minor"/>
    </font>
    <font>
      <sz val="10"/>
      <color rgb="FFFF0000"/>
      <name val="Arial"/>
      <family val="2"/>
    </font>
    <font>
      <b/>
      <sz val="10"/>
      <color rgb="FFFF0000"/>
      <name val="Calibri"/>
      <family val="2"/>
      <scheme val="minor"/>
    </font>
    <font>
      <sz val="8"/>
      <color theme="0"/>
      <name val="Century Gothic"/>
      <family val="2"/>
    </font>
    <font>
      <i/>
      <sz val="8"/>
      <color rgb="FFFF0000"/>
      <name val="Century Gothic"/>
      <family val="2"/>
    </font>
    <font>
      <sz val="7.5"/>
      <color theme="1"/>
      <name val="Century Gothic"/>
      <family val="2"/>
    </font>
    <font>
      <sz val="7.5"/>
      <color theme="1"/>
      <name val="Calibri"/>
      <family val="2"/>
    </font>
    <font>
      <b/>
      <sz val="7.5"/>
      <color theme="1"/>
      <name val="Century Gothic"/>
      <family val="2"/>
    </font>
    <font>
      <b/>
      <sz val="8"/>
      <color theme="0"/>
      <name val="Century Gothic"/>
      <family val="2"/>
    </font>
    <font>
      <b/>
      <sz val="1"/>
      <color theme="0"/>
      <name val="Century Gothic"/>
      <family val="2"/>
    </font>
    <font>
      <sz val="9"/>
      <name val="Calibri"/>
      <family val="2"/>
      <scheme val="minor"/>
    </font>
    <font>
      <sz val="9"/>
      <color theme="1"/>
      <name val="Calibri"/>
      <family val="2"/>
      <scheme val="minor"/>
    </font>
    <font>
      <sz val="9"/>
      <color rgb="FFFF0000"/>
      <name val="Calibri"/>
      <family val="2"/>
      <scheme val="minor"/>
    </font>
    <font>
      <sz val="9"/>
      <color theme="1"/>
      <name val="Arial"/>
      <family val="2"/>
    </font>
    <font>
      <sz val="9"/>
      <name val="Arial"/>
      <family val="2"/>
    </font>
    <font>
      <b/>
      <u/>
      <sz val="9"/>
      <name val="Century Gothic"/>
      <family val="2"/>
    </font>
    <font>
      <b/>
      <sz val="9"/>
      <color theme="1"/>
      <name val="Calibri"/>
      <family val="2"/>
      <scheme val="minor"/>
    </font>
    <font>
      <i/>
      <sz val="9"/>
      <color rgb="FFFF0000"/>
      <name val="Century Gothic"/>
      <family val="2"/>
    </font>
    <font>
      <sz val="9"/>
      <color theme="0"/>
      <name val="Calibri"/>
      <family val="2"/>
      <scheme val="minor"/>
    </font>
    <font>
      <b/>
      <sz val="7.5"/>
      <color theme="1"/>
      <name val="Calibri"/>
      <family val="2"/>
    </font>
    <font>
      <b/>
      <sz val="7"/>
      <color theme="1"/>
      <name val="Century Gothic"/>
      <family val="2"/>
    </font>
    <font>
      <sz val="11"/>
      <name val="Arial"/>
      <family val="2"/>
    </font>
    <font>
      <b/>
      <sz val="7.5"/>
      <name val="Century Gothic"/>
      <family val="2"/>
    </font>
    <font>
      <i/>
      <sz val="10"/>
      <name val="Century Gothic"/>
      <family val="2"/>
    </font>
    <font>
      <b/>
      <sz val="10"/>
      <color rgb="FFFF0000"/>
      <name val="Century Gothic"/>
      <family val="2"/>
    </font>
    <font>
      <sz val="10"/>
      <color rgb="FF000000"/>
      <name val="Century Gothic"/>
      <family val="2"/>
    </font>
    <font>
      <sz val="12"/>
      <name val="Cambria"/>
      <family val="1"/>
    </font>
    <font>
      <b/>
      <sz val="12"/>
      <color theme="0"/>
      <name val="Cambria"/>
      <family val="1"/>
    </font>
    <font>
      <b/>
      <sz val="12"/>
      <name val="Cambria"/>
      <family val="1"/>
    </font>
    <font>
      <sz val="12"/>
      <color rgb="FFFF0000"/>
      <name val="Cambria"/>
      <family val="1"/>
    </font>
    <font>
      <sz val="12"/>
      <color theme="0"/>
      <name val="Cambria"/>
      <family val="1"/>
    </font>
    <font>
      <b/>
      <sz val="12"/>
      <color rgb="FFFF0000"/>
      <name val="Cambria"/>
      <family val="1"/>
    </font>
    <font>
      <b/>
      <sz val="18"/>
      <name val="Cambria"/>
      <family val="1"/>
    </font>
    <font>
      <sz val="12"/>
      <color theme="1"/>
      <name val="Calibri"/>
      <family val="2"/>
      <scheme val="minor"/>
    </font>
    <font>
      <sz val="11"/>
      <name val="Cambria"/>
      <family val="1"/>
    </font>
    <font>
      <b/>
      <sz val="11"/>
      <color theme="0"/>
      <name val="Cambria"/>
      <family val="1"/>
    </font>
    <font>
      <b/>
      <sz val="11"/>
      <name val="Cambria"/>
      <family val="1"/>
    </font>
    <font>
      <b/>
      <sz val="11"/>
      <color rgb="FFFFC000"/>
      <name val="Cambria"/>
      <family val="1"/>
    </font>
    <font>
      <b/>
      <u/>
      <sz val="11"/>
      <color theme="1"/>
      <name val="Century Gothic"/>
      <family val="2"/>
    </font>
    <font>
      <sz val="11"/>
      <color rgb="FFFF0000"/>
      <name val="Cambria"/>
      <family val="1"/>
    </font>
    <font>
      <b/>
      <sz val="16"/>
      <name val="Century Gothic"/>
      <family val="2"/>
    </font>
    <font>
      <sz val="16"/>
      <name val="Cambria"/>
      <family val="1"/>
    </font>
    <font>
      <b/>
      <sz val="15"/>
      <color theme="0"/>
      <name val="Century Gothic"/>
      <family val="2"/>
    </font>
    <font>
      <sz val="15"/>
      <name val="Century Gothic"/>
      <family val="2"/>
    </font>
    <font>
      <b/>
      <sz val="11"/>
      <name val="Century Gothic"/>
      <family val="2"/>
    </font>
    <font>
      <sz val="14"/>
      <name val="Cambria"/>
      <family val="1"/>
    </font>
    <font>
      <b/>
      <sz val="14"/>
      <color theme="0"/>
      <name val="Cambria"/>
      <family val="1"/>
    </font>
    <font>
      <b/>
      <sz val="9"/>
      <color theme="0"/>
      <name val="Calibri"/>
      <family val="2"/>
      <scheme val="minor"/>
    </font>
    <font>
      <b/>
      <sz val="9"/>
      <color rgb="FFFF0000"/>
      <name val="Calibri"/>
      <family val="2"/>
      <scheme val="minor"/>
    </font>
    <font>
      <b/>
      <sz val="9"/>
      <name val="Calibri"/>
      <family val="2"/>
      <scheme val="minor"/>
    </font>
    <font>
      <b/>
      <sz val="9"/>
      <color rgb="FFFF0000"/>
      <name val="Century Gothic"/>
      <family val="2"/>
    </font>
    <font>
      <sz val="9"/>
      <color rgb="FFF23A00"/>
      <name val="Calibri"/>
      <family val="2"/>
      <scheme val="minor"/>
    </font>
    <font>
      <b/>
      <sz val="8"/>
      <color theme="1"/>
      <name val="Century Gothic"/>
      <family val="2"/>
    </font>
    <font>
      <b/>
      <sz val="12"/>
      <name val="Century Gothic"/>
      <family val="2"/>
    </font>
    <font>
      <b/>
      <sz val="14"/>
      <color theme="0"/>
      <name val="Century Gothic"/>
      <family val="2"/>
    </font>
    <font>
      <b/>
      <sz val="14"/>
      <name val="Cambria"/>
      <family val="1"/>
    </font>
    <font>
      <i/>
      <sz val="9"/>
      <color rgb="FFFF0000"/>
      <name val="Calibri"/>
      <family val="2"/>
      <scheme val="minor"/>
    </font>
    <font>
      <i/>
      <sz val="9"/>
      <name val="Calibri"/>
      <family val="2"/>
      <scheme val="minor"/>
    </font>
    <font>
      <b/>
      <sz val="11"/>
      <name val="Calibri"/>
      <family val="2"/>
      <scheme val="minor"/>
    </font>
    <font>
      <b/>
      <sz val="11"/>
      <color rgb="FFFF0000"/>
      <name val="Calibri"/>
      <family val="2"/>
      <scheme val="minor"/>
    </font>
    <font>
      <i/>
      <sz val="11"/>
      <color rgb="FFFF0000"/>
      <name val="Calibri"/>
      <family val="2"/>
      <scheme val="minor"/>
    </font>
    <font>
      <b/>
      <sz val="9"/>
      <color indexed="81"/>
      <name val="Tahoma"/>
      <family val="2"/>
    </font>
    <font>
      <sz val="9"/>
      <color indexed="81"/>
      <name val="Tahoma"/>
      <family val="2"/>
    </font>
    <font>
      <b/>
      <sz val="8"/>
      <color theme="0"/>
      <name val="Calibri"/>
      <family val="2"/>
      <scheme val="minor"/>
    </font>
    <font>
      <b/>
      <sz val="11"/>
      <color theme="1"/>
      <name val="Calibri"/>
      <family val="2"/>
    </font>
    <font>
      <sz val="11"/>
      <color theme="1"/>
      <name val="Calibri"/>
      <family val="2"/>
    </font>
    <font>
      <b/>
      <i/>
      <sz val="11"/>
      <name val="Calibri"/>
      <family val="2"/>
      <scheme val="minor"/>
    </font>
    <font>
      <b/>
      <sz val="10"/>
      <name val="Calibri"/>
      <family val="2"/>
      <scheme val="minor"/>
    </font>
    <font>
      <sz val="8"/>
      <color rgb="FF000000"/>
      <name val="Segoe UI"/>
      <family val="2"/>
    </font>
  </fonts>
  <fills count="18">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1" tint="0.499984740745262"/>
        <bgColor indexed="64"/>
      </patternFill>
    </fill>
    <fill>
      <patternFill patternType="solid">
        <fgColor theme="1" tint="0.34998626667073579"/>
        <bgColor indexed="64"/>
      </patternFill>
    </fill>
    <fill>
      <patternFill patternType="solid">
        <fgColor theme="7" tint="0.79998168889431442"/>
        <bgColor rgb="FFFFC000"/>
      </patternFill>
    </fill>
    <fill>
      <patternFill patternType="solid">
        <fgColor theme="0"/>
        <bgColor indexed="51"/>
      </patternFill>
    </fill>
    <fill>
      <patternFill patternType="solid">
        <fgColor theme="6" tint="0.79998168889431442"/>
        <bgColor indexed="64"/>
      </patternFill>
    </fill>
    <fill>
      <patternFill patternType="solid">
        <fgColor theme="0" tint="-4.9989318521683403E-2"/>
        <bgColor indexed="64"/>
      </patternFill>
    </fill>
    <fill>
      <patternFill patternType="solid">
        <fgColor rgb="FF990000"/>
        <bgColor indexed="64"/>
      </patternFill>
    </fill>
    <fill>
      <patternFill patternType="solid">
        <fgColor rgb="FF663300"/>
        <bgColor indexed="64"/>
      </patternFill>
    </fill>
    <fill>
      <patternFill patternType="solid">
        <fgColor rgb="FFFF612F"/>
        <bgColor indexed="64"/>
      </patternFill>
    </fill>
    <fill>
      <patternFill patternType="solid">
        <fgColor rgb="FFFFD9CD"/>
        <bgColor indexed="64"/>
      </patternFill>
    </fill>
    <fill>
      <patternFill patternType="solid">
        <fgColor theme="0" tint="-0.499984740745262"/>
        <bgColor indexed="64"/>
      </patternFill>
    </fill>
    <fill>
      <patternFill patternType="solid">
        <fgColor rgb="FFFFFF99"/>
        <bgColor indexed="64"/>
      </patternFill>
    </fill>
    <fill>
      <patternFill patternType="solid">
        <fgColor rgb="FFFFF3EF"/>
        <bgColor indexed="64"/>
      </patternFill>
    </fill>
    <fill>
      <patternFill patternType="solid">
        <fgColor rgb="FF92D050"/>
        <bgColor indexed="64"/>
      </patternFill>
    </fill>
  </fills>
  <borders count="134">
    <border>
      <left/>
      <right/>
      <top/>
      <bottom/>
      <diagonal/>
    </border>
    <border>
      <left style="thin">
        <color auto="1"/>
      </left>
      <right style="thin">
        <color auto="1"/>
      </right>
      <top style="thin">
        <color auto="1"/>
      </top>
      <bottom style="thin">
        <color auto="1"/>
      </bottom>
      <diagonal/>
    </border>
    <border>
      <left/>
      <right style="thin">
        <color theme="2" tint="-0.499984740745262"/>
      </right>
      <top/>
      <bottom/>
      <diagonal/>
    </border>
    <border>
      <left/>
      <right/>
      <top/>
      <bottom style="thin">
        <color theme="0"/>
      </bottom>
      <diagonal/>
    </border>
    <border>
      <left/>
      <right/>
      <top/>
      <bottom style="medium">
        <color theme="0"/>
      </bottom>
      <diagonal/>
    </border>
    <border>
      <left style="thin">
        <color theme="1" tint="0.34998626667073579"/>
      </left>
      <right style="thin">
        <color theme="1" tint="0.34998626667073579"/>
      </right>
      <top style="thin">
        <color theme="1" tint="0.34998626667073579"/>
      </top>
      <bottom style="thin">
        <color theme="1" tint="0.34998626667073579"/>
      </bottom>
      <diagonal/>
    </border>
    <border>
      <left/>
      <right/>
      <top style="thin">
        <color theme="0"/>
      </top>
      <bottom style="thin">
        <color theme="0"/>
      </bottom>
      <diagonal/>
    </border>
    <border>
      <left style="thin">
        <color theme="1" tint="0.34998626667073579"/>
      </left>
      <right/>
      <top style="thin">
        <color theme="1" tint="0.34998626667073579"/>
      </top>
      <bottom style="thin">
        <color theme="1" tint="0.34998626667073579"/>
      </bottom>
      <diagonal/>
    </border>
    <border>
      <left/>
      <right/>
      <top style="thin">
        <color theme="1" tint="0.34998626667073579"/>
      </top>
      <bottom style="thin">
        <color theme="1" tint="0.34998626667073579"/>
      </bottom>
      <diagonal/>
    </border>
    <border>
      <left/>
      <right style="thin">
        <color theme="1" tint="0.34998626667073579"/>
      </right>
      <top style="thin">
        <color theme="1" tint="0.34998626667073579"/>
      </top>
      <bottom style="thin">
        <color theme="1" tint="0.34998626667073579"/>
      </bottom>
      <diagonal/>
    </border>
    <border>
      <left style="thin">
        <color theme="1" tint="0.34998626667073579"/>
      </left>
      <right style="thin">
        <color theme="0"/>
      </right>
      <top style="thin">
        <color theme="1" tint="0.34998626667073579"/>
      </top>
      <bottom style="thin">
        <color theme="1" tint="0.34998626667073579"/>
      </bottom>
      <diagonal/>
    </border>
    <border>
      <left style="thin">
        <color theme="0"/>
      </left>
      <right style="thin">
        <color theme="0"/>
      </right>
      <top style="thin">
        <color theme="1" tint="0.34998626667073579"/>
      </top>
      <bottom style="thin">
        <color theme="1" tint="0.34998626667073579"/>
      </bottom>
      <diagonal/>
    </border>
    <border>
      <left style="thin">
        <color theme="0"/>
      </left>
      <right/>
      <top style="thin">
        <color theme="0"/>
      </top>
      <bottom style="thin">
        <color theme="0"/>
      </bottom>
      <diagonal/>
    </border>
    <border>
      <left style="thin">
        <color rgb="FF000000"/>
      </left>
      <right style="thin">
        <color rgb="FF000000"/>
      </right>
      <top style="thin">
        <color rgb="FF000000"/>
      </top>
      <bottom style="thin">
        <color rgb="FF000000"/>
      </bottom>
      <diagonal/>
    </border>
    <border>
      <left style="thin">
        <color theme="0"/>
      </left>
      <right/>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top/>
      <bottom style="thin">
        <color auto="1"/>
      </bottom>
      <diagonal/>
    </border>
    <border>
      <left/>
      <right/>
      <top style="thin">
        <color auto="1"/>
      </top>
      <bottom style="thin">
        <color auto="1"/>
      </bottom>
      <diagonal/>
    </border>
    <border>
      <left/>
      <right/>
      <top/>
      <bottom style="thin">
        <color theme="1" tint="0.34998626667073579"/>
      </bottom>
      <diagonal/>
    </border>
    <border>
      <left style="thin">
        <color auto="1"/>
      </left>
      <right/>
      <top style="thin">
        <color auto="1"/>
      </top>
      <bottom/>
      <diagonal/>
    </border>
    <border>
      <left/>
      <right style="thin">
        <color theme="0"/>
      </right>
      <top style="thin">
        <color theme="1" tint="0.34998626667073579"/>
      </top>
      <bottom style="thin">
        <color theme="1" tint="0.34998626667073579"/>
      </bottom>
      <diagonal/>
    </border>
    <border>
      <left/>
      <right style="thin">
        <color theme="1" tint="0.34998626667073579"/>
      </right>
      <top/>
      <bottom/>
      <diagonal/>
    </border>
    <border>
      <left/>
      <right style="thin">
        <color theme="0"/>
      </right>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theme="1" tint="0.34998626667073579"/>
      </left>
      <right/>
      <top style="thin">
        <color theme="1" tint="0.34998626667073579"/>
      </top>
      <bottom style="thin">
        <color auto="1"/>
      </bottom>
      <diagonal/>
    </border>
    <border>
      <left/>
      <right/>
      <top style="thin">
        <color theme="1" tint="0.34998626667073579"/>
      </top>
      <bottom style="thin">
        <color auto="1"/>
      </bottom>
      <diagonal/>
    </border>
    <border>
      <left style="thin">
        <color theme="1" tint="0.34998626667073579"/>
      </left>
      <right/>
      <top/>
      <bottom/>
      <diagonal/>
    </border>
    <border>
      <left style="thin">
        <color theme="1" tint="0.34998626667073579"/>
      </left>
      <right/>
      <top style="thin">
        <color auto="1"/>
      </top>
      <bottom style="thin">
        <color auto="1"/>
      </bottom>
      <diagonal/>
    </border>
    <border>
      <left/>
      <right/>
      <top style="thin">
        <color auto="1"/>
      </top>
      <bottom style="thin">
        <color theme="1" tint="0.34998626667073579"/>
      </bottom>
      <diagonal/>
    </border>
    <border>
      <left style="thin">
        <color auto="1"/>
      </left>
      <right/>
      <top/>
      <bottom/>
      <diagonal/>
    </border>
    <border>
      <left/>
      <right style="thin">
        <color theme="0"/>
      </right>
      <top style="thin">
        <color auto="1"/>
      </top>
      <bottom style="thin">
        <color auto="1"/>
      </bottom>
      <diagonal/>
    </border>
    <border>
      <left/>
      <right/>
      <top style="thin">
        <color theme="1" tint="0.34998626667073579"/>
      </top>
      <bottom/>
      <diagonal/>
    </border>
    <border>
      <left style="thin">
        <color theme="1" tint="0.34998626667073579"/>
      </left>
      <right/>
      <top style="thin">
        <color theme="1" tint="0.34998626667073579"/>
      </top>
      <bottom/>
      <diagonal/>
    </border>
    <border>
      <left/>
      <right style="thin">
        <color theme="1" tint="0.34998626667073579"/>
      </right>
      <top style="thin">
        <color theme="1" tint="0.34998626667073579"/>
      </top>
      <bottom/>
      <diagonal/>
    </border>
    <border>
      <left/>
      <right style="thin">
        <color theme="1" tint="0.34998626667073579"/>
      </right>
      <top style="thin">
        <color theme="0"/>
      </top>
      <bottom style="thin">
        <color theme="0"/>
      </bottom>
      <diagonal/>
    </border>
    <border>
      <left style="thin">
        <color theme="1" tint="0.34998626667073579"/>
      </left>
      <right/>
      <top/>
      <bottom style="thin">
        <color theme="1" tint="0.34998626667073579"/>
      </bottom>
      <diagonal/>
    </border>
    <border>
      <left/>
      <right style="thin">
        <color theme="1" tint="0.34998626667073579"/>
      </right>
      <top/>
      <bottom style="thin">
        <color theme="1" tint="0.34998626667073579"/>
      </bottom>
      <diagonal/>
    </border>
    <border>
      <left style="thin">
        <color theme="1" tint="0.34998626667073579"/>
      </left>
      <right/>
      <top style="thin">
        <color auto="1"/>
      </top>
      <bottom style="thin">
        <color theme="1" tint="0.34998626667073579"/>
      </bottom>
      <diagonal/>
    </border>
    <border>
      <left style="thin">
        <color theme="1" tint="0.34998626667073579"/>
      </left>
      <right style="thin">
        <color theme="1" tint="0.34998626667073579"/>
      </right>
      <top/>
      <bottom style="thin">
        <color theme="1" tint="0.34998626667073579"/>
      </bottom>
      <diagonal/>
    </border>
    <border>
      <left style="thin">
        <color auto="1"/>
      </left>
      <right/>
      <top/>
      <bottom style="thin">
        <color auto="1"/>
      </bottom>
      <diagonal/>
    </border>
    <border>
      <left/>
      <right style="thin">
        <color auto="1"/>
      </right>
      <top style="thin">
        <color auto="1"/>
      </top>
      <bottom/>
      <diagonal/>
    </border>
    <border>
      <left/>
      <right style="thin">
        <color theme="0"/>
      </right>
      <top style="thin">
        <color theme="1" tint="0.34998626667073579"/>
      </top>
      <bottom/>
      <diagonal/>
    </border>
    <border>
      <left style="thin">
        <color theme="0"/>
      </left>
      <right/>
      <top style="thin">
        <color theme="1" tint="0.34998626667073579"/>
      </top>
      <bottom style="thin">
        <color theme="1" tint="0.34998626667073579"/>
      </bottom>
      <diagonal/>
    </border>
    <border>
      <left style="thin">
        <color theme="1" tint="0.34998626667073579"/>
      </left>
      <right style="thin">
        <color theme="1" tint="0.34998626667073579"/>
      </right>
      <top/>
      <bottom/>
      <diagonal/>
    </border>
    <border>
      <left style="hair">
        <color auto="1"/>
      </left>
      <right/>
      <top style="hair">
        <color auto="1"/>
      </top>
      <bottom/>
      <diagonal/>
    </border>
    <border>
      <left/>
      <right/>
      <top style="hair">
        <color auto="1"/>
      </top>
      <bottom/>
      <diagonal/>
    </border>
    <border>
      <left/>
      <right style="hair">
        <color auto="1"/>
      </right>
      <top style="hair">
        <color auto="1"/>
      </top>
      <bottom/>
      <diagonal/>
    </border>
    <border>
      <left style="hair">
        <color auto="1"/>
      </left>
      <right/>
      <top/>
      <bottom style="hair">
        <color auto="1"/>
      </bottom>
      <diagonal/>
    </border>
    <border>
      <left/>
      <right/>
      <top/>
      <bottom style="hair">
        <color auto="1"/>
      </bottom>
      <diagonal/>
    </border>
    <border>
      <left/>
      <right style="hair">
        <color auto="1"/>
      </right>
      <top/>
      <bottom style="hair">
        <color auto="1"/>
      </bottom>
      <diagonal/>
    </border>
    <border>
      <left/>
      <right style="hair">
        <color auto="1"/>
      </right>
      <top/>
      <bottom/>
      <diagonal/>
    </border>
    <border>
      <left style="hair">
        <color auto="1"/>
      </left>
      <right style="hair">
        <color auto="1"/>
      </right>
      <top style="hair">
        <color auto="1"/>
      </top>
      <bottom style="hair">
        <color auto="1"/>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thin">
        <color theme="0"/>
      </left>
      <right style="thin">
        <color theme="0"/>
      </right>
      <top/>
      <bottom/>
      <diagonal/>
    </border>
    <border>
      <left/>
      <right/>
      <top style="thin">
        <color theme="0"/>
      </top>
      <bottom/>
      <diagonal/>
    </border>
    <border>
      <left style="thin">
        <color auto="1"/>
      </left>
      <right style="thin">
        <color theme="1" tint="0.34998626667073579"/>
      </right>
      <top style="thin">
        <color theme="1" tint="0.34998626667073579"/>
      </top>
      <bottom style="thin">
        <color theme="1" tint="0.34998626667073579"/>
      </bottom>
      <diagonal/>
    </border>
    <border>
      <left style="hair">
        <color theme="1" tint="0.34998626667073579"/>
      </left>
      <right/>
      <top style="hair">
        <color theme="1" tint="0.34998626667073579"/>
      </top>
      <bottom/>
      <diagonal/>
    </border>
    <border>
      <left/>
      <right/>
      <top style="hair">
        <color theme="1" tint="0.34998626667073579"/>
      </top>
      <bottom/>
      <diagonal/>
    </border>
    <border>
      <left/>
      <right style="hair">
        <color theme="1" tint="0.34998626667073579"/>
      </right>
      <top style="hair">
        <color theme="1" tint="0.34998626667073579"/>
      </top>
      <bottom/>
      <diagonal/>
    </border>
    <border>
      <left style="hair">
        <color theme="1" tint="0.34998626667073579"/>
      </left>
      <right/>
      <top/>
      <bottom style="hair">
        <color theme="1" tint="0.34998626667073579"/>
      </bottom>
      <diagonal/>
    </border>
    <border>
      <left/>
      <right/>
      <top/>
      <bottom style="hair">
        <color theme="1" tint="0.34998626667073579"/>
      </bottom>
      <diagonal/>
    </border>
    <border>
      <left/>
      <right style="hair">
        <color theme="1" tint="0.34998626667073579"/>
      </right>
      <top/>
      <bottom style="hair">
        <color theme="1" tint="0.34998626667073579"/>
      </bottom>
      <diagonal/>
    </border>
    <border>
      <left/>
      <right style="hair">
        <color theme="1" tint="0.34998626667073579"/>
      </right>
      <top/>
      <bottom/>
      <diagonal/>
    </border>
    <border>
      <left style="thin">
        <color theme="0"/>
      </left>
      <right style="thin">
        <color theme="0"/>
      </right>
      <top style="thin">
        <color indexed="64"/>
      </top>
      <bottom style="thin">
        <color indexed="64"/>
      </bottom>
      <diagonal/>
    </border>
    <border>
      <left style="thin">
        <color theme="0"/>
      </left>
      <right style="thin">
        <color indexed="64"/>
      </right>
      <top style="thin">
        <color indexed="64"/>
      </top>
      <bottom style="thin">
        <color indexed="64"/>
      </bottom>
      <diagonal/>
    </border>
    <border>
      <left/>
      <right style="thin">
        <color theme="2" tint="-0.499984740745262"/>
      </right>
      <top style="thin">
        <color theme="1" tint="0.34998626667073579"/>
      </top>
      <bottom/>
      <diagonal/>
    </border>
    <border>
      <left/>
      <right/>
      <top style="thin">
        <color indexed="64"/>
      </top>
      <bottom/>
      <diagonal/>
    </border>
    <border>
      <left/>
      <right style="thin">
        <color indexed="64"/>
      </right>
      <top/>
      <bottom style="thin">
        <color indexed="64"/>
      </bottom>
      <diagonal/>
    </border>
    <border>
      <left/>
      <right style="thin">
        <color indexed="64"/>
      </right>
      <top/>
      <bottom/>
      <diagonal/>
    </border>
    <border>
      <left/>
      <right style="thin">
        <color indexed="64"/>
      </right>
      <top style="thin">
        <color theme="1" tint="0.34998626667073579"/>
      </top>
      <bottom style="thin">
        <color indexed="64"/>
      </bottom>
      <diagonal/>
    </border>
    <border>
      <left/>
      <right style="thin">
        <color theme="0"/>
      </right>
      <top style="thin">
        <color theme="0"/>
      </top>
      <bottom style="thin">
        <color theme="0"/>
      </bottom>
      <diagonal/>
    </border>
    <border>
      <left style="thin">
        <color indexed="64"/>
      </left>
      <right style="thin">
        <color theme="1" tint="0.34998626667073579"/>
      </right>
      <top style="thin">
        <color indexed="64"/>
      </top>
      <bottom style="thin">
        <color theme="1" tint="0.34998626667073579"/>
      </bottom>
      <diagonal/>
    </border>
    <border>
      <left/>
      <right style="thin">
        <color indexed="64"/>
      </right>
      <top style="thin">
        <color indexed="64"/>
      </top>
      <bottom style="thin">
        <color theme="1" tint="0.34998626667073579"/>
      </bottom>
      <diagonal/>
    </border>
    <border>
      <left style="thin">
        <color indexed="64"/>
      </left>
      <right style="thin">
        <color theme="1" tint="0.34998626667073579"/>
      </right>
      <top style="thin">
        <color theme="1" tint="0.34998626667073579"/>
      </top>
      <bottom style="thin">
        <color indexed="64"/>
      </bottom>
      <diagonal/>
    </border>
    <border>
      <left style="thin">
        <color indexed="64"/>
      </left>
      <right style="thin">
        <color theme="1" tint="0.34998626667073579"/>
      </right>
      <top style="thin">
        <color indexed="64"/>
      </top>
      <bottom style="thin">
        <color indexed="64"/>
      </bottom>
      <diagonal/>
    </border>
    <border>
      <left style="thin">
        <color theme="0"/>
      </left>
      <right style="thin">
        <color theme="0"/>
      </right>
      <top style="thin">
        <color theme="0"/>
      </top>
      <bottom style="thin">
        <color theme="0"/>
      </bottom>
      <diagonal/>
    </border>
    <border>
      <left style="thin">
        <color theme="0"/>
      </left>
      <right/>
      <top style="thin">
        <color indexed="64"/>
      </top>
      <bottom style="thin">
        <color indexed="64"/>
      </bottom>
      <diagonal/>
    </border>
    <border>
      <left style="thin">
        <color theme="1" tint="0.249977111117893"/>
      </left>
      <right style="thin">
        <color theme="1" tint="0.249977111117893"/>
      </right>
      <top style="thin">
        <color theme="1" tint="0.249977111117893"/>
      </top>
      <bottom style="thin">
        <color theme="1" tint="0.249977111117893"/>
      </bottom>
      <diagonal/>
    </border>
    <border>
      <left/>
      <right style="thin">
        <color theme="1" tint="0.249977111117893"/>
      </right>
      <top style="thin">
        <color theme="1" tint="0.249977111117893"/>
      </top>
      <bottom style="thin">
        <color theme="1" tint="0.249977111117893"/>
      </bottom>
      <diagonal/>
    </border>
    <border>
      <left/>
      <right/>
      <top/>
      <bottom style="thin">
        <color theme="1"/>
      </bottom>
      <diagonal/>
    </border>
    <border>
      <left/>
      <right/>
      <top style="thin">
        <color theme="1" tint="0.249977111117893"/>
      </top>
      <bottom style="thin">
        <color indexed="64"/>
      </bottom>
      <diagonal/>
    </border>
    <border>
      <left style="thin">
        <color theme="0"/>
      </left>
      <right style="thin">
        <color theme="0"/>
      </right>
      <top style="thin">
        <color theme="0"/>
      </top>
      <bottom/>
      <diagonal/>
    </border>
    <border>
      <left/>
      <right/>
      <top/>
      <bottom style="thin">
        <color theme="5" tint="-0.499984740745262"/>
      </bottom>
      <diagonal/>
    </border>
    <border>
      <left/>
      <right/>
      <top style="thin">
        <color theme="5" tint="-0.499984740745262"/>
      </top>
      <bottom style="thin">
        <color theme="5" tint="-0.499984740745262"/>
      </bottom>
      <diagonal/>
    </border>
    <border>
      <left style="thin">
        <color theme="1" tint="4.9989318521683403E-2"/>
      </left>
      <right style="thin">
        <color theme="1" tint="4.9989318521683403E-2"/>
      </right>
      <top style="thin">
        <color theme="1" tint="4.9989318521683403E-2"/>
      </top>
      <bottom style="thin">
        <color theme="1" tint="4.9989318521683403E-2"/>
      </bottom>
      <diagonal/>
    </border>
    <border>
      <left style="thin">
        <color rgb="FF006600"/>
      </left>
      <right style="thin">
        <color rgb="FF006600"/>
      </right>
      <top style="thin">
        <color rgb="FF006600"/>
      </top>
      <bottom style="thin">
        <color rgb="FF006600"/>
      </bottom>
      <diagonal/>
    </border>
    <border>
      <left style="medium">
        <color rgb="FF006600"/>
      </left>
      <right style="thin">
        <color rgb="FF006600"/>
      </right>
      <top style="medium">
        <color rgb="FF006600"/>
      </top>
      <bottom style="thin">
        <color rgb="FF006600"/>
      </bottom>
      <diagonal/>
    </border>
    <border>
      <left style="thin">
        <color rgb="FF006600"/>
      </left>
      <right style="thin">
        <color rgb="FF006600"/>
      </right>
      <top style="medium">
        <color rgb="FF006600"/>
      </top>
      <bottom style="thin">
        <color rgb="FF006600"/>
      </bottom>
      <diagonal/>
    </border>
    <border>
      <left style="thin">
        <color rgb="FF006600"/>
      </left>
      <right style="medium">
        <color rgb="FF006600"/>
      </right>
      <top style="medium">
        <color rgb="FF006600"/>
      </top>
      <bottom style="thin">
        <color rgb="FF006600"/>
      </bottom>
      <diagonal/>
    </border>
    <border>
      <left style="medium">
        <color rgb="FF006600"/>
      </left>
      <right style="thin">
        <color rgb="FF006600"/>
      </right>
      <top style="thin">
        <color rgb="FF006600"/>
      </top>
      <bottom style="thin">
        <color rgb="FF006600"/>
      </bottom>
      <diagonal/>
    </border>
    <border>
      <left style="thin">
        <color rgb="FF006600"/>
      </left>
      <right style="medium">
        <color rgb="FF006600"/>
      </right>
      <top style="thin">
        <color rgb="FF006600"/>
      </top>
      <bottom style="thin">
        <color rgb="FF006600"/>
      </bottom>
      <diagonal/>
    </border>
    <border>
      <left style="medium">
        <color rgb="FF006600"/>
      </left>
      <right style="thin">
        <color rgb="FF006600"/>
      </right>
      <top style="thin">
        <color rgb="FF006600"/>
      </top>
      <bottom style="medium">
        <color rgb="FF006600"/>
      </bottom>
      <diagonal/>
    </border>
    <border>
      <left style="thin">
        <color rgb="FF006600"/>
      </left>
      <right style="thin">
        <color rgb="FF006600"/>
      </right>
      <top style="thin">
        <color rgb="FF006600"/>
      </top>
      <bottom style="medium">
        <color rgb="FF006600"/>
      </bottom>
      <diagonal/>
    </border>
    <border>
      <left style="thin">
        <color rgb="FF006600"/>
      </left>
      <right style="medium">
        <color rgb="FF006600"/>
      </right>
      <top style="thin">
        <color rgb="FF006600"/>
      </top>
      <bottom style="medium">
        <color rgb="FF006600"/>
      </bottom>
      <diagonal/>
    </border>
    <border>
      <left style="thin">
        <color theme="1" tint="0.34998626667073579"/>
      </left>
      <right style="thin">
        <color theme="1" tint="0.34998626667073579"/>
      </right>
      <top style="thin">
        <color theme="1" tint="0.34998626667073579"/>
      </top>
      <bottom/>
      <diagonal/>
    </border>
    <border>
      <left style="thin">
        <color theme="0"/>
      </left>
      <right style="thin">
        <color theme="0"/>
      </right>
      <top/>
      <bottom style="thin">
        <color indexed="64"/>
      </bottom>
      <diagonal/>
    </border>
    <border>
      <left style="thin">
        <color theme="0"/>
      </left>
      <right style="thin">
        <color indexed="64"/>
      </right>
      <top/>
      <bottom style="thin">
        <color indexed="64"/>
      </bottom>
      <diagonal/>
    </border>
    <border>
      <left/>
      <right style="thin">
        <color theme="0"/>
      </right>
      <top/>
      <bottom style="thin">
        <color auto="1"/>
      </bottom>
      <diagonal/>
    </border>
    <border>
      <left style="dotted">
        <color indexed="64"/>
      </left>
      <right/>
      <top/>
      <bottom/>
      <diagonal/>
    </border>
    <border>
      <left style="thin">
        <color theme="1" tint="0.14999847407452621"/>
      </left>
      <right/>
      <top style="thin">
        <color theme="1" tint="0.14999847407452621"/>
      </top>
      <bottom/>
      <diagonal/>
    </border>
    <border>
      <left/>
      <right/>
      <top style="thin">
        <color theme="1" tint="0.14999847407452621"/>
      </top>
      <bottom/>
      <diagonal/>
    </border>
    <border>
      <left/>
      <right style="thin">
        <color theme="1" tint="0.14999847407452621"/>
      </right>
      <top style="thin">
        <color theme="1" tint="0.14999847407452621"/>
      </top>
      <bottom/>
      <diagonal/>
    </border>
    <border>
      <left style="thin">
        <color theme="1" tint="0.14999847407452621"/>
      </left>
      <right/>
      <top/>
      <bottom style="thin">
        <color theme="1" tint="0.14999847407452621"/>
      </bottom>
      <diagonal/>
    </border>
    <border>
      <left/>
      <right/>
      <top/>
      <bottom style="thin">
        <color theme="1" tint="0.14999847407452621"/>
      </bottom>
      <diagonal/>
    </border>
    <border>
      <left/>
      <right style="thin">
        <color theme="1" tint="0.14999847407452621"/>
      </right>
      <top/>
      <bottom style="thin">
        <color theme="1" tint="0.14999847407452621"/>
      </bottom>
      <diagonal/>
    </border>
    <border>
      <left style="thin">
        <color theme="1" tint="0.14999847407452621"/>
      </left>
      <right/>
      <top style="thin">
        <color theme="1" tint="0.14999847407452621"/>
      </top>
      <bottom style="thin">
        <color theme="1" tint="0.14999847407452621"/>
      </bottom>
      <diagonal/>
    </border>
    <border>
      <left/>
      <right/>
      <top style="thin">
        <color theme="1" tint="0.14999847407452621"/>
      </top>
      <bottom style="thin">
        <color theme="1" tint="0.14999847407452621"/>
      </bottom>
      <diagonal/>
    </border>
    <border>
      <left/>
      <right style="thin">
        <color theme="1" tint="0.14999847407452621"/>
      </right>
      <top style="thin">
        <color theme="1" tint="0.14999847407452621"/>
      </top>
      <bottom style="thin">
        <color theme="1" tint="0.1499984740745262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indexed="64"/>
      </right>
      <top style="medium">
        <color indexed="64"/>
      </top>
      <bottom/>
      <diagonal/>
    </border>
    <border>
      <left style="thin">
        <color indexed="64"/>
      </left>
      <right style="thin">
        <color auto="1"/>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auto="1"/>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auto="1"/>
      </right>
      <top style="thin">
        <color auto="1"/>
      </top>
      <bottom style="medium">
        <color indexed="64"/>
      </bottom>
      <diagonal/>
    </border>
    <border>
      <left style="thin">
        <color indexed="64"/>
      </left>
      <right style="thin">
        <color indexed="64"/>
      </right>
      <top style="thin">
        <color indexed="64"/>
      </top>
      <bottom style="medium">
        <color indexed="64"/>
      </bottom>
      <diagonal/>
    </border>
    <border>
      <left style="thin">
        <color auto="1"/>
      </left>
      <right style="medium">
        <color indexed="64"/>
      </right>
      <top style="thin">
        <color auto="1"/>
      </top>
      <bottom style="medium">
        <color indexed="64"/>
      </bottom>
      <diagonal/>
    </border>
    <border>
      <left/>
      <right style="medium">
        <color indexed="64"/>
      </right>
      <top/>
      <bottom style="thin">
        <color indexed="64"/>
      </bottom>
      <diagonal/>
    </border>
    <border>
      <left/>
      <right style="medium">
        <color indexed="64"/>
      </right>
      <top/>
      <bottom style="medium">
        <color indexed="64"/>
      </bottom>
      <diagonal/>
    </border>
    <border>
      <left/>
      <right/>
      <top style="thin">
        <color auto="1"/>
      </top>
      <bottom style="medium">
        <color indexed="64"/>
      </bottom>
      <diagonal/>
    </border>
  </borders>
  <cellStyleXfs count="9">
    <xf numFmtId="0" fontId="0" fillId="0" borderId="0"/>
    <xf numFmtId="43" fontId="3" fillId="0" borderId="0" applyFont="0" applyFill="0" applyBorder="0" applyAlignment="0" applyProtection="0"/>
    <xf numFmtId="9" fontId="3" fillId="0" borderId="0" applyFont="0" applyFill="0" applyBorder="0" applyAlignment="0" applyProtection="0"/>
    <xf numFmtId="0" fontId="21" fillId="0" borderId="0"/>
    <xf numFmtId="164" fontId="27" fillId="0" borderId="0" applyFont="0" applyFill="0" applyBorder="0" applyAlignment="0" applyProtection="0"/>
    <xf numFmtId="44" fontId="3" fillId="0" borderId="0" applyFont="0" applyFill="0" applyBorder="0" applyAlignment="0" applyProtection="0"/>
    <xf numFmtId="164" fontId="3" fillId="0" borderId="0" applyFont="0" applyFill="0" applyBorder="0" applyAlignment="0" applyProtection="0"/>
    <xf numFmtId="164" fontId="27" fillId="0" borderId="0" applyFont="0" applyFill="0" applyBorder="0" applyAlignment="0" applyProtection="0"/>
    <xf numFmtId="0" fontId="27" fillId="0" borderId="0"/>
  </cellStyleXfs>
  <cellXfs count="1570">
    <xf numFmtId="0" fontId="0" fillId="0" borderId="0" xfId="0"/>
    <xf numFmtId="0" fontId="5" fillId="5" borderId="3" xfId="0" applyFont="1" applyFill="1" applyBorder="1" applyAlignment="1" applyProtection="1">
      <alignment vertical="center"/>
      <protection locked="0"/>
    </xf>
    <xf numFmtId="0" fontId="5" fillId="5" borderId="3" xfId="0" applyFont="1" applyFill="1" applyBorder="1" applyAlignment="1" applyProtection="1">
      <alignment horizontal="left" vertical="center"/>
      <protection locked="0"/>
    </xf>
    <xf numFmtId="0" fontId="5" fillId="5" borderId="0" xfId="0" applyFont="1" applyFill="1" applyAlignment="1" applyProtection="1">
      <alignment vertical="center"/>
      <protection locked="0"/>
    </xf>
    <xf numFmtId="0" fontId="15" fillId="0" borderId="0" xfId="0" applyFont="1" applyAlignment="1" applyProtection="1">
      <alignment horizontal="center" vertical="center"/>
      <protection locked="0"/>
    </xf>
    <xf numFmtId="0" fontId="32" fillId="0" borderId="0" xfId="0" applyFont="1"/>
    <xf numFmtId="0" fontId="14" fillId="0" borderId="0" xfId="0" applyFont="1"/>
    <xf numFmtId="0" fontId="14" fillId="0" borderId="0" xfId="0" applyFont="1" applyAlignment="1" applyProtection="1">
      <alignment horizontal="center" vertical="center"/>
      <protection locked="0"/>
    </xf>
    <xf numFmtId="0" fontId="32" fillId="0" borderId="17" xfId="0" applyFont="1" applyBorder="1"/>
    <xf numFmtId="168" fontId="6" fillId="0" borderId="8" xfId="0" applyNumberFormat="1" applyFont="1" applyBorder="1" applyAlignment="1" applyProtection="1">
      <alignment horizontal="left" vertical="center"/>
      <protection locked="0"/>
    </xf>
    <xf numFmtId="0" fontId="12" fillId="0" borderId="0" xfId="0" applyFont="1" applyAlignment="1" applyProtection="1">
      <alignment horizontal="center" vertical="center"/>
      <protection locked="0"/>
    </xf>
    <xf numFmtId="0" fontId="38" fillId="0" borderId="0" xfId="0" applyFont="1" applyProtection="1">
      <protection locked="0"/>
    </xf>
    <xf numFmtId="0" fontId="32" fillId="0" borderId="0" xfId="0" applyFont="1" applyProtection="1">
      <protection locked="0"/>
    </xf>
    <xf numFmtId="0" fontId="15" fillId="0" borderId="0" xfId="0" applyFont="1" applyProtection="1">
      <protection locked="0"/>
    </xf>
    <xf numFmtId="0" fontId="12" fillId="0" borderId="0" xfId="0" applyFont="1" applyAlignment="1" applyProtection="1">
      <alignment vertical="center"/>
      <protection locked="0"/>
    </xf>
    <xf numFmtId="0" fontId="17" fillId="0" borderId="0" xfId="0" applyFont="1" applyAlignment="1" applyProtection="1">
      <alignment vertical="center"/>
      <protection locked="0"/>
    </xf>
    <xf numFmtId="0" fontId="12" fillId="0" borderId="0" xfId="0" applyFont="1" applyProtection="1">
      <protection locked="0"/>
    </xf>
    <xf numFmtId="0" fontId="17" fillId="0" borderId="0" xfId="0" applyFont="1" applyProtection="1">
      <protection locked="0"/>
    </xf>
    <xf numFmtId="0" fontId="25" fillId="0" borderId="0" xfId="0" applyFont="1"/>
    <xf numFmtId="0" fontId="32" fillId="0" borderId="0" xfId="0" applyFont="1" applyAlignment="1" applyProtection="1">
      <alignment horizontal="center"/>
      <protection locked="0"/>
    </xf>
    <xf numFmtId="0" fontId="15" fillId="0" borderId="19" xfId="0" applyFont="1" applyBorder="1" applyAlignment="1" applyProtection="1">
      <alignment horizontal="center"/>
      <protection locked="0"/>
    </xf>
    <xf numFmtId="0" fontId="6" fillId="0" borderId="0" xfId="0" applyFont="1"/>
    <xf numFmtId="0" fontId="6" fillId="0" borderId="17" xfId="0" applyFont="1" applyBorder="1"/>
    <xf numFmtId="0" fontId="6" fillId="0" borderId="0" xfId="0" applyFont="1" applyAlignment="1">
      <alignment horizontal="right"/>
    </xf>
    <xf numFmtId="0" fontId="6" fillId="0" borderId="18" xfId="0" applyFont="1" applyBorder="1"/>
    <xf numFmtId="0" fontId="15" fillId="0" borderId="15" xfId="0" applyFont="1" applyBorder="1"/>
    <xf numFmtId="0" fontId="15" fillId="0" borderId="18" xfId="0" applyFont="1" applyBorder="1"/>
    <xf numFmtId="0" fontId="15" fillId="0" borderId="20" xfId="0" applyFont="1" applyBorder="1"/>
    <xf numFmtId="0" fontId="15" fillId="0" borderId="70" xfId="0" applyFont="1" applyBorder="1"/>
    <xf numFmtId="0" fontId="32" fillId="0" borderId="70" xfId="0" applyFont="1" applyBorder="1"/>
    <xf numFmtId="0" fontId="25" fillId="0" borderId="70" xfId="0" applyFont="1" applyBorder="1"/>
    <xf numFmtId="0" fontId="32" fillId="0" borderId="41" xfId="0" applyFont="1" applyBorder="1"/>
    <xf numFmtId="0" fontId="25" fillId="0" borderId="17" xfId="0" applyFont="1" applyBorder="1"/>
    <xf numFmtId="0" fontId="32" fillId="0" borderId="71" xfId="0" applyFont="1" applyBorder="1"/>
    <xf numFmtId="0" fontId="25" fillId="0" borderId="31" xfId="0" applyFont="1" applyBorder="1"/>
    <xf numFmtId="0" fontId="25" fillId="0" borderId="72" xfId="0" applyFont="1" applyBorder="1"/>
    <xf numFmtId="0" fontId="52" fillId="5" borderId="31" xfId="0" applyFont="1" applyFill="1" applyBorder="1"/>
    <xf numFmtId="0" fontId="52" fillId="5" borderId="0" xfId="0" applyFont="1" applyFill="1"/>
    <xf numFmtId="0" fontId="52" fillId="5" borderId="41" xfId="0" applyFont="1" applyFill="1" applyBorder="1"/>
    <xf numFmtId="0" fontId="52" fillId="5" borderId="17" xfId="0" applyFont="1" applyFill="1" applyBorder="1"/>
    <xf numFmtId="0" fontId="52" fillId="5" borderId="15" xfId="0" applyFont="1" applyFill="1" applyBorder="1"/>
    <xf numFmtId="0" fontId="52" fillId="5" borderId="18" xfId="0" applyFont="1" applyFill="1" applyBorder="1"/>
    <xf numFmtId="0" fontId="52" fillId="5" borderId="24" xfId="0" applyFont="1" applyFill="1" applyBorder="1"/>
    <xf numFmtId="0" fontId="39" fillId="5" borderId="18" xfId="0" applyFont="1" applyFill="1" applyBorder="1"/>
    <xf numFmtId="0" fontId="39" fillId="5" borderId="24" xfId="0" applyFont="1" applyFill="1" applyBorder="1"/>
    <xf numFmtId="0" fontId="5" fillId="5" borderId="70" xfId="0" applyFont="1" applyFill="1" applyBorder="1" applyAlignment="1">
      <alignment horizontal="left"/>
    </xf>
    <xf numFmtId="0" fontId="32" fillId="5" borderId="70" xfId="0" applyFont="1" applyFill="1" applyBorder="1" applyAlignment="1">
      <alignment horizontal="left"/>
    </xf>
    <xf numFmtId="0" fontId="32" fillId="5" borderId="42" xfId="0" applyFont="1" applyFill="1" applyBorder="1" applyAlignment="1">
      <alignment horizontal="left"/>
    </xf>
    <xf numFmtId="0" fontId="39" fillId="5" borderId="17" xfId="0" applyFont="1" applyFill="1" applyBorder="1"/>
    <xf numFmtId="0" fontId="39" fillId="5" borderId="71" xfId="0" applyFont="1" applyFill="1" applyBorder="1"/>
    <xf numFmtId="0" fontId="25" fillId="0" borderId="0" xfId="0" applyFont="1" applyAlignment="1">
      <alignment wrapText="1"/>
    </xf>
    <xf numFmtId="0" fontId="39" fillId="5" borderId="42" xfId="0" applyFont="1" applyFill="1" applyBorder="1"/>
    <xf numFmtId="0" fontId="52" fillId="5" borderId="20" xfId="0" applyFont="1" applyFill="1" applyBorder="1"/>
    <xf numFmtId="0" fontId="52" fillId="5" borderId="70" xfId="0" applyFont="1" applyFill="1" applyBorder="1"/>
    <xf numFmtId="0" fontId="39" fillId="5" borderId="70" xfId="0" applyFont="1" applyFill="1" applyBorder="1"/>
    <xf numFmtId="0" fontId="25" fillId="0" borderId="24" xfId="0" applyFont="1" applyBorder="1"/>
    <xf numFmtId="0" fontId="47" fillId="0" borderId="0" xfId="0" applyFont="1"/>
    <xf numFmtId="0" fontId="32" fillId="0" borderId="0" xfId="0" applyFont="1" applyAlignment="1">
      <alignment vertical="center" wrapText="1"/>
    </xf>
    <xf numFmtId="0" fontId="6" fillId="0" borderId="0" xfId="0" applyFont="1" applyAlignment="1">
      <alignment horizontal="justify" vertical="center"/>
    </xf>
    <xf numFmtId="0" fontId="32" fillId="0" borderId="42" xfId="0" applyFont="1" applyBorder="1"/>
    <xf numFmtId="0" fontId="24" fillId="0" borderId="70" xfId="0" applyFont="1" applyBorder="1"/>
    <xf numFmtId="0" fontId="54" fillId="0" borderId="0" xfId="0" applyFont="1" applyAlignment="1">
      <alignment horizontal="right" vertical="top" wrapText="1"/>
    </xf>
    <xf numFmtId="0" fontId="6" fillId="0" borderId="24" xfId="0" applyFont="1" applyBorder="1"/>
    <xf numFmtId="0" fontId="54" fillId="0" borderId="0" xfId="0" applyFont="1"/>
    <xf numFmtId="0" fontId="54" fillId="0" borderId="20" xfId="0" applyFont="1" applyBorder="1" applyAlignment="1">
      <alignment wrapText="1"/>
    </xf>
    <xf numFmtId="0" fontId="56" fillId="0" borderId="70" xfId="0" applyFont="1" applyBorder="1" applyAlignment="1">
      <alignment vertical="center"/>
    </xf>
    <xf numFmtId="0" fontId="54" fillId="0" borderId="70" xfId="0" applyFont="1" applyBorder="1" applyAlignment="1">
      <alignment wrapText="1"/>
    </xf>
    <xf numFmtId="0" fontId="54" fillId="0" borderId="42" xfId="0" applyFont="1" applyBorder="1" applyAlignment="1">
      <alignment wrapText="1"/>
    </xf>
    <xf numFmtId="0" fontId="54" fillId="0" borderId="31" xfId="0" applyFont="1" applyBorder="1"/>
    <xf numFmtId="0" fontId="54" fillId="0" borderId="72" xfId="0" applyFont="1" applyBorder="1"/>
    <xf numFmtId="0" fontId="56" fillId="0" borderId="0" xfId="0" applyFont="1"/>
    <xf numFmtId="0" fontId="54" fillId="0" borderId="41" xfId="0" applyFont="1" applyBorder="1"/>
    <xf numFmtId="0" fontId="54" fillId="0" borderId="17" xfId="0" applyFont="1" applyBorder="1"/>
    <xf numFmtId="0" fontId="54" fillId="0" borderId="71" xfId="0" applyFont="1" applyBorder="1"/>
    <xf numFmtId="0" fontId="57" fillId="5" borderId="20" xfId="0" applyFont="1" applyFill="1" applyBorder="1" applyAlignment="1">
      <alignment horizontal="left"/>
    </xf>
    <xf numFmtId="0" fontId="25" fillId="0" borderId="41" xfId="0" applyFont="1" applyBorder="1"/>
    <xf numFmtId="0" fontId="25" fillId="0" borderId="71" xfId="0" applyFont="1" applyBorder="1"/>
    <xf numFmtId="0" fontId="54" fillId="0" borderId="0" xfId="0" quotePrefix="1" applyFont="1" applyAlignment="1">
      <alignment horizontal="center" vertical="top"/>
    </xf>
    <xf numFmtId="0" fontId="54" fillId="0" borderId="0" xfId="0" applyFont="1" applyAlignment="1">
      <alignment horizontal="left" vertical="center" wrapText="1"/>
    </xf>
    <xf numFmtId="0" fontId="5" fillId="5" borderId="0" xfId="0" applyFont="1" applyFill="1" applyAlignment="1" applyProtection="1">
      <alignment horizontal="left" vertical="center"/>
      <protection locked="0"/>
    </xf>
    <xf numFmtId="0" fontId="11" fillId="5" borderId="0" xfId="0" applyFont="1" applyFill="1" applyAlignment="1" applyProtection="1">
      <alignment horizontal="left" vertical="center"/>
      <protection locked="0"/>
    </xf>
    <xf numFmtId="0" fontId="6" fillId="0" borderId="0" xfId="0" applyFont="1" applyAlignment="1" applyProtection="1">
      <alignment horizontal="left" vertical="center"/>
      <protection locked="0"/>
    </xf>
    <xf numFmtId="0" fontId="54" fillId="0" borderId="0" xfId="0" quotePrefix="1" applyFont="1" applyAlignment="1">
      <alignment horizontal="right"/>
    </xf>
    <xf numFmtId="180" fontId="56" fillId="0" borderId="17" xfId="1" applyNumberFormat="1" applyFont="1" applyBorder="1" applyAlignment="1">
      <alignment horizontal="center" vertical="top" wrapText="1"/>
    </xf>
    <xf numFmtId="0" fontId="56" fillId="0" borderId="0" xfId="0" applyFont="1" applyAlignment="1">
      <alignment horizontal="center" vertical="top" wrapText="1"/>
    </xf>
    <xf numFmtId="180" fontId="56" fillId="0" borderId="0" xfId="1" applyNumberFormat="1" applyFont="1" applyBorder="1" applyAlignment="1">
      <alignment horizontal="center" vertical="top" wrapText="1"/>
    </xf>
    <xf numFmtId="0" fontId="54" fillId="0" borderId="0" xfId="0" applyFont="1" applyAlignment="1">
      <alignment vertical="center" wrapText="1"/>
    </xf>
    <xf numFmtId="0" fontId="32" fillId="0" borderId="0" xfId="0" applyFont="1" applyAlignment="1">
      <alignment horizontal="right"/>
    </xf>
    <xf numFmtId="0" fontId="54" fillId="0" borderId="0" xfId="0" quotePrefix="1" applyFont="1" applyAlignment="1">
      <alignment horizontal="right" vertical="center"/>
    </xf>
    <xf numFmtId="0" fontId="19" fillId="0" borderId="17" xfId="0" applyFont="1" applyBorder="1"/>
    <xf numFmtId="0" fontId="19" fillId="0" borderId="0" xfId="0" applyFont="1"/>
    <xf numFmtId="166" fontId="6" fillId="0" borderId="0" xfId="0" applyNumberFormat="1" applyFont="1" applyAlignment="1" applyProtection="1">
      <alignment vertical="center"/>
      <protection locked="0"/>
    </xf>
    <xf numFmtId="166" fontId="6" fillId="0" borderId="0" xfId="0" applyNumberFormat="1" applyFont="1" applyAlignment="1" applyProtection="1">
      <alignment horizontal="center" vertical="center"/>
      <protection locked="0"/>
    </xf>
    <xf numFmtId="0" fontId="5" fillId="5" borderId="81" xfId="0" applyFont="1" applyFill="1" applyBorder="1" applyAlignment="1" applyProtection="1">
      <alignment horizontal="center" vertical="center"/>
      <protection locked="0"/>
    </xf>
    <xf numFmtId="0" fontId="6" fillId="0" borderId="0" xfId="0" applyFont="1" applyAlignment="1" applyProtection="1">
      <alignment vertical="center"/>
      <protection locked="0"/>
    </xf>
    <xf numFmtId="0" fontId="54" fillId="0" borderId="0" xfId="0" applyFont="1" applyAlignment="1">
      <alignment horizontal="center" vertical="top" wrapText="1"/>
    </xf>
    <xf numFmtId="180" fontId="54" fillId="0" borderId="0" xfId="1" applyNumberFormat="1" applyFont="1" applyBorder="1" applyAlignment="1">
      <alignment horizontal="center" vertical="top" wrapText="1"/>
    </xf>
    <xf numFmtId="0" fontId="56" fillId="0" borderId="0" xfId="0" applyFont="1" applyAlignment="1">
      <alignment horizontal="right" vertical="top" wrapText="1"/>
    </xf>
    <xf numFmtId="0" fontId="6" fillId="0" borderId="83" xfId="0" applyFont="1" applyBorder="1"/>
    <xf numFmtId="0" fontId="56" fillId="0" borderId="0" xfId="0" applyFont="1" applyAlignment="1">
      <alignment horizontal="left" vertical="top" wrapText="1"/>
    </xf>
    <xf numFmtId="0" fontId="54" fillId="0" borderId="0" xfId="0" applyFont="1" applyAlignment="1">
      <alignment horizontal="justify" vertical="center" wrapText="1"/>
    </xf>
    <xf numFmtId="0" fontId="52" fillId="5" borderId="15" xfId="0" applyFont="1" applyFill="1" applyBorder="1" applyAlignment="1">
      <alignment horizontal="left"/>
    </xf>
    <xf numFmtId="0" fontId="52" fillId="5" borderId="24" xfId="0" applyFont="1" applyFill="1" applyBorder="1" applyAlignment="1">
      <alignment horizontal="left"/>
    </xf>
    <xf numFmtId="0" fontId="32" fillId="0" borderId="0" xfId="0" applyFont="1" applyAlignment="1">
      <alignment horizontal="center"/>
    </xf>
    <xf numFmtId="0" fontId="8" fillId="5" borderId="0" xfId="0" applyFont="1" applyFill="1"/>
    <xf numFmtId="166" fontId="6" fillId="0" borderId="0" xfId="0" applyNumberFormat="1" applyFont="1" applyAlignment="1">
      <alignment vertical="center"/>
    </xf>
    <xf numFmtId="166" fontId="32" fillId="0" borderId="0" xfId="0" applyNumberFormat="1" applyFont="1"/>
    <xf numFmtId="0" fontId="8" fillId="5" borderId="0" xfId="0" applyFont="1" applyFill="1" applyAlignment="1">
      <alignment horizontal="center"/>
    </xf>
    <xf numFmtId="166" fontId="6" fillId="0" borderId="0" xfId="0" applyNumberFormat="1" applyFont="1"/>
    <xf numFmtId="0" fontId="17" fillId="0" borderId="0" xfId="0" applyFont="1"/>
    <xf numFmtId="0" fontId="17" fillId="0" borderId="0" xfId="0" applyFont="1" applyAlignment="1">
      <alignment horizontal="center"/>
    </xf>
    <xf numFmtId="0" fontId="17" fillId="0" borderId="0" xfId="0" applyFont="1" applyAlignment="1">
      <alignment vertical="center"/>
    </xf>
    <xf numFmtId="0" fontId="17" fillId="0" borderId="19" xfId="0" applyFont="1" applyBorder="1"/>
    <xf numFmtId="0" fontId="17" fillId="0" borderId="19" xfId="0" applyFont="1" applyBorder="1" applyAlignment="1">
      <alignment horizontal="center"/>
    </xf>
    <xf numFmtId="169" fontId="17" fillId="0" borderId="19" xfId="0" applyNumberFormat="1" applyFont="1" applyBorder="1" applyAlignment="1">
      <alignment horizontal="center"/>
    </xf>
    <xf numFmtId="0" fontId="17" fillId="0" borderId="0" xfId="0" applyFont="1" applyAlignment="1">
      <alignment horizontal="center" vertical="center"/>
    </xf>
    <xf numFmtId="43" fontId="17" fillId="0" borderId="0" xfId="1" applyFont="1" applyAlignment="1" applyProtection="1">
      <alignment vertical="center"/>
    </xf>
    <xf numFmtId="0" fontId="20" fillId="0" borderId="0" xfId="0" applyFont="1" applyAlignment="1">
      <alignment vertical="center"/>
    </xf>
    <xf numFmtId="169" fontId="36" fillId="0" borderId="0" xfId="1" applyNumberFormat="1" applyFont="1" applyAlignment="1" applyProtection="1">
      <alignment vertical="center"/>
    </xf>
    <xf numFmtId="43" fontId="36" fillId="0" borderId="0" xfId="1" applyFont="1" applyAlignment="1" applyProtection="1">
      <alignment vertical="center"/>
    </xf>
    <xf numFmtId="0" fontId="19" fillId="0" borderId="0" xfId="0" applyFont="1" applyAlignment="1">
      <alignment vertical="center"/>
    </xf>
    <xf numFmtId="0" fontId="11" fillId="5" borderId="0" xfId="0" applyFont="1" applyFill="1" applyAlignment="1">
      <alignment horizontal="left" vertical="center"/>
    </xf>
    <xf numFmtId="0" fontId="5" fillId="5" borderId="3" xfId="0" applyFont="1" applyFill="1" applyBorder="1" applyAlignment="1">
      <alignment vertical="center"/>
    </xf>
    <xf numFmtId="0" fontId="5" fillId="5" borderId="6" xfId="0" applyFont="1" applyFill="1" applyBorder="1" applyAlignment="1">
      <alignment vertical="center"/>
    </xf>
    <xf numFmtId="0" fontId="6" fillId="0" borderId="0" xfId="0" applyFont="1" applyAlignment="1">
      <alignment vertical="center"/>
    </xf>
    <xf numFmtId="0" fontId="15" fillId="0" borderId="0" xfId="0" applyFont="1" applyAlignment="1">
      <alignment vertical="center"/>
    </xf>
    <xf numFmtId="0" fontId="6" fillId="0" borderId="8" xfId="0" applyFont="1" applyBorder="1" applyAlignment="1">
      <alignment vertical="center"/>
    </xf>
    <xf numFmtId="0" fontId="11" fillId="5" borderId="6" xfId="0" applyFont="1" applyFill="1" applyBorder="1" applyAlignment="1">
      <alignment vertical="center"/>
    </xf>
    <xf numFmtId="0" fontId="6" fillId="0" borderId="9" xfId="0" applyFont="1" applyBorder="1" applyAlignment="1">
      <alignment vertical="center"/>
    </xf>
    <xf numFmtId="0" fontId="5" fillId="5" borderId="0" xfId="0" applyFont="1" applyFill="1" applyAlignment="1">
      <alignment vertical="center"/>
    </xf>
    <xf numFmtId="0" fontId="12" fillId="0" borderId="0" xfId="0" applyFont="1"/>
    <xf numFmtId="0" fontId="12" fillId="0" borderId="0" xfId="0" applyFont="1" applyAlignment="1">
      <alignment vertical="center"/>
    </xf>
    <xf numFmtId="169" fontId="12" fillId="0" borderId="0" xfId="1" applyNumberFormat="1" applyFont="1" applyAlignment="1" applyProtection="1">
      <alignment vertical="center"/>
    </xf>
    <xf numFmtId="0" fontId="14" fillId="0" borderId="0" xfId="0" applyFont="1" applyAlignment="1">
      <alignment vertical="center"/>
    </xf>
    <xf numFmtId="0" fontId="19" fillId="0" borderId="0" xfId="0" applyFont="1" applyAlignment="1">
      <alignment horizontal="left" vertical="center"/>
    </xf>
    <xf numFmtId="168" fontId="6" fillId="0" borderId="0" xfId="0" applyNumberFormat="1" applyFont="1" applyAlignment="1">
      <alignment horizontal="left" vertical="center"/>
    </xf>
    <xf numFmtId="0" fontId="11" fillId="5" borderId="3" xfId="0" applyFont="1" applyFill="1" applyBorder="1" applyAlignment="1">
      <alignment vertical="center"/>
    </xf>
    <xf numFmtId="169" fontId="6" fillId="0" borderId="1" xfId="1" applyNumberFormat="1" applyFont="1" applyBorder="1" applyAlignment="1" applyProtection="1">
      <alignment horizontal="center" vertical="center"/>
    </xf>
    <xf numFmtId="0" fontId="12" fillId="0" borderId="3" xfId="0" applyFont="1" applyBorder="1"/>
    <xf numFmtId="0" fontId="11" fillId="5" borderId="0" xfId="0" applyFont="1" applyFill="1" applyAlignment="1">
      <alignment vertical="center"/>
    </xf>
    <xf numFmtId="0" fontId="23" fillId="0" borderId="0" xfId="0" applyFont="1" applyAlignment="1">
      <alignment vertical="center"/>
    </xf>
    <xf numFmtId="0" fontId="26" fillId="0" borderId="0" xfId="3" applyFont="1" applyAlignment="1">
      <alignment vertical="center"/>
    </xf>
    <xf numFmtId="0" fontId="8" fillId="5" borderId="0" xfId="0" applyFont="1" applyFill="1" applyAlignment="1">
      <alignment vertical="center"/>
    </xf>
    <xf numFmtId="0" fontId="37" fillId="5" borderId="0" xfId="0" applyFont="1" applyFill="1" applyAlignment="1">
      <alignment vertical="center"/>
    </xf>
    <xf numFmtId="0" fontId="32" fillId="0" borderId="0" xfId="0" applyFont="1" applyAlignment="1">
      <alignment vertical="center"/>
    </xf>
    <xf numFmtId="0" fontId="26" fillId="0" borderId="0" xfId="0" applyFont="1" applyAlignment="1">
      <alignment vertical="center"/>
    </xf>
    <xf numFmtId="0" fontId="12" fillId="0" borderId="17" xfId="0" applyFont="1" applyBorder="1" applyAlignment="1">
      <alignment vertical="center"/>
    </xf>
    <xf numFmtId="0" fontId="15" fillId="0" borderId="0" xfId="0" applyFont="1" applyAlignment="1">
      <alignment horizontal="center" vertical="center"/>
    </xf>
    <xf numFmtId="0" fontId="31" fillId="0" borderId="0" xfId="0" applyFont="1" applyAlignment="1">
      <alignment vertical="center"/>
    </xf>
    <xf numFmtId="0" fontId="6" fillId="0" borderId="17" xfId="0" applyFont="1" applyBorder="1" applyAlignment="1">
      <alignment vertical="center"/>
    </xf>
    <xf numFmtId="0" fontId="0" fillId="0" borderId="0" xfId="0" applyAlignment="1">
      <alignment horizontal="center"/>
    </xf>
    <xf numFmtId="43" fontId="0" fillId="0" borderId="0" xfId="1" applyFont="1" applyProtection="1"/>
    <xf numFmtId="0" fontId="49" fillId="0" borderId="0" xfId="0" applyFont="1"/>
    <xf numFmtId="166" fontId="12" fillId="0" borderId="0" xfId="0" applyNumberFormat="1" applyFont="1"/>
    <xf numFmtId="0" fontId="27" fillId="0" borderId="0" xfId="0" applyFont="1"/>
    <xf numFmtId="0" fontId="27" fillId="0" borderId="0" xfId="0" applyFont="1" applyAlignment="1">
      <alignment horizontal="center"/>
    </xf>
    <xf numFmtId="0" fontId="27" fillId="0" borderId="0" xfId="0" applyFont="1" applyAlignment="1">
      <alignment vertical="center"/>
    </xf>
    <xf numFmtId="0" fontId="27" fillId="0" borderId="0" xfId="0" applyFont="1" applyAlignment="1">
      <alignment horizontal="center" vertical="center"/>
    </xf>
    <xf numFmtId="0" fontId="50" fillId="0" borderId="0" xfId="0" applyFont="1"/>
    <xf numFmtId="0" fontId="29" fillId="0" borderId="0" xfId="0" applyFont="1" applyAlignment="1">
      <alignment horizontal="center" vertical="center"/>
    </xf>
    <xf numFmtId="0" fontId="22" fillId="0" borderId="0" xfId="0" applyFont="1"/>
    <xf numFmtId="0" fontId="30" fillId="0" borderId="0" xfId="0" applyFont="1"/>
    <xf numFmtId="0" fontId="22" fillId="0" borderId="0" xfId="0" applyFont="1" applyAlignment="1">
      <alignment vertical="center"/>
    </xf>
    <xf numFmtId="0" fontId="22" fillId="0" borderId="0" xfId="0" applyFont="1" applyAlignment="1">
      <alignment horizontal="center" vertical="center"/>
    </xf>
    <xf numFmtId="43" fontId="22" fillId="0" borderId="0" xfId="1" applyFont="1" applyAlignment="1" applyProtection="1">
      <alignment vertical="center"/>
    </xf>
    <xf numFmtId="0" fontId="16" fillId="0" borderId="0" xfId="0" applyFont="1" applyAlignment="1">
      <alignment vertical="center"/>
    </xf>
    <xf numFmtId="43" fontId="30" fillId="0" borderId="0" xfId="1" applyFont="1" applyAlignment="1" applyProtection="1">
      <alignment vertical="center"/>
    </xf>
    <xf numFmtId="0" fontId="11" fillId="5" borderId="3" xfId="0" applyFont="1" applyFill="1" applyBorder="1" applyAlignment="1">
      <alignment horizontal="left" vertical="center"/>
    </xf>
    <xf numFmtId="0" fontId="59" fillId="0" borderId="0" xfId="0" applyFont="1" applyAlignment="1">
      <alignment vertical="center"/>
    </xf>
    <xf numFmtId="0" fontId="59" fillId="0" borderId="0" xfId="0" applyFont="1"/>
    <xf numFmtId="0" fontId="61" fillId="0" borderId="0" xfId="0" applyFont="1"/>
    <xf numFmtId="0" fontId="60" fillId="0" borderId="0" xfId="0" applyFont="1" applyAlignment="1">
      <alignment vertical="center"/>
    </xf>
    <xf numFmtId="0" fontId="60" fillId="0" borderId="0" xfId="0" applyFont="1"/>
    <xf numFmtId="176" fontId="60" fillId="0" borderId="0" xfId="0" applyNumberFormat="1" applyFont="1"/>
    <xf numFmtId="0" fontId="7" fillId="0" borderId="0" xfId="0" applyFont="1" applyAlignment="1">
      <alignment vertical="center"/>
    </xf>
    <xf numFmtId="0" fontId="7" fillId="0" borderId="0" xfId="0" applyFont="1"/>
    <xf numFmtId="0" fontId="10" fillId="0" borderId="0" xfId="0" applyFont="1" applyAlignment="1">
      <alignment vertical="center"/>
    </xf>
    <xf numFmtId="0" fontId="10" fillId="0" borderId="0" xfId="0" applyFont="1"/>
    <xf numFmtId="0" fontId="51" fillId="0" borderId="0" xfId="0" applyFont="1"/>
    <xf numFmtId="0" fontId="22" fillId="0" borderId="0" xfId="0" applyFont="1" applyAlignment="1">
      <alignment horizontal="left" vertical="center"/>
    </xf>
    <xf numFmtId="0" fontId="7" fillId="0" borderId="0" xfId="0" applyFont="1" applyAlignment="1">
      <alignment horizontal="center" vertical="center"/>
    </xf>
    <xf numFmtId="177" fontId="7" fillId="0" borderId="0" xfId="0" applyNumberFormat="1" applyFont="1" applyAlignment="1">
      <alignment vertical="center"/>
    </xf>
    <xf numFmtId="0" fontId="20" fillId="5" borderId="0" xfId="0" applyFont="1" applyFill="1" applyAlignment="1">
      <alignment vertical="center"/>
    </xf>
    <xf numFmtId="0" fontId="20" fillId="0" borderId="0" xfId="0" applyFont="1" applyAlignment="1">
      <alignment horizontal="center" vertical="center"/>
    </xf>
    <xf numFmtId="0" fontId="0" fillId="0" borderId="0" xfId="0" applyAlignment="1">
      <alignment vertical="center"/>
    </xf>
    <xf numFmtId="0" fontId="0" fillId="0" borderId="0" xfId="0" applyAlignment="1">
      <alignment horizontal="center" vertical="center"/>
    </xf>
    <xf numFmtId="0" fontId="22" fillId="0" borderId="0" xfId="3" applyFont="1" applyAlignment="1">
      <alignment vertical="center"/>
    </xf>
    <xf numFmtId="0" fontId="8" fillId="5" borderId="0" xfId="0" applyFont="1" applyFill="1" applyAlignment="1">
      <alignment horizontal="left" vertical="center"/>
    </xf>
    <xf numFmtId="0" fontId="58" fillId="5" borderId="0" xfId="0" applyFont="1" applyFill="1" applyAlignment="1">
      <alignment horizontal="left" vertical="center"/>
    </xf>
    <xf numFmtId="0" fontId="38" fillId="0" borderId="0" xfId="0" applyFont="1" applyAlignment="1">
      <alignment horizontal="left" vertical="center"/>
    </xf>
    <xf numFmtId="177" fontId="4" fillId="0" borderId="0" xfId="0" applyNumberFormat="1" applyFont="1"/>
    <xf numFmtId="177" fontId="7" fillId="0" borderId="0" xfId="0" applyNumberFormat="1" applyFont="1"/>
    <xf numFmtId="0" fontId="12" fillId="0" borderId="0" xfId="0" applyFont="1" applyAlignment="1">
      <alignment horizontal="center"/>
    </xf>
    <xf numFmtId="43" fontId="15" fillId="0" borderId="0" xfId="1" applyFont="1" applyBorder="1" applyAlignment="1" applyProtection="1">
      <alignment vertical="center"/>
    </xf>
    <xf numFmtId="0" fontId="12" fillId="0" borderId="18" xfId="0" applyFont="1" applyBorder="1"/>
    <xf numFmtId="0" fontId="8" fillId="5" borderId="81" xfId="0" applyFont="1" applyFill="1" applyBorder="1" applyAlignment="1">
      <alignment horizontal="center" vertical="center"/>
    </xf>
    <xf numFmtId="166" fontId="14" fillId="0" borderId="0" xfId="0" applyNumberFormat="1" applyFont="1"/>
    <xf numFmtId="0" fontId="8" fillId="5" borderId="81" xfId="0" applyFont="1" applyFill="1" applyBorder="1"/>
    <xf numFmtId="0" fontId="8" fillId="5" borderId="0" xfId="0" applyFont="1" applyFill="1" applyAlignment="1">
      <alignment horizontal="center" vertical="center"/>
    </xf>
    <xf numFmtId="166" fontId="14" fillId="0" borderId="0" xfId="0" applyNumberFormat="1" applyFont="1" applyAlignment="1">
      <alignment vertical="center"/>
    </xf>
    <xf numFmtId="0" fontId="34" fillId="0" borderId="0" xfId="0" applyFont="1" applyAlignment="1">
      <alignment vertical="center"/>
    </xf>
    <xf numFmtId="0" fontId="34" fillId="0" borderId="0" xfId="0" applyFont="1" applyAlignment="1">
      <alignment horizontal="center" vertical="center"/>
    </xf>
    <xf numFmtId="0" fontId="35" fillId="0" borderId="0" xfId="0" applyFont="1" applyAlignment="1">
      <alignment vertical="center"/>
    </xf>
    <xf numFmtId="0" fontId="35" fillId="0" borderId="0" xfId="0" applyFont="1" applyAlignment="1">
      <alignment horizontal="center" vertical="center"/>
    </xf>
    <xf numFmtId="0" fontId="62" fillId="0" borderId="0" xfId="0" applyFont="1" applyAlignment="1">
      <alignment vertical="center"/>
    </xf>
    <xf numFmtId="0" fontId="62" fillId="0" borderId="0" xfId="0" applyFont="1"/>
    <xf numFmtId="167" fontId="62" fillId="0" borderId="0" xfId="0" applyNumberFormat="1" applyFont="1" applyAlignment="1">
      <alignment horizontal="center"/>
    </xf>
    <xf numFmtId="10" fontId="62" fillId="0" borderId="0" xfId="0" applyNumberFormat="1" applyFont="1" applyAlignment="1">
      <alignment horizontal="center"/>
    </xf>
    <xf numFmtId="49" fontId="62" fillId="0" borderId="0" xfId="0" applyNumberFormat="1" applyFont="1" applyAlignment="1">
      <alignment horizontal="center"/>
    </xf>
    <xf numFmtId="0" fontId="6" fillId="0" borderId="43" xfId="0" applyFont="1" applyBorder="1" applyAlignment="1">
      <alignment horizontal="center" vertical="center"/>
    </xf>
    <xf numFmtId="0" fontId="15" fillId="0" borderId="9" xfId="0" applyFont="1" applyBorder="1" applyAlignment="1">
      <alignment horizontal="center" vertical="center"/>
    </xf>
    <xf numFmtId="0" fontId="6" fillId="0" borderId="8" xfId="0" applyFont="1" applyBorder="1"/>
    <xf numFmtId="0" fontId="6" fillId="0" borderId="33" xfId="0" applyFont="1" applyBorder="1" applyAlignment="1">
      <alignment vertical="center"/>
    </xf>
    <xf numFmtId="0" fontId="6" fillId="0" borderId="43" xfId="0" applyFont="1" applyBorder="1" applyAlignment="1">
      <alignment vertical="center"/>
    </xf>
    <xf numFmtId="164" fontId="18" fillId="0" borderId="35" xfId="0" applyNumberFormat="1" applyFont="1" applyBorder="1" applyAlignment="1">
      <alignment horizontal="center" vertical="center"/>
    </xf>
    <xf numFmtId="0" fontId="6" fillId="0" borderId="35" xfId="0" applyFont="1" applyBorder="1" applyAlignment="1">
      <alignment vertical="center"/>
    </xf>
    <xf numFmtId="164" fontId="18" fillId="0" borderId="9" xfId="0" applyNumberFormat="1" applyFont="1" applyBorder="1" applyAlignment="1">
      <alignment horizontal="center" vertical="center"/>
    </xf>
    <xf numFmtId="0" fontId="12" fillId="0" borderId="0" xfId="0" applyFont="1" applyAlignment="1">
      <alignment horizontal="center" vertical="center"/>
    </xf>
    <xf numFmtId="0" fontId="12" fillId="0" borderId="57" xfId="0" applyFont="1" applyBorder="1" applyAlignment="1">
      <alignment vertical="center"/>
    </xf>
    <xf numFmtId="0" fontId="32" fillId="0" borderId="14" xfId="0" applyFont="1" applyBorder="1" applyAlignment="1">
      <alignment vertical="center"/>
    </xf>
    <xf numFmtId="43" fontId="32" fillId="0" borderId="0" xfId="1" applyFont="1" applyAlignment="1" applyProtection="1">
      <alignment vertical="center"/>
    </xf>
    <xf numFmtId="0" fontId="8" fillId="5" borderId="3" xfId="0" applyFont="1" applyFill="1" applyBorder="1" applyAlignment="1">
      <alignment horizontal="left" vertical="center"/>
    </xf>
    <xf numFmtId="0" fontId="37" fillId="5" borderId="3" xfId="0" applyFont="1" applyFill="1" applyBorder="1" applyAlignment="1">
      <alignment vertical="center"/>
    </xf>
    <xf numFmtId="0" fontId="14" fillId="0" borderId="0" xfId="0" applyFont="1" applyAlignment="1">
      <alignment horizontal="center" vertical="center"/>
    </xf>
    <xf numFmtId="0" fontId="14" fillId="0" borderId="9" xfId="0" applyFont="1" applyBorder="1" applyAlignment="1">
      <alignment vertical="center"/>
    </xf>
    <xf numFmtId="0" fontId="38" fillId="0" borderId="0" xfId="0" applyFont="1" applyAlignment="1">
      <alignment vertical="center"/>
    </xf>
    <xf numFmtId="0" fontId="20" fillId="5" borderId="6" xfId="0" applyFont="1" applyFill="1" applyBorder="1" applyAlignment="1">
      <alignment horizontal="left" vertical="center"/>
    </xf>
    <xf numFmtId="0" fontId="39" fillId="5" borderId="6" xfId="0" applyFont="1" applyFill="1" applyBorder="1" applyAlignment="1">
      <alignment vertical="center"/>
    </xf>
    <xf numFmtId="0" fontId="1" fillId="0" borderId="0" xfId="0" applyFont="1"/>
    <xf numFmtId="0" fontId="1" fillId="0" borderId="0" xfId="0" applyFont="1" applyAlignment="1">
      <alignment vertical="center"/>
    </xf>
    <xf numFmtId="9" fontId="33" fillId="0" borderId="5" xfId="2" applyFont="1" applyBorder="1" applyAlignment="1" applyProtection="1">
      <alignment horizontal="center" vertical="center"/>
    </xf>
    <xf numFmtId="0" fontId="17" fillId="0" borderId="0" xfId="0" applyFont="1" applyAlignment="1">
      <alignment horizontal="left" vertical="center"/>
    </xf>
    <xf numFmtId="0" fontId="32" fillId="0" borderId="3" xfId="0" applyFont="1" applyBorder="1" applyAlignment="1">
      <alignment vertical="center"/>
    </xf>
    <xf numFmtId="168" fontId="12" fillId="0" borderId="0" xfId="0" applyNumberFormat="1" applyFont="1" applyAlignment="1">
      <alignment horizontal="left" vertical="center"/>
    </xf>
    <xf numFmtId="0" fontId="20" fillId="5" borderId="6" xfId="0" applyFont="1" applyFill="1" applyBorder="1" applyAlignment="1">
      <alignment vertical="center"/>
    </xf>
    <xf numFmtId="170" fontId="12" fillId="0" borderId="5" xfId="0" applyNumberFormat="1" applyFont="1" applyBorder="1" applyAlignment="1">
      <alignment horizontal="center" vertical="center"/>
    </xf>
    <xf numFmtId="0" fontId="12" fillId="0" borderId="9" xfId="0" applyFont="1" applyBorder="1" applyAlignment="1">
      <alignment vertical="center"/>
    </xf>
    <xf numFmtId="0" fontId="20" fillId="5" borderId="58" xfId="0" applyFont="1" applyFill="1" applyBorder="1" applyAlignment="1">
      <alignment vertical="center"/>
    </xf>
    <xf numFmtId="0" fontId="39" fillId="5" borderId="58" xfId="0" applyFont="1" applyFill="1" applyBorder="1" applyAlignment="1">
      <alignment vertical="center"/>
    </xf>
    <xf numFmtId="170" fontId="12" fillId="0" borderId="7" xfId="0" applyNumberFormat="1" applyFont="1" applyBorder="1" applyAlignment="1">
      <alignment horizontal="center" vertical="center"/>
    </xf>
    <xf numFmtId="0" fontId="17" fillId="0" borderId="58" xfId="0" applyFont="1" applyBorder="1" applyAlignment="1">
      <alignment horizontal="left" vertical="center"/>
    </xf>
    <xf numFmtId="0" fontId="32" fillId="0" borderId="58" xfId="0" applyFont="1" applyBorder="1" applyAlignment="1">
      <alignment vertical="center"/>
    </xf>
    <xf numFmtId="0" fontId="14" fillId="0" borderId="10" xfId="0" applyFont="1" applyBorder="1" applyAlignment="1">
      <alignment vertical="center"/>
    </xf>
    <xf numFmtId="9" fontId="14" fillId="0" borderId="7" xfId="0" applyNumberFormat="1" applyFont="1" applyBorder="1" applyAlignment="1">
      <alignment horizontal="center" vertical="center"/>
    </xf>
    <xf numFmtId="0" fontId="12" fillId="0" borderId="5" xfId="0" applyFont="1" applyBorder="1" applyAlignment="1">
      <alignment vertical="center"/>
    </xf>
    <xf numFmtId="0" fontId="14" fillId="0" borderId="5" xfId="0" applyFont="1" applyBorder="1" applyAlignment="1">
      <alignment vertical="center"/>
    </xf>
    <xf numFmtId="177" fontId="0" fillId="0" borderId="0" xfId="0" applyNumberFormat="1"/>
    <xf numFmtId="0" fontId="38" fillId="5" borderId="0" xfId="0" applyFont="1" applyFill="1" applyAlignment="1">
      <alignment vertical="center"/>
    </xf>
    <xf numFmtId="0" fontId="53" fillId="0" borderId="0" xfId="0" applyFont="1" applyAlignment="1">
      <alignment vertical="center"/>
    </xf>
    <xf numFmtId="0" fontId="38" fillId="0" borderId="0" xfId="0" applyFont="1" applyAlignment="1">
      <alignment horizontal="center" vertical="center"/>
    </xf>
    <xf numFmtId="43" fontId="38" fillId="0" borderId="0" xfId="1" applyFont="1" applyBorder="1" applyAlignment="1" applyProtection="1">
      <alignment vertical="center"/>
    </xf>
    <xf numFmtId="171" fontId="38" fillId="0" borderId="0" xfId="0" applyNumberFormat="1" applyFont="1" applyAlignment="1">
      <alignment horizontal="center" vertical="center"/>
    </xf>
    <xf numFmtId="0" fontId="32" fillId="0" borderId="0" xfId="0" applyFont="1" applyAlignment="1">
      <alignment horizontal="center" vertical="center"/>
    </xf>
    <xf numFmtId="0" fontId="43" fillId="0" borderId="0" xfId="0" applyFont="1" applyAlignment="1">
      <alignment vertical="center"/>
    </xf>
    <xf numFmtId="0" fontId="32" fillId="0" borderId="18" xfId="0" applyFont="1" applyBorder="1" applyAlignment="1">
      <alignment vertical="center"/>
    </xf>
    <xf numFmtId="0" fontId="32" fillId="0" borderId="17" xfId="0" applyFont="1" applyBorder="1" applyAlignment="1">
      <alignment vertical="center"/>
    </xf>
    <xf numFmtId="43" fontId="32" fillId="0" borderId="0" xfId="1" applyFont="1" applyProtection="1"/>
    <xf numFmtId="172" fontId="4" fillId="0" borderId="0" xfId="0" applyNumberFormat="1" applyFont="1"/>
    <xf numFmtId="43" fontId="2" fillId="0" borderId="0" xfId="1" applyFont="1" applyProtection="1"/>
    <xf numFmtId="166" fontId="6" fillId="0" borderId="81" xfId="0" applyNumberFormat="1" applyFont="1" applyBorder="1" applyAlignment="1">
      <alignment horizontal="center" vertical="center"/>
    </xf>
    <xf numFmtId="166" fontId="12" fillId="0" borderId="0" xfId="0" applyNumberFormat="1" applyFont="1" applyAlignment="1">
      <alignment vertical="center"/>
    </xf>
    <xf numFmtId="0" fontId="8" fillId="5" borderId="81" xfId="0" applyFont="1" applyFill="1" applyBorder="1" applyAlignment="1">
      <alignment vertical="center"/>
    </xf>
    <xf numFmtId="9" fontId="19" fillId="0" borderId="1" xfId="2" applyFont="1" applyBorder="1" applyAlignment="1" applyProtection="1">
      <alignment horizontal="center" vertical="center"/>
    </xf>
    <xf numFmtId="0" fontId="38" fillId="0" borderId="0" xfId="0" applyFont="1"/>
    <xf numFmtId="9" fontId="18" fillId="0" borderId="1" xfId="2" applyFont="1" applyBorder="1" applyAlignment="1" applyProtection="1">
      <alignment horizontal="center" vertical="center"/>
    </xf>
    <xf numFmtId="170" fontId="6" fillId="0" borderId="1" xfId="0" applyNumberFormat="1" applyFont="1" applyBorder="1" applyAlignment="1">
      <alignment horizontal="center" vertical="center"/>
    </xf>
    <xf numFmtId="0" fontId="15" fillId="0" borderId="1" xfId="0" applyFont="1" applyBorder="1" applyAlignment="1">
      <alignment horizontal="center" vertical="center"/>
    </xf>
    <xf numFmtId="0" fontId="5" fillId="5" borderId="6" xfId="0" applyFont="1" applyFill="1" applyBorder="1" applyAlignment="1">
      <alignment horizontal="left" vertical="center"/>
    </xf>
    <xf numFmtId="0" fontId="40" fillId="0" borderId="0" xfId="0" applyFont="1" applyAlignment="1">
      <alignment vertical="center"/>
    </xf>
    <xf numFmtId="0" fontId="7" fillId="0" borderId="0" xfId="0" applyFont="1" applyAlignment="1">
      <alignment horizontal="center"/>
    </xf>
    <xf numFmtId="0" fontId="14" fillId="5" borderId="0" xfId="0" applyFont="1" applyFill="1" applyAlignment="1">
      <alignment vertical="center"/>
    </xf>
    <xf numFmtId="177" fontId="14" fillId="0" borderId="0" xfId="0" applyNumberFormat="1" applyFont="1" applyAlignment="1">
      <alignment vertical="center"/>
    </xf>
    <xf numFmtId="168" fontId="15" fillId="0" borderId="0" xfId="0" applyNumberFormat="1" applyFont="1" applyAlignment="1">
      <alignment horizontal="center" vertical="center"/>
    </xf>
    <xf numFmtId="171" fontId="15" fillId="0" borderId="0" xfId="0" applyNumberFormat="1" applyFont="1" applyAlignment="1">
      <alignment horizontal="center" vertical="center"/>
    </xf>
    <xf numFmtId="43" fontId="6" fillId="0" borderId="0" xfId="1" applyFont="1" applyAlignment="1" applyProtection="1">
      <alignment vertical="center"/>
    </xf>
    <xf numFmtId="166" fontId="12" fillId="0" borderId="81" xfId="0" applyNumberFormat="1" applyFont="1" applyBorder="1" applyAlignment="1">
      <alignment horizontal="center" vertical="center"/>
    </xf>
    <xf numFmtId="0" fontId="8" fillId="5" borderId="82" xfId="0" applyFont="1" applyFill="1" applyBorder="1" applyAlignment="1">
      <alignment vertical="center"/>
    </xf>
    <xf numFmtId="0" fontId="19" fillId="0" borderId="0" xfId="0" applyFont="1" applyAlignment="1">
      <alignment horizontal="center" vertical="center"/>
    </xf>
    <xf numFmtId="0" fontId="63" fillId="0" borderId="0" xfId="0" applyFont="1"/>
    <xf numFmtId="0" fontId="64" fillId="0" borderId="0" xfId="0" applyFont="1" applyAlignment="1">
      <alignment vertical="center"/>
    </xf>
    <xf numFmtId="0" fontId="13" fillId="0" borderId="0" xfId="0" applyFont="1"/>
    <xf numFmtId="167" fontId="13" fillId="0" borderId="0" xfId="0" applyNumberFormat="1" applyFont="1" applyAlignment="1">
      <alignment horizontal="center"/>
    </xf>
    <xf numFmtId="10" fontId="13" fillId="0" borderId="0" xfId="0" applyNumberFormat="1" applyFont="1" applyAlignment="1">
      <alignment horizontal="center"/>
    </xf>
    <xf numFmtId="49" fontId="13" fillId="0" borderId="0" xfId="0" applyNumberFormat="1" applyFont="1" applyAlignment="1">
      <alignment horizontal="center"/>
    </xf>
    <xf numFmtId="168" fontId="33" fillId="0" borderId="1" xfId="0" applyNumberFormat="1" applyFont="1" applyBorder="1" applyAlignment="1">
      <alignment horizontal="center" vertical="center"/>
    </xf>
    <xf numFmtId="0" fontId="65" fillId="0" borderId="0" xfId="0" applyFont="1"/>
    <xf numFmtId="0" fontId="5" fillId="0" borderId="58" xfId="0" applyFont="1" applyBorder="1" applyAlignment="1">
      <alignment horizontal="left" vertical="center"/>
    </xf>
    <xf numFmtId="0" fontId="5" fillId="0" borderId="58" xfId="0" applyFont="1" applyBorder="1" applyAlignment="1">
      <alignment vertical="center"/>
    </xf>
    <xf numFmtId="168" fontId="18" fillId="0" borderId="0" xfId="0" applyNumberFormat="1" applyFont="1" applyAlignment="1">
      <alignment horizontal="left" vertical="center"/>
    </xf>
    <xf numFmtId="0" fontId="5" fillId="5" borderId="0" xfId="0" applyFont="1" applyFill="1" applyAlignment="1">
      <alignment horizontal="left" vertical="center"/>
    </xf>
    <xf numFmtId="0" fontId="18" fillId="0" borderId="0" xfId="0" applyFont="1" applyAlignment="1">
      <alignment vertical="center"/>
    </xf>
    <xf numFmtId="0" fontId="48" fillId="0" borderId="0" xfId="3" applyFont="1" applyAlignment="1">
      <alignment vertical="center"/>
    </xf>
    <xf numFmtId="0" fontId="60" fillId="0" borderId="0" xfId="0" applyFont="1" applyAlignment="1">
      <alignment horizontal="center"/>
    </xf>
    <xf numFmtId="0" fontId="15" fillId="5" borderId="0" xfId="0" applyFont="1" applyFill="1" applyAlignment="1">
      <alignment vertical="center"/>
    </xf>
    <xf numFmtId="43" fontId="14" fillId="0" borderId="0" xfId="1" applyFont="1" applyBorder="1" applyAlignment="1" applyProtection="1">
      <alignment vertical="center"/>
    </xf>
    <xf numFmtId="0" fontId="12" fillId="0" borderId="18" xfId="0" applyFont="1" applyBorder="1" applyAlignment="1">
      <alignment vertical="center"/>
    </xf>
    <xf numFmtId="0" fontId="12" fillId="0" borderId="0" xfId="0" applyFont="1" applyAlignment="1">
      <alignment horizontal="left" vertical="center"/>
    </xf>
    <xf numFmtId="43" fontId="12" fillId="0" borderId="0" xfId="1" applyFont="1" applyProtection="1"/>
    <xf numFmtId="169" fontId="11" fillId="0" borderId="16" xfId="1" applyNumberFormat="1" applyFont="1" applyBorder="1" applyAlignment="1" applyProtection="1">
      <alignment horizontal="center" vertical="center"/>
    </xf>
    <xf numFmtId="0" fontId="12" fillId="0" borderId="84" xfId="0" applyFont="1" applyBorder="1"/>
    <xf numFmtId="0" fontId="48" fillId="0" borderId="0" xfId="0" applyFont="1" applyAlignment="1">
      <alignment vertical="center"/>
    </xf>
    <xf numFmtId="0" fontId="2" fillId="0" borderId="0" xfId="0" applyFont="1"/>
    <xf numFmtId="0" fontId="70" fillId="0" borderId="0" xfId="0" applyFont="1"/>
    <xf numFmtId="169" fontId="19" fillId="0" borderId="0" xfId="1" applyNumberFormat="1" applyFont="1" applyBorder="1" applyAlignment="1" applyProtection="1">
      <alignment horizontal="center" vertical="center"/>
    </xf>
    <xf numFmtId="0" fontId="33" fillId="0" borderId="0" xfId="0" applyFont="1" applyAlignment="1">
      <alignment vertical="center"/>
    </xf>
    <xf numFmtId="9" fontId="6" fillId="0" borderId="1" xfId="0" applyNumberFormat="1" applyFont="1" applyBorder="1" applyAlignment="1">
      <alignment horizontal="center" vertical="center"/>
    </xf>
    <xf numFmtId="43" fontId="38" fillId="0" borderId="0" xfId="1" applyFont="1" applyFill="1" applyBorder="1" applyAlignment="1" applyProtection="1">
      <alignment vertical="center"/>
    </xf>
    <xf numFmtId="0" fontId="6" fillId="0" borderId="1" xfId="0" applyFont="1" applyBorder="1" applyAlignment="1">
      <alignment horizontal="center" vertical="center"/>
    </xf>
    <xf numFmtId="0" fontId="11" fillId="5" borderId="6" xfId="0" applyFont="1" applyFill="1" applyBorder="1" applyAlignment="1">
      <alignment horizontal="left" vertical="center"/>
    </xf>
    <xf numFmtId="0" fontId="5" fillId="5" borderId="3" xfId="0" applyFont="1" applyFill="1" applyBorder="1" applyAlignment="1">
      <alignment horizontal="left" vertical="center"/>
    </xf>
    <xf numFmtId="0" fontId="6" fillId="0" borderId="0" xfId="0" applyFont="1" applyAlignment="1">
      <alignment horizontal="center" vertical="center"/>
    </xf>
    <xf numFmtId="0" fontId="12" fillId="0" borderId="18" xfId="0" applyFont="1" applyBorder="1" applyAlignment="1">
      <alignment horizontal="center"/>
    </xf>
    <xf numFmtId="0" fontId="6" fillId="0" borderId="22" xfId="0" applyFont="1" applyBorder="1" applyAlignment="1">
      <alignment horizontal="center" vertical="center"/>
    </xf>
    <xf numFmtId="0" fontId="6" fillId="0" borderId="18" xfId="0" applyFont="1" applyBorder="1" applyAlignment="1">
      <alignment vertical="center"/>
    </xf>
    <xf numFmtId="0" fontId="5" fillId="5" borderId="81" xfId="0" applyFont="1" applyFill="1" applyBorder="1" applyAlignment="1">
      <alignment vertical="center"/>
    </xf>
    <xf numFmtId="43" fontId="12" fillId="0" borderId="0" xfId="1" applyFont="1" applyAlignment="1" applyProtection="1">
      <alignment vertical="center"/>
    </xf>
    <xf numFmtId="0" fontId="12" fillId="0" borderId="3" xfId="0" applyFont="1" applyBorder="1" applyAlignment="1">
      <alignment vertical="center"/>
    </xf>
    <xf numFmtId="0" fontId="12" fillId="0" borderId="6" xfId="0" applyFont="1" applyBorder="1" applyAlignment="1">
      <alignment vertical="center"/>
    </xf>
    <xf numFmtId="0" fontId="12" fillId="0" borderId="12" xfId="0" applyFont="1" applyBorder="1" applyAlignment="1">
      <alignment vertical="center"/>
    </xf>
    <xf numFmtId="170" fontId="17" fillId="0" borderId="0" xfId="2" applyNumberFormat="1" applyFont="1" applyBorder="1" applyAlignment="1" applyProtection="1">
      <alignment horizontal="center" vertical="center"/>
    </xf>
    <xf numFmtId="173" fontId="17" fillId="7" borderId="0" xfId="3" applyNumberFormat="1" applyFont="1" applyFill="1" applyAlignment="1">
      <alignment horizontal="center" vertical="center"/>
    </xf>
    <xf numFmtId="43" fontId="12" fillId="0" borderId="0" xfId="1" applyFont="1" applyBorder="1" applyAlignment="1" applyProtection="1">
      <alignment vertical="center"/>
    </xf>
    <xf numFmtId="0" fontId="46" fillId="0" borderId="0" xfId="0" applyFont="1" applyAlignment="1">
      <alignment vertical="center"/>
    </xf>
    <xf numFmtId="0" fontId="5" fillId="5" borderId="81" xfId="0" applyFont="1" applyFill="1" applyBorder="1" applyAlignment="1">
      <alignment horizontal="center" vertical="center"/>
    </xf>
    <xf numFmtId="0" fontId="8" fillId="0" borderId="0" xfId="0" applyFont="1" applyAlignment="1">
      <alignment vertical="center"/>
    </xf>
    <xf numFmtId="0" fontId="14" fillId="0" borderId="2" xfId="0" applyFont="1" applyBorder="1" applyAlignment="1">
      <alignment vertical="center"/>
    </xf>
    <xf numFmtId="164" fontId="14" fillId="0" borderId="0" xfId="0" applyNumberFormat="1" applyFont="1" applyAlignment="1">
      <alignment vertical="center"/>
    </xf>
    <xf numFmtId="0" fontId="14" fillId="0" borderId="0" xfId="0" applyFont="1" applyAlignment="1">
      <alignment horizontal="left" vertical="center"/>
    </xf>
    <xf numFmtId="0" fontId="8" fillId="0" borderId="0" xfId="0" applyFont="1" applyAlignment="1">
      <alignment horizontal="center" vertical="center"/>
    </xf>
    <xf numFmtId="17" fontId="17" fillId="0" borderId="0" xfId="0" applyNumberFormat="1" applyFont="1" applyAlignment="1">
      <alignment vertical="center"/>
    </xf>
    <xf numFmtId="164" fontId="20" fillId="0" borderId="0" xfId="0" applyNumberFormat="1" applyFont="1" applyAlignment="1">
      <alignment vertical="center"/>
    </xf>
    <xf numFmtId="0" fontId="33" fillId="0" borderId="0" xfId="0" applyFont="1" applyAlignment="1">
      <alignment horizontal="center" vertical="center"/>
    </xf>
    <xf numFmtId="17" fontId="17" fillId="0" borderId="0" xfId="0" applyNumberFormat="1" applyFont="1"/>
    <xf numFmtId="164" fontId="12" fillId="0" borderId="0" xfId="0" applyNumberFormat="1" applyFont="1"/>
    <xf numFmtId="164" fontId="20" fillId="0" borderId="0" xfId="0" applyNumberFormat="1" applyFont="1"/>
    <xf numFmtId="0" fontId="20" fillId="0" borderId="0" xfId="0" applyFont="1"/>
    <xf numFmtId="17" fontId="12" fillId="0" borderId="0" xfId="0" applyNumberFormat="1" applyFont="1"/>
    <xf numFmtId="0" fontId="20" fillId="0" borderId="0" xfId="0" applyFont="1" applyAlignment="1">
      <alignment horizontal="center"/>
    </xf>
    <xf numFmtId="0" fontId="54" fillId="0" borderId="31" xfId="0" applyFont="1" applyBorder="1" applyProtection="1">
      <protection locked="0"/>
    </xf>
    <xf numFmtId="0" fontId="54" fillId="0" borderId="0" xfId="0" applyFont="1" applyAlignment="1" applyProtection="1">
      <alignment horizontal="right"/>
      <protection locked="0"/>
    </xf>
    <xf numFmtId="0" fontId="54" fillId="0" borderId="0" xfId="0" applyFont="1" applyProtection="1">
      <protection locked="0"/>
    </xf>
    <xf numFmtId="0" fontId="56" fillId="0" borderId="0" xfId="0" applyFont="1" applyProtection="1">
      <protection locked="0"/>
    </xf>
    <xf numFmtId="0" fontId="5" fillId="5" borderId="81" xfId="0" applyFont="1" applyFill="1" applyBorder="1" applyAlignment="1" applyProtection="1">
      <alignment vertical="center"/>
      <protection locked="0"/>
    </xf>
    <xf numFmtId="166" fontId="44" fillId="0" borderId="0" xfId="0" applyNumberFormat="1" applyFont="1" applyAlignment="1" applyProtection="1">
      <alignment horizontal="center" vertical="center"/>
      <protection locked="0"/>
    </xf>
    <xf numFmtId="166" fontId="12" fillId="0" borderId="81" xfId="0" applyNumberFormat="1" applyFont="1" applyBorder="1" applyAlignment="1" applyProtection="1">
      <alignment horizontal="center" vertical="center"/>
      <protection locked="0"/>
    </xf>
    <xf numFmtId="0" fontId="34" fillId="0" borderId="0" xfId="0" applyFont="1" applyAlignment="1" applyProtection="1">
      <alignment vertical="center"/>
      <protection locked="0"/>
    </xf>
    <xf numFmtId="0" fontId="45" fillId="0" borderId="0" xfId="0" applyFont="1" applyAlignment="1" applyProtection="1">
      <alignment horizontal="center" vertical="center"/>
      <protection locked="0"/>
    </xf>
    <xf numFmtId="0" fontId="46" fillId="0" borderId="0" xfId="0" applyFont="1" applyAlignment="1" applyProtection="1">
      <alignment vertical="center"/>
      <protection locked="0"/>
    </xf>
    <xf numFmtId="43" fontId="46" fillId="0" borderId="0" xfId="1" applyFont="1" applyProtection="1">
      <protection locked="0"/>
    </xf>
    <xf numFmtId="0" fontId="39" fillId="0" borderId="0" xfId="0" applyFont="1" applyProtection="1">
      <protection locked="0"/>
    </xf>
    <xf numFmtId="43" fontId="47" fillId="0" borderId="0" xfId="1" applyFont="1" applyProtection="1">
      <protection locked="0"/>
    </xf>
    <xf numFmtId="0" fontId="6" fillId="0" borderId="0" xfId="0" applyFont="1" applyAlignment="1" applyProtection="1">
      <alignment horizontal="center" vertical="center"/>
      <protection locked="0"/>
    </xf>
    <xf numFmtId="0" fontId="20" fillId="5" borderId="3" xfId="0" applyFont="1" applyFill="1" applyBorder="1" applyAlignment="1" applyProtection="1">
      <alignment horizontal="left" vertical="center"/>
      <protection locked="0"/>
    </xf>
    <xf numFmtId="0" fontId="20" fillId="5" borderId="3" xfId="0" applyFont="1" applyFill="1" applyBorder="1" applyAlignment="1" applyProtection="1">
      <alignment vertical="center"/>
      <protection locked="0"/>
    </xf>
    <xf numFmtId="167" fontId="32" fillId="0" borderId="0" xfId="0" applyNumberFormat="1" applyFont="1" applyAlignment="1" applyProtection="1">
      <alignment horizontal="center"/>
      <protection locked="0"/>
    </xf>
    <xf numFmtId="10" fontId="32" fillId="0" borderId="0" xfId="0" applyNumberFormat="1" applyFont="1" applyAlignment="1" applyProtection="1">
      <alignment horizontal="center"/>
      <protection locked="0"/>
    </xf>
    <xf numFmtId="49" fontId="32" fillId="0" borderId="0" xfId="0" applyNumberFormat="1" applyFont="1" applyAlignment="1" applyProtection="1">
      <alignment horizontal="center"/>
      <protection locked="0"/>
    </xf>
    <xf numFmtId="0" fontId="11" fillId="5" borderId="6" xfId="0" applyFont="1" applyFill="1" applyBorder="1" applyAlignment="1" applyProtection="1">
      <alignment horizontal="left" vertical="center"/>
      <protection locked="0"/>
    </xf>
    <xf numFmtId="0" fontId="20" fillId="5" borderId="6" xfId="0" applyFont="1" applyFill="1" applyBorder="1" applyAlignment="1" applyProtection="1">
      <alignment horizontal="left" vertical="center"/>
      <protection locked="0"/>
    </xf>
    <xf numFmtId="0" fontId="20" fillId="5" borderId="6" xfId="0" applyFont="1" applyFill="1" applyBorder="1" applyAlignment="1" applyProtection="1">
      <alignment vertical="center"/>
      <protection locked="0"/>
    </xf>
    <xf numFmtId="0" fontId="6" fillId="0" borderId="67" xfId="0" applyFont="1" applyBorder="1" applyAlignment="1" applyProtection="1">
      <alignment vertical="center"/>
      <protection locked="0"/>
    </xf>
    <xf numFmtId="0" fontId="6" fillId="0" borderId="80" xfId="0" applyFont="1" applyBorder="1" applyAlignment="1" applyProtection="1">
      <alignment vertical="center"/>
      <protection locked="0"/>
    </xf>
    <xf numFmtId="0" fontId="6" fillId="0" borderId="68" xfId="0" applyFont="1" applyBorder="1" applyAlignment="1" applyProtection="1">
      <alignment vertical="center"/>
      <protection locked="0"/>
    </xf>
    <xf numFmtId="0" fontId="11" fillId="5" borderId="6" xfId="0" applyFont="1" applyFill="1" applyBorder="1" applyAlignment="1" applyProtection="1">
      <alignment vertical="center"/>
      <protection locked="0"/>
    </xf>
    <xf numFmtId="0" fontId="20" fillId="5" borderId="0" xfId="0" applyFont="1" applyFill="1" applyAlignment="1" applyProtection="1">
      <alignment horizontal="left" vertical="center"/>
      <protection locked="0"/>
    </xf>
    <xf numFmtId="0" fontId="20" fillId="5" borderId="0" xfId="0" applyFont="1" applyFill="1" applyAlignment="1" applyProtection="1">
      <alignment vertical="center"/>
      <protection locked="0"/>
    </xf>
    <xf numFmtId="43" fontId="32" fillId="0" borderId="0" xfId="1" applyFont="1" applyProtection="1">
      <protection locked="0"/>
    </xf>
    <xf numFmtId="168" fontId="18" fillId="0" borderId="5" xfId="0" applyNumberFormat="1" applyFont="1" applyBorder="1" applyAlignment="1" applyProtection="1">
      <alignment vertical="center"/>
      <protection locked="0"/>
    </xf>
    <xf numFmtId="0" fontId="14" fillId="0" borderId="0" xfId="0" applyFont="1" applyProtection="1">
      <protection locked="0"/>
    </xf>
    <xf numFmtId="0" fontId="8" fillId="5" borderId="7" xfId="0" applyFont="1" applyFill="1" applyBorder="1" applyAlignment="1" applyProtection="1">
      <alignment vertical="center"/>
      <protection locked="0"/>
    </xf>
    <xf numFmtId="0" fontId="8" fillId="5" borderId="8" xfId="0" applyFont="1" applyFill="1" applyBorder="1" applyAlignment="1" applyProtection="1">
      <alignment vertical="center"/>
      <protection locked="0"/>
    </xf>
    <xf numFmtId="0" fontId="37" fillId="5" borderId="8" xfId="0" applyFont="1" applyFill="1" applyBorder="1" applyProtection="1">
      <protection locked="0"/>
    </xf>
    <xf numFmtId="0" fontId="37" fillId="5" borderId="9" xfId="0" applyFont="1" applyFill="1" applyBorder="1" applyProtection="1">
      <protection locked="0"/>
    </xf>
    <xf numFmtId="168" fontId="18" fillId="0" borderId="28" xfId="0" applyNumberFormat="1" applyFont="1" applyBorder="1" applyAlignment="1" applyProtection="1">
      <alignment vertical="center"/>
      <protection locked="0"/>
    </xf>
    <xf numFmtId="0" fontId="6" fillId="0" borderId="5" xfId="0" applyFont="1" applyBorder="1" applyAlignment="1" applyProtection="1">
      <alignment horizontal="center" vertical="center"/>
      <protection locked="0"/>
    </xf>
    <xf numFmtId="0" fontId="6" fillId="0" borderId="0" xfId="0" applyFont="1" applyProtection="1">
      <protection locked="0"/>
    </xf>
    <xf numFmtId="0" fontId="6" fillId="0" borderId="34" xfId="0" applyFont="1" applyBorder="1" applyProtection="1">
      <protection locked="0"/>
    </xf>
    <xf numFmtId="0" fontId="6" fillId="0" borderId="33" xfId="0" applyFont="1" applyBorder="1" applyProtection="1">
      <protection locked="0"/>
    </xf>
    <xf numFmtId="0" fontId="6" fillId="0" borderId="35" xfId="0" applyFont="1" applyBorder="1" applyProtection="1">
      <protection locked="0"/>
    </xf>
    <xf numFmtId="0" fontId="19" fillId="0" borderId="0" xfId="0" applyFont="1" applyAlignment="1" applyProtection="1">
      <alignment horizontal="left" vertical="center"/>
      <protection locked="0"/>
    </xf>
    <xf numFmtId="168" fontId="6" fillId="0" borderId="19" xfId="0" applyNumberFormat="1" applyFont="1" applyBorder="1" applyAlignment="1" applyProtection="1">
      <alignment horizontal="left" vertical="center"/>
      <protection locked="0"/>
    </xf>
    <xf numFmtId="0" fontId="6" fillId="0" borderId="38" xfId="0" applyFont="1" applyBorder="1" applyAlignment="1" applyProtection="1">
      <alignment vertical="center"/>
      <protection locked="0"/>
    </xf>
    <xf numFmtId="0" fontId="6" fillId="0" borderId="28" xfId="0" applyFont="1" applyBorder="1" applyProtection="1">
      <protection locked="0"/>
    </xf>
    <xf numFmtId="0" fontId="6" fillId="0" borderId="0" xfId="0" applyFont="1" applyAlignment="1" applyProtection="1">
      <alignment horizontal="left"/>
      <protection locked="0"/>
    </xf>
    <xf numFmtId="0" fontId="6" fillId="0" borderId="22" xfId="0" applyFont="1" applyBorder="1" applyProtection="1">
      <protection locked="0"/>
    </xf>
    <xf numFmtId="0" fontId="62" fillId="0" borderId="0" xfId="0" applyFont="1" applyProtection="1">
      <protection locked="0"/>
    </xf>
    <xf numFmtId="0" fontId="11" fillId="5" borderId="3" xfId="0" applyFont="1" applyFill="1" applyBorder="1" applyAlignment="1" applyProtection="1">
      <alignment vertical="center"/>
      <protection locked="0"/>
    </xf>
    <xf numFmtId="170" fontId="6" fillId="0" borderId="5" xfId="0" applyNumberFormat="1" applyFont="1" applyBorder="1" applyAlignment="1" applyProtection="1">
      <alignment horizontal="center" vertical="center"/>
      <protection locked="0"/>
    </xf>
    <xf numFmtId="0" fontId="15" fillId="0" borderId="5" xfId="0" applyFont="1" applyBorder="1" applyAlignment="1" applyProtection="1">
      <alignment horizontal="center" vertical="center"/>
      <protection locked="0"/>
    </xf>
    <xf numFmtId="0" fontId="15" fillId="0" borderId="28" xfId="0" applyFont="1" applyBorder="1" applyProtection="1">
      <protection locked="0"/>
    </xf>
    <xf numFmtId="0" fontId="15" fillId="0" borderId="0" xfId="0" applyFont="1" applyAlignment="1" applyProtection="1">
      <alignment horizontal="center"/>
      <protection locked="0"/>
    </xf>
    <xf numFmtId="0" fontId="6" fillId="0" borderId="8" xfId="0" applyFont="1" applyBorder="1" applyProtection="1">
      <protection locked="0"/>
    </xf>
    <xf numFmtId="0" fontId="15" fillId="0" borderId="22" xfId="0" applyFont="1" applyBorder="1" applyProtection="1">
      <protection locked="0"/>
    </xf>
    <xf numFmtId="0" fontId="6" fillId="0" borderId="11" xfId="0" applyFont="1" applyBorder="1" applyAlignment="1" applyProtection="1">
      <alignment horizontal="center" vertical="center"/>
      <protection locked="0"/>
    </xf>
    <xf numFmtId="168" fontId="6" fillId="0" borderId="44" xfId="0" applyNumberFormat="1" applyFont="1" applyBorder="1" applyAlignment="1" applyProtection="1">
      <alignment horizontal="left" vertical="center"/>
      <protection locked="0"/>
    </xf>
    <xf numFmtId="0" fontId="6" fillId="0" borderId="9" xfId="0" applyFont="1" applyBorder="1" applyAlignment="1" applyProtection="1">
      <alignment vertical="center"/>
      <protection locked="0"/>
    </xf>
    <xf numFmtId="0" fontId="5" fillId="5" borderId="7" xfId="0" applyFont="1" applyFill="1" applyBorder="1" applyAlignment="1" applyProtection="1">
      <alignment horizontal="left"/>
      <protection locked="0"/>
    </xf>
    <xf numFmtId="0" fontId="5" fillId="5" borderId="8" xfId="0" applyFont="1" applyFill="1" applyBorder="1" applyAlignment="1" applyProtection="1">
      <alignment horizontal="left"/>
      <protection locked="0"/>
    </xf>
    <xf numFmtId="0" fontId="5" fillId="5" borderId="8" xfId="0" applyFont="1" applyFill="1" applyBorder="1" applyAlignment="1" applyProtection="1">
      <alignment horizontal="center"/>
      <protection locked="0"/>
    </xf>
    <xf numFmtId="0" fontId="5" fillId="5" borderId="8" xfId="0" applyFont="1" applyFill="1" applyBorder="1" applyProtection="1">
      <protection locked="0"/>
    </xf>
    <xf numFmtId="0" fontId="5" fillId="5" borderId="8" xfId="0" applyFont="1" applyFill="1" applyBorder="1" applyAlignment="1" applyProtection="1">
      <alignment vertical="center"/>
      <protection locked="0"/>
    </xf>
    <xf numFmtId="0" fontId="5" fillId="5" borderId="9" xfId="0" applyFont="1" applyFill="1" applyBorder="1" applyProtection="1">
      <protection locked="0"/>
    </xf>
    <xf numFmtId="0" fontId="15" fillId="0" borderId="40" xfId="0" applyFont="1" applyBorder="1" applyAlignment="1" applyProtection="1">
      <alignment horizontal="center" vertical="center"/>
      <protection locked="0"/>
    </xf>
    <xf numFmtId="168" fontId="6" fillId="0" borderId="0" xfId="0" applyNumberFormat="1" applyFont="1" applyAlignment="1" applyProtection="1">
      <alignment horizontal="left" vertical="center"/>
      <protection locked="0"/>
    </xf>
    <xf numFmtId="170" fontId="15" fillId="0" borderId="5" xfId="0" applyNumberFormat="1" applyFont="1" applyBorder="1" applyAlignment="1" applyProtection="1">
      <alignment horizontal="center" vertical="center"/>
      <protection locked="0"/>
    </xf>
    <xf numFmtId="0" fontId="15" fillId="0" borderId="37" xfId="0" applyFont="1" applyBorder="1" applyProtection="1">
      <protection locked="0"/>
    </xf>
    <xf numFmtId="0" fontId="6" fillId="0" borderId="19" xfId="0" applyFont="1" applyBorder="1" applyProtection="1">
      <protection locked="0"/>
    </xf>
    <xf numFmtId="0" fontId="6" fillId="0" borderId="38" xfId="0" applyFont="1" applyBorder="1" applyProtection="1">
      <protection locked="0"/>
    </xf>
    <xf numFmtId="0" fontId="5" fillId="0" borderId="0" xfId="0" applyFont="1" applyAlignment="1" applyProtection="1">
      <alignment vertical="center"/>
      <protection locked="0"/>
    </xf>
    <xf numFmtId="0" fontId="18" fillId="0" borderId="5" xfId="0" applyFont="1" applyBorder="1" applyAlignment="1" applyProtection="1">
      <alignment horizontal="center" vertical="center"/>
      <protection locked="0"/>
    </xf>
    <xf numFmtId="0" fontId="19" fillId="0" borderId="5" xfId="0" applyFont="1" applyBorder="1" applyAlignment="1" applyProtection="1">
      <alignment horizontal="center" vertical="center"/>
      <protection locked="0"/>
    </xf>
    <xf numFmtId="170" fontId="19" fillId="0" borderId="5" xfId="2" applyNumberFormat="1" applyFont="1" applyBorder="1" applyAlignment="1" applyProtection="1">
      <alignment horizontal="center" vertical="center"/>
      <protection locked="0"/>
    </xf>
    <xf numFmtId="168" fontId="6" fillId="0" borderId="5" xfId="1" applyNumberFormat="1" applyFont="1" applyBorder="1" applyAlignment="1" applyProtection="1">
      <alignment horizontal="center" vertical="center"/>
      <protection locked="0"/>
    </xf>
    <xf numFmtId="170" fontId="6" fillId="0" borderId="5" xfId="2" applyNumberFormat="1" applyFont="1" applyBorder="1" applyAlignment="1" applyProtection="1">
      <alignment horizontal="center" vertical="center"/>
      <protection locked="0"/>
    </xf>
    <xf numFmtId="0" fontId="42" fillId="0" borderId="0" xfId="0" applyFont="1" applyProtection="1">
      <protection locked="0"/>
    </xf>
    <xf numFmtId="0" fontId="6" fillId="0" borderId="0" xfId="0" applyFont="1" applyAlignment="1" applyProtection="1">
      <alignment horizontal="right"/>
      <protection locked="0"/>
    </xf>
    <xf numFmtId="0" fontId="19" fillId="0" borderId="0" xfId="3" applyFont="1" applyProtection="1">
      <protection locked="0"/>
    </xf>
    <xf numFmtId="0" fontId="6" fillId="0" borderId="0" xfId="0" applyFont="1" applyAlignment="1" applyProtection="1">
      <alignment horizontal="center"/>
      <protection locked="0"/>
    </xf>
    <xf numFmtId="0" fontId="48" fillId="0" borderId="0" xfId="3" applyFont="1" applyProtection="1">
      <protection locked="0"/>
    </xf>
    <xf numFmtId="0" fontId="15" fillId="5" borderId="0" xfId="0" applyFont="1" applyFill="1" applyAlignment="1" applyProtection="1">
      <alignment vertical="center"/>
      <protection locked="0"/>
    </xf>
    <xf numFmtId="0" fontId="31" fillId="0" borderId="0" xfId="0" applyFont="1" applyProtection="1">
      <protection locked="0"/>
    </xf>
    <xf numFmtId="43" fontId="6" fillId="0" borderId="0" xfId="1" applyFont="1" applyProtection="1">
      <protection locked="0"/>
    </xf>
    <xf numFmtId="0" fontId="48" fillId="0" borderId="0" xfId="0" applyFont="1" applyAlignment="1" applyProtection="1">
      <alignment vertical="center"/>
      <protection locked="0"/>
    </xf>
    <xf numFmtId="0" fontId="66" fillId="0" borderId="0" xfId="0" applyFont="1" applyAlignment="1" applyProtection="1">
      <alignment vertical="center"/>
      <protection locked="0"/>
    </xf>
    <xf numFmtId="0" fontId="15" fillId="0" borderId="0" xfId="0" applyFont="1" applyAlignment="1" applyProtection="1">
      <alignment vertical="center"/>
      <protection locked="0"/>
    </xf>
    <xf numFmtId="0" fontId="6" fillId="0" borderId="17" xfId="0" applyFont="1" applyBorder="1" applyProtection="1">
      <protection locked="0"/>
    </xf>
    <xf numFmtId="0" fontId="6" fillId="0" borderId="18" xfId="0" applyFont="1" applyBorder="1" applyAlignment="1" applyProtection="1">
      <alignment horizontal="center"/>
      <protection locked="0"/>
    </xf>
    <xf numFmtId="177" fontId="32" fillId="0" borderId="0" xfId="0" applyNumberFormat="1" applyFont="1" applyProtection="1">
      <protection locked="0"/>
    </xf>
    <xf numFmtId="0" fontId="46" fillId="0" borderId="0" xfId="0" applyFont="1" applyAlignment="1">
      <alignment horizontal="center" vertical="center"/>
    </xf>
    <xf numFmtId="0" fontId="6" fillId="0" borderId="8" xfId="0" applyFont="1" applyBorder="1" applyAlignment="1" applyProtection="1">
      <alignment vertical="center"/>
      <protection locked="0"/>
    </xf>
    <xf numFmtId="0" fontId="5" fillId="0" borderId="0" xfId="0" applyFont="1" applyAlignment="1">
      <alignment vertical="center"/>
    </xf>
    <xf numFmtId="0" fontId="15" fillId="0" borderId="18" xfId="0" applyFont="1" applyBorder="1" applyProtection="1">
      <protection locked="0"/>
    </xf>
    <xf numFmtId="0" fontId="6" fillId="0" borderId="27" xfId="0" applyFont="1" applyBorder="1" applyProtection="1">
      <protection locked="0"/>
    </xf>
    <xf numFmtId="0" fontId="6" fillId="0" borderId="18" xfId="0" applyFont="1" applyBorder="1" applyProtection="1">
      <protection locked="0"/>
    </xf>
    <xf numFmtId="0" fontId="8" fillId="5" borderId="1" xfId="0" applyFont="1" applyFill="1" applyBorder="1" applyAlignment="1">
      <alignment horizontal="center" vertical="center"/>
    </xf>
    <xf numFmtId="164" fontId="12" fillId="0" borderId="0" xfId="0" applyNumberFormat="1" applyFont="1" applyAlignment="1">
      <alignment horizontal="center" vertical="center"/>
    </xf>
    <xf numFmtId="0" fontId="8" fillId="5" borderId="79" xfId="0" applyFont="1" applyFill="1" applyBorder="1" applyAlignment="1">
      <alignment horizontal="left" vertical="center"/>
    </xf>
    <xf numFmtId="168" fontId="17" fillId="0" borderId="21" xfId="0" applyNumberFormat="1" applyFont="1" applyBorder="1" applyAlignment="1">
      <alignment horizontal="left" vertical="center"/>
    </xf>
    <xf numFmtId="0" fontId="20" fillId="5" borderId="79" xfId="0" applyFont="1" applyFill="1" applyBorder="1" applyAlignment="1">
      <alignment horizontal="left" vertical="center"/>
    </xf>
    <xf numFmtId="0" fontId="8" fillId="0" borderId="0" xfId="0" applyFont="1" applyAlignment="1">
      <alignment horizontal="center"/>
    </xf>
    <xf numFmtId="177" fontId="8" fillId="0" borderId="0" xfId="0" applyNumberFormat="1" applyFont="1" applyAlignment="1">
      <alignment horizontal="center"/>
    </xf>
    <xf numFmtId="0" fontId="8" fillId="0" borderId="0" xfId="0" applyFont="1"/>
    <xf numFmtId="165" fontId="8" fillId="0" borderId="0" xfId="1" applyNumberFormat="1" applyFont="1" applyAlignment="1" applyProtection="1">
      <alignment horizontal="center"/>
    </xf>
    <xf numFmtId="9" fontId="8" fillId="0" borderId="0" xfId="0" applyNumberFormat="1" applyFont="1"/>
    <xf numFmtId="166" fontId="20" fillId="0" borderId="0" xfId="0" applyNumberFormat="1" applyFont="1"/>
    <xf numFmtId="0" fontId="12" fillId="4" borderId="0" xfId="0" applyFont="1" applyFill="1"/>
    <xf numFmtId="167" fontId="12" fillId="0" borderId="0" xfId="0" applyNumberFormat="1" applyFont="1" applyAlignment="1">
      <alignment horizontal="center"/>
    </xf>
    <xf numFmtId="10" fontId="12" fillId="0" borderId="0" xfId="0" applyNumberFormat="1" applyFont="1" applyAlignment="1">
      <alignment horizontal="center"/>
    </xf>
    <xf numFmtId="49" fontId="12" fillId="0" borderId="0" xfId="0" applyNumberFormat="1" applyFont="1" applyAlignment="1">
      <alignment horizontal="center"/>
    </xf>
    <xf numFmtId="166" fontId="12" fillId="0" borderId="81" xfId="0" applyNumberFormat="1" applyFont="1" applyBorder="1" applyAlignment="1">
      <alignment horizontal="center"/>
    </xf>
    <xf numFmtId="0" fontId="14" fillId="0" borderId="19" xfId="0" applyFont="1" applyBorder="1" applyAlignment="1">
      <alignment horizontal="center" vertical="center"/>
    </xf>
    <xf numFmtId="0" fontId="14" fillId="0" borderId="19" xfId="0" applyFont="1" applyBorder="1" applyAlignment="1">
      <alignment horizontal="center"/>
    </xf>
    <xf numFmtId="164" fontId="14" fillId="0" borderId="19" xfId="0" applyNumberFormat="1" applyFont="1" applyBorder="1"/>
    <xf numFmtId="0" fontId="12" fillId="0" borderId="19" xfId="0" applyFont="1" applyBorder="1"/>
    <xf numFmtId="0" fontId="20" fillId="5" borderId="3" xfId="0" applyFont="1" applyFill="1" applyBorder="1" applyAlignment="1">
      <alignment horizontal="left" vertical="center"/>
    </xf>
    <xf numFmtId="0" fontId="8" fillId="5" borderId="3" xfId="0" applyFont="1" applyFill="1" applyBorder="1" applyAlignment="1">
      <alignment vertical="center"/>
    </xf>
    <xf numFmtId="0" fontId="8" fillId="5" borderId="6" xfId="0" applyFont="1" applyFill="1" applyBorder="1" applyAlignment="1">
      <alignment vertical="center"/>
    </xf>
    <xf numFmtId="0" fontId="12" fillId="0" borderId="4" xfId="0" applyFont="1" applyBorder="1" applyAlignment="1">
      <alignment horizontal="center" vertical="center"/>
    </xf>
    <xf numFmtId="0" fontId="12" fillId="0" borderId="8" xfId="0" applyFont="1" applyBorder="1" applyAlignment="1">
      <alignment vertical="center"/>
    </xf>
    <xf numFmtId="0" fontId="20" fillId="5" borderId="3" xfId="0" applyFont="1" applyFill="1" applyBorder="1" applyAlignment="1">
      <alignment vertical="center"/>
    </xf>
    <xf numFmtId="0" fontId="14" fillId="0" borderId="0" xfId="1" applyNumberFormat="1" applyFont="1" applyAlignment="1" applyProtection="1">
      <alignment vertical="center"/>
    </xf>
    <xf numFmtId="0" fontId="14" fillId="0" borderId="0" xfId="1" applyNumberFormat="1" applyFont="1" applyBorder="1" applyAlignment="1" applyProtection="1">
      <alignment vertical="center"/>
    </xf>
    <xf numFmtId="0" fontId="14" fillId="0" borderId="0" xfId="1" applyNumberFormat="1" applyFont="1" applyBorder="1" applyAlignment="1" applyProtection="1">
      <alignment horizontal="right" vertical="center"/>
    </xf>
    <xf numFmtId="0" fontId="14" fillId="0" borderId="3" xfId="0" applyFont="1" applyBorder="1" applyAlignment="1">
      <alignment horizontal="center" vertical="center"/>
    </xf>
    <xf numFmtId="0" fontId="14" fillId="0" borderId="7" xfId="0" applyFont="1" applyBorder="1" applyAlignment="1">
      <alignment horizontal="center" vertical="center"/>
    </xf>
    <xf numFmtId="0" fontId="12" fillId="0" borderId="6" xfId="0" applyFont="1" applyBorder="1" applyAlignment="1">
      <alignment horizontal="center" vertical="center"/>
    </xf>
    <xf numFmtId="9" fontId="14" fillId="0" borderId="7" xfId="2" applyFont="1" applyBorder="1" applyAlignment="1" applyProtection="1">
      <alignment horizontal="center" vertical="center"/>
    </xf>
    <xf numFmtId="169" fontId="12" fillId="0" borderId="1" xfId="0" applyNumberFormat="1" applyFont="1" applyBorder="1" applyAlignment="1">
      <alignment horizontal="center" vertical="center"/>
    </xf>
    <xf numFmtId="169" fontId="12" fillId="0" borderId="0" xfId="0" applyNumberFormat="1" applyFont="1"/>
    <xf numFmtId="168" fontId="14" fillId="0" borderId="0" xfId="0" applyNumberFormat="1" applyFont="1" applyAlignment="1">
      <alignment horizontal="left" vertical="center"/>
    </xf>
    <xf numFmtId="168" fontId="14" fillId="0" borderId="0" xfId="1" applyNumberFormat="1" applyFont="1" applyAlignment="1" applyProtection="1">
      <alignment vertical="center"/>
    </xf>
    <xf numFmtId="168" fontId="14" fillId="0" borderId="0" xfId="1" applyNumberFormat="1" applyFont="1" applyBorder="1" applyAlignment="1" applyProtection="1">
      <alignment vertical="center"/>
    </xf>
    <xf numFmtId="0" fontId="8" fillId="5" borderId="3" xfId="0" applyFont="1" applyFill="1" applyBorder="1" applyAlignment="1">
      <alignment horizontal="center" vertical="center"/>
    </xf>
    <xf numFmtId="0" fontId="12" fillId="0" borderId="3" xfId="0" applyFont="1" applyBorder="1" applyAlignment="1">
      <alignment horizontal="center" vertical="center"/>
    </xf>
    <xf numFmtId="170" fontId="17" fillId="0" borderId="5" xfId="0" applyNumberFormat="1" applyFont="1" applyBorder="1" applyAlignment="1">
      <alignment horizontal="center" vertical="center"/>
    </xf>
    <xf numFmtId="0" fontId="20" fillId="5" borderId="0" xfId="0" applyFont="1" applyFill="1" applyAlignment="1">
      <alignment horizontal="left" vertical="center"/>
    </xf>
    <xf numFmtId="0" fontId="14" fillId="0" borderId="5" xfId="0" applyFont="1" applyBorder="1" applyAlignment="1">
      <alignment horizontal="center" vertical="center"/>
    </xf>
    <xf numFmtId="168" fontId="14" fillId="0" borderId="0" xfId="0" applyNumberFormat="1" applyFont="1" applyAlignment="1">
      <alignment vertical="center"/>
    </xf>
    <xf numFmtId="170" fontId="14" fillId="0" borderId="5" xfId="2" applyNumberFormat="1" applyFont="1" applyBorder="1" applyAlignment="1" applyProtection="1">
      <alignment horizontal="center" vertical="center"/>
    </xf>
    <xf numFmtId="168" fontId="12" fillId="0" borderId="8" xfId="0" applyNumberFormat="1" applyFont="1" applyBorder="1" applyAlignment="1">
      <alignment horizontal="left" vertical="center"/>
    </xf>
    <xf numFmtId="0" fontId="12" fillId="0" borderId="5" xfId="0" applyFont="1" applyBorder="1" applyAlignment="1">
      <alignment horizontal="center" vertical="center"/>
    </xf>
    <xf numFmtId="168" fontId="12" fillId="0" borderId="11" xfId="0" applyNumberFormat="1" applyFont="1" applyBorder="1" applyAlignment="1">
      <alignment horizontal="left" vertical="center"/>
    </xf>
    <xf numFmtId="168" fontId="12" fillId="0" borderId="44" xfId="0" applyNumberFormat="1" applyFont="1" applyBorder="1" applyAlignment="1">
      <alignment vertical="center"/>
    </xf>
    <xf numFmtId="168" fontId="12" fillId="0" borderId="9" xfId="0" applyNumberFormat="1" applyFont="1" applyBorder="1" applyAlignment="1">
      <alignment vertical="center"/>
    </xf>
    <xf numFmtId="3" fontId="33" fillId="0" borderId="5" xfId="1" applyNumberFormat="1" applyFont="1" applyBorder="1" applyAlignment="1" applyProtection="1">
      <alignment horizontal="center" vertical="center"/>
    </xf>
    <xf numFmtId="17" fontId="14" fillId="0" borderId="0" xfId="0" applyNumberFormat="1" applyFont="1" applyAlignment="1">
      <alignment horizontal="center" vertical="center"/>
    </xf>
    <xf numFmtId="43" fontId="14" fillId="0" borderId="0" xfId="1" applyFont="1" applyAlignment="1" applyProtection="1">
      <alignment vertical="center"/>
    </xf>
    <xf numFmtId="0" fontId="20" fillId="0" borderId="0" xfId="0" applyFont="1" applyAlignment="1">
      <alignment horizontal="left" vertical="center"/>
    </xf>
    <xf numFmtId="43" fontId="12" fillId="0" borderId="0" xfId="1" applyFont="1" applyAlignment="1" applyProtection="1">
      <alignment horizontal="left" vertical="center"/>
    </xf>
    <xf numFmtId="43" fontId="12" fillId="0" borderId="0" xfId="1" applyFont="1" applyAlignment="1" applyProtection="1">
      <alignment horizontal="right" vertical="center"/>
    </xf>
    <xf numFmtId="0" fontId="17" fillId="0" borderId="1" xfId="0" applyFont="1" applyBorder="1" applyAlignment="1">
      <alignment horizontal="center" vertical="center"/>
    </xf>
    <xf numFmtId="170" fontId="17" fillId="0" borderId="1" xfId="2" applyNumberFormat="1" applyFont="1" applyBorder="1" applyAlignment="1" applyProtection="1">
      <alignment horizontal="center" vertical="center"/>
    </xf>
    <xf numFmtId="173" fontId="17" fillId="7" borderId="1" xfId="3" applyNumberFormat="1" applyFont="1" applyFill="1" applyBorder="1" applyAlignment="1">
      <alignment horizontal="center" vertical="center"/>
    </xf>
    <xf numFmtId="168" fontId="12" fillId="0" borderId="1" xfId="1" applyNumberFormat="1" applyFont="1" applyBorder="1" applyAlignment="1" applyProtection="1">
      <alignment horizontal="center" vertical="center"/>
    </xf>
    <xf numFmtId="164" fontId="12" fillId="6" borderId="13" xfId="0" applyNumberFormat="1" applyFont="1" applyFill="1" applyBorder="1"/>
    <xf numFmtId="0" fontId="17" fillId="0" borderId="0" xfId="3" applyFont="1" applyAlignment="1">
      <alignment vertical="center"/>
    </xf>
    <xf numFmtId="0" fontId="72" fillId="0" borderId="0" xfId="0" applyFont="1" applyAlignment="1">
      <alignment vertical="center"/>
    </xf>
    <xf numFmtId="169" fontId="14" fillId="9" borderId="1" xfId="0" applyNumberFormat="1" applyFont="1" applyFill="1" applyBorder="1" applyAlignment="1">
      <alignment horizontal="center" vertical="center"/>
    </xf>
    <xf numFmtId="169" fontId="14" fillId="0" borderId="0" xfId="0" applyNumberFormat="1" applyFont="1" applyAlignment="1">
      <alignment horizontal="center" vertical="center"/>
    </xf>
    <xf numFmtId="177" fontId="73" fillId="0" borderId="0" xfId="0" applyNumberFormat="1" applyFont="1" applyAlignment="1">
      <alignment vertical="center"/>
    </xf>
    <xf numFmtId="43" fontId="20" fillId="0" borderId="0" xfId="1" applyFont="1" applyAlignment="1" applyProtection="1">
      <alignment horizontal="center"/>
    </xf>
    <xf numFmtId="43" fontId="17" fillId="0" borderId="0" xfId="1" applyFont="1" applyProtection="1"/>
    <xf numFmtId="0" fontId="12" fillId="0" borderId="16" xfId="0" applyFont="1" applyBorder="1" applyAlignment="1">
      <alignment horizontal="center" vertical="center" wrapText="1"/>
    </xf>
    <xf numFmtId="0" fontId="12" fillId="0" borderId="16" xfId="0" applyFont="1" applyBorder="1" applyAlignment="1">
      <alignment horizontal="center"/>
    </xf>
    <xf numFmtId="0" fontId="12" fillId="0" borderId="1" xfId="0" applyFont="1" applyBorder="1" applyAlignment="1">
      <alignment horizontal="center"/>
    </xf>
    <xf numFmtId="167" fontId="12" fillId="0" borderId="16" xfId="0" applyNumberFormat="1" applyFont="1" applyBorder="1" applyAlignment="1">
      <alignment horizontal="right"/>
    </xf>
    <xf numFmtId="175" fontId="74" fillId="0" borderId="0" xfId="3" applyNumberFormat="1" applyFont="1" applyAlignment="1">
      <alignment vertical="top" wrapText="1"/>
    </xf>
    <xf numFmtId="164" fontId="17" fillId="0" borderId="16" xfId="4" applyFont="1" applyBorder="1" applyProtection="1"/>
    <xf numFmtId="43" fontId="12" fillId="0" borderId="16" xfId="1" applyFont="1" applyBorder="1" applyProtection="1"/>
    <xf numFmtId="174" fontId="12" fillId="0" borderId="16" xfId="1" applyNumberFormat="1" applyFont="1" applyBorder="1" applyProtection="1"/>
    <xf numFmtId="170" fontId="12" fillId="0" borderId="16" xfId="2" applyNumberFormat="1" applyFont="1" applyBorder="1" applyAlignment="1" applyProtection="1">
      <alignment horizontal="center"/>
    </xf>
    <xf numFmtId="43" fontId="12" fillId="0" borderId="1" xfId="1" applyFont="1" applyBorder="1" applyProtection="1"/>
    <xf numFmtId="43" fontId="12" fillId="0" borderId="20" xfId="1" applyFont="1" applyBorder="1" applyProtection="1"/>
    <xf numFmtId="10" fontId="12" fillId="0" borderId="20" xfId="2" applyNumberFormat="1" applyFont="1" applyBorder="1" applyAlignment="1" applyProtection="1">
      <alignment horizontal="center"/>
    </xf>
    <xf numFmtId="167" fontId="12" fillId="0" borderId="1" xfId="0" applyNumberFormat="1" applyFont="1" applyBorder="1" applyAlignment="1">
      <alignment horizontal="right"/>
    </xf>
    <xf numFmtId="175" fontId="17" fillId="0" borderId="13" xfId="0" applyNumberFormat="1" applyFont="1" applyBorder="1" applyAlignment="1">
      <alignment vertical="top" wrapText="1"/>
    </xf>
    <xf numFmtId="175" fontId="17" fillId="0" borderId="0" xfId="0" applyNumberFormat="1" applyFont="1" applyAlignment="1">
      <alignment vertical="top" wrapText="1"/>
    </xf>
    <xf numFmtId="174" fontId="12" fillId="0" borderId="1" xfId="1" applyNumberFormat="1" applyFont="1" applyBorder="1" applyProtection="1"/>
    <xf numFmtId="170" fontId="12" fillId="0" borderId="1" xfId="2" applyNumberFormat="1" applyFont="1" applyBorder="1" applyAlignment="1" applyProtection="1">
      <alignment horizontal="center"/>
    </xf>
    <xf numFmtId="43" fontId="12" fillId="0" borderId="15" xfId="1" applyFont="1" applyBorder="1" applyProtection="1"/>
    <xf numFmtId="10" fontId="12" fillId="0" borderId="15" xfId="2" applyNumberFormat="1" applyFont="1" applyBorder="1" applyAlignment="1" applyProtection="1">
      <alignment horizontal="center"/>
    </xf>
    <xf numFmtId="167" fontId="12" fillId="0" borderId="0" xfId="0" applyNumberFormat="1" applyFont="1" applyAlignment="1">
      <alignment horizontal="right"/>
    </xf>
    <xf numFmtId="0" fontId="12" fillId="3" borderId="0" xfId="0" applyFont="1" applyFill="1"/>
    <xf numFmtId="0" fontId="42" fillId="0" borderId="0" xfId="0" applyFont="1" applyAlignment="1">
      <alignment vertical="center"/>
    </xf>
    <xf numFmtId="169" fontId="12" fillId="0" borderId="0" xfId="1" applyNumberFormat="1" applyFont="1" applyProtection="1"/>
    <xf numFmtId="169" fontId="20" fillId="0" borderId="16" xfId="1" applyNumberFormat="1" applyFont="1" applyBorder="1" applyAlignment="1" applyProtection="1">
      <alignment horizontal="center" vertical="center"/>
    </xf>
    <xf numFmtId="166" fontId="12" fillId="0" borderId="7" xfId="0" applyNumberFormat="1" applyFont="1" applyBorder="1" applyAlignment="1">
      <alignment horizontal="center"/>
    </xf>
    <xf numFmtId="169" fontId="12" fillId="0" borderId="0" xfId="0" applyNumberFormat="1" applyFont="1" applyAlignment="1">
      <alignment horizontal="center" vertical="center"/>
    </xf>
    <xf numFmtId="176" fontId="12" fillId="0" borderId="0" xfId="0" applyNumberFormat="1" applyFont="1"/>
    <xf numFmtId="0" fontId="12" fillId="0" borderId="9" xfId="0" applyFont="1" applyBorder="1" applyAlignment="1">
      <alignment horizontal="center" vertical="center"/>
    </xf>
    <xf numFmtId="169" fontId="12" fillId="0" borderId="1" xfId="1" applyNumberFormat="1" applyFont="1" applyBorder="1" applyAlignment="1" applyProtection="1">
      <alignment horizontal="center" vertical="center"/>
    </xf>
    <xf numFmtId="169" fontId="14" fillId="9" borderId="1" xfId="1" applyNumberFormat="1" applyFont="1" applyFill="1" applyBorder="1" applyAlignment="1" applyProtection="1">
      <alignment horizontal="center" vertical="center"/>
    </xf>
    <xf numFmtId="169" fontId="12" fillId="0" borderId="0" xfId="1" applyNumberFormat="1" applyFont="1" applyBorder="1" applyAlignment="1" applyProtection="1">
      <alignment horizontal="center" vertical="center"/>
    </xf>
    <xf numFmtId="168" fontId="12" fillId="0" borderId="0" xfId="0" applyNumberFormat="1" applyFont="1" applyAlignment="1">
      <alignment horizontal="center" vertical="center"/>
    </xf>
    <xf numFmtId="44" fontId="12" fillId="0" borderId="0" xfId="5" applyFont="1" applyAlignment="1" applyProtection="1">
      <alignment vertical="center"/>
    </xf>
    <xf numFmtId="9" fontId="12" fillId="0" borderId="0" xfId="0" applyNumberFormat="1" applyFont="1" applyAlignment="1">
      <alignment horizontal="center" vertical="center"/>
    </xf>
    <xf numFmtId="169" fontId="14" fillId="0" borderId="0" xfId="0" applyNumberFormat="1" applyFont="1" applyAlignment="1">
      <alignment vertical="center"/>
    </xf>
    <xf numFmtId="170" fontId="33" fillId="0" borderId="75" xfId="0" applyNumberFormat="1" applyFont="1" applyBorder="1" applyAlignment="1">
      <alignment horizontal="center" vertical="center"/>
    </xf>
    <xf numFmtId="170" fontId="17" fillId="0" borderId="59" xfId="0" applyNumberFormat="1" applyFont="1" applyBorder="1" applyAlignment="1">
      <alignment horizontal="center" vertical="center"/>
    </xf>
    <xf numFmtId="0" fontId="17" fillId="0" borderId="59" xfId="0" applyFont="1" applyBorder="1" applyAlignment="1">
      <alignment vertical="center"/>
    </xf>
    <xf numFmtId="169" fontId="12" fillId="0" borderId="18" xfId="0" applyNumberFormat="1" applyFont="1" applyBorder="1" applyAlignment="1">
      <alignment horizontal="center" vertical="center"/>
    </xf>
    <xf numFmtId="168" fontId="33" fillId="0" borderId="77" xfId="0" applyNumberFormat="1" applyFont="1" applyBorder="1" applyAlignment="1">
      <alignment horizontal="left" vertical="center"/>
    </xf>
    <xf numFmtId="169" fontId="12" fillId="0" borderId="0" xfId="0" applyNumberFormat="1" applyFont="1" applyAlignment="1">
      <alignment vertical="center"/>
    </xf>
    <xf numFmtId="170" fontId="33" fillId="0" borderId="78" xfId="0" applyNumberFormat="1" applyFont="1" applyBorder="1" applyAlignment="1">
      <alignment horizontal="center" vertical="center"/>
    </xf>
    <xf numFmtId="170" fontId="12" fillId="0" borderId="1" xfId="2" applyNumberFormat="1" applyFont="1" applyBorder="1" applyAlignment="1" applyProtection="1">
      <alignment horizontal="center" vertical="center"/>
    </xf>
    <xf numFmtId="177" fontId="20" fillId="0" borderId="0" xfId="0" applyNumberFormat="1" applyFont="1"/>
    <xf numFmtId="168" fontId="12" fillId="0" borderId="0" xfId="5" applyNumberFormat="1" applyFont="1" applyBorder="1" applyAlignment="1" applyProtection="1">
      <alignment horizontal="center" vertical="center"/>
    </xf>
    <xf numFmtId="10" fontId="12" fillId="0" borderId="1" xfId="0" applyNumberFormat="1" applyFont="1" applyBorder="1" applyAlignment="1">
      <alignment horizontal="center" vertical="center"/>
    </xf>
    <xf numFmtId="170" fontId="12" fillId="0" borderId="1" xfId="0" applyNumberFormat="1" applyFont="1" applyBorder="1" applyAlignment="1">
      <alignment horizontal="center" vertical="center"/>
    </xf>
    <xf numFmtId="0" fontId="12" fillId="0" borderId="67" xfId="0" applyFont="1" applyBorder="1" applyAlignment="1">
      <alignment vertical="center"/>
    </xf>
    <xf numFmtId="0" fontId="12" fillId="0" borderId="68" xfId="0" applyFont="1" applyBorder="1" applyAlignment="1">
      <alignment vertical="center"/>
    </xf>
    <xf numFmtId="0" fontId="20" fillId="5" borderId="12" xfId="0" applyFont="1" applyFill="1" applyBorder="1" applyAlignment="1">
      <alignment horizontal="left" vertical="center"/>
    </xf>
    <xf numFmtId="0" fontId="8" fillId="5" borderId="36" xfId="0" applyFont="1" applyFill="1" applyBorder="1" applyAlignment="1">
      <alignment vertical="center"/>
    </xf>
    <xf numFmtId="0" fontId="12" fillId="0" borderId="8" xfId="0" applyFont="1" applyBorder="1" applyAlignment="1">
      <alignment horizontal="center" vertical="center"/>
    </xf>
    <xf numFmtId="168" fontId="12" fillId="0" borderId="23" xfId="0" applyNumberFormat="1" applyFont="1" applyBorder="1" applyAlignment="1">
      <alignment horizontal="left" vertical="center"/>
    </xf>
    <xf numFmtId="0" fontId="12" fillId="0" borderId="19" xfId="0" applyFont="1" applyBorder="1" applyAlignment="1">
      <alignment vertical="center"/>
    </xf>
    <xf numFmtId="170" fontId="14" fillId="0" borderId="5" xfId="0" applyNumberFormat="1" applyFont="1" applyBorder="1" applyAlignment="1">
      <alignment horizontal="center" vertical="center"/>
    </xf>
    <xf numFmtId="0" fontId="14" fillId="0" borderId="8" xfId="0" applyFont="1" applyBorder="1" applyAlignment="1">
      <alignment vertical="center"/>
    </xf>
    <xf numFmtId="0" fontId="12" fillId="0" borderId="40" xfId="0" applyFont="1" applyBorder="1" applyAlignment="1">
      <alignment horizontal="center" vertical="center"/>
    </xf>
    <xf numFmtId="0" fontId="14" fillId="0" borderId="40" xfId="0" applyFont="1" applyBorder="1" applyAlignment="1">
      <alignment horizontal="center" vertical="center"/>
    </xf>
    <xf numFmtId="170" fontId="14" fillId="0" borderId="7" xfId="0" applyNumberFormat="1" applyFont="1" applyBorder="1" applyAlignment="1">
      <alignment horizontal="center" vertical="center"/>
    </xf>
    <xf numFmtId="0" fontId="12" fillId="0" borderId="38" xfId="0" applyFont="1" applyBorder="1" applyAlignment="1">
      <alignment vertical="center"/>
    </xf>
    <xf numFmtId="169" fontId="12" fillId="0" borderId="0" xfId="1" applyNumberFormat="1" applyFont="1" applyFill="1" applyBorder="1" applyAlignment="1" applyProtection="1">
      <alignment horizontal="center" vertical="center"/>
    </xf>
    <xf numFmtId="169" fontId="14" fillId="0" borderId="0" xfId="1" applyNumberFormat="1" applyFont="1" applyFill="1" applyBorder="1" applyAlignment="1" applyProtection="1">
      <alignment horizontal="center" vertical="center"/>
    </xf>
    <xf numFmtId="168" fontId="14" fillId="0" borderId="0" xfId="0" applyNumberFormat="1" applyFont="1" applyAlignment="1">
      <alignment horizontal="center" vertical="center"/>
    </xf>
    <xf numFmtId="0" fontId="5" fillId="5" borderId="0" xfId="0" applyFont="1" applyFill="1" applyAlignment="1">
      <alignment horizontal="center"/>
    </xf>
    <xf numFmtId="0" fontId="5" fillId="5" borderId="81" xfId="0" applyFont="1" applyFill="1" applyBorder="1" applyAlignment="1">
      <alignment horizontal="center"/>
    </xf>
    <xf numFmtId="0" fontId="5" fillId="5" borderId="0" xfId="0" applyFont="1" applyFill="1"/>
    <xf numFmtId="0" fontId="0" fillId="0" borderId="1" xfId="0" applyBorder="1"/>
    <xf numFmtId="169" fontId="19" fillId="0" borderId="1" xfId="0" applyNumberFormat="1" applyFont="1" applyBorder="1" applyAlignment="1" applyProtection="1">
      <alignment horizontal="center" vertical="center"/>
      <protection locked="0"/>
    </xf>
    <xf numFmtId="169" fontId="6" fillId="0" borderId="1" xfId="0" applyNumberFormat="1" applyFont="1" applyBorder="1" applyAlignment="1" applyProtection="1">
      <alignment horizontal="center" vertical="center"/>
      <protection locked="0"/>
    </xf>
    <xf numFmtId="43" fontId="6" fillId="0" borderId="0" xfId="1" applyFont="1" applyBorder="1" applyAlignment="1" applyProtection="1">
      <protection locked="0"/>
    </xf>
    <xf numFmtId="0" fontId="40" fillId="0" borderId="0" xfId="0" applyFont="1"/>
    <xf numFmtId="43" fontId="4" fillId="0" borderId="0" xfId="1" applyFont="1" applyProtection="1"/>
    <xf numFmtId="0" fontId="42" fillId="0" borderId="0" xfId="0" applyFont="1" applyAlignment="1" applyProtection="1">
      <alignment vertical="center"/>
      <protection locked="0"/>
    </xf>
    <xf numFmtId="181" fontId="12" fillId="0" borderId="81" xfId="0" applyNumberFormat="1" applyFont="1" applyBorder="1" applyAlignment="1">
      <alignment horizontal="center" vertical="center"/>
    </xf>
    <xf numFmtId="181" fontId="12" fillId="0" borderId="81" xfId="0" applyNumberFormat="1" applyFont="1" applyBorder="1" applyAlignment="1">
      <alignment horizontal="center"/>
    </xf>
    <xf numFmtId="181" fontId="6" fillId="0" borderId="81" xfId="0" applyNumberFormat="1" applyFont="1" applyBorder="1" applyAlignment="1">
      <alignment horizontal="center"/>
    </xf>
    <xf numFmtId="181" fontId="6" fillId="0" borderId="81" xfId="0" applyNumberFormat="1" applyFont="1" applyBorder="1" applyAlignment="1">
      <alignment horizontal="center" vertical="center"/>
    </xf>
    <xf numFmtId="181" fontId="6" fillId="0" borderId="81" xfId="0" applyNumberFormat="1" applyFont="1" applyBorder="1" applyAlignment="1" applyProtection="1">
      <alignment horizontal="center" vertical="center"/>
      <protection locked="0"/>
    </xf>
    <xf numFmtId="0" fontId="18" fillId="2" borderId="1" xfId="0" applyFont="1" applyFill="1" applyBorder="1" applyAlignment="1">
      <alignment horizontal="center" vertical="center" wrapText="1"/>
    </xf>
    <xf numFmtId="0" fontId="18" fillId="2" borderId="1" xfId="0" applyFont="1" applyFill="1" applyBorder="1" applyAlignment="1">
      <alignment horizontal="center" vertical="top" wrapText="1"/>
    </xf>
    <xf numFmtId="0" fontId="32" fillId="0" borderId="25" xfId="0" applyFont="1" applyBorder="1" applyAlignment="1">
      <alignment horizontal="center" vertical="center"/>
    </xf>
    <xf numFmtId="0" fontId="12" fillId="0" borderId="25" xfId="0" applyFont="1" applyBorder="1" applyAlignment="1">
      <alignment horizontal="center" vertical="center"/>
    </xf>
    <xf numFmtId="0" fontId="32" fillId="0" borderId="1" xfId="0" applyFont="1" applyBorder="1" applyAlignment="1">
      <alignment horizontal="center" vertical="center"/>
    </xf>
    <xf numFmtId="0" fontId="12" fillId="0" borderId="1" xfId="0" applyFont="1" applyBorder="1" applyAlignment="1">
      <alignment horizontal="center" vertical="center"/>
    </xf>
    <xf numFmtId="0" fontId="12" fillId="0" borderId="40" xfId="0" applyFont="1" applyBorder="1" applyAlignment="1">
      <alignment horizontal="center"/>
    </xf>
    <xf numFmtId="0" fontId="12" fillId="0" borderId="5" xfId="0" applyFont="1" applyBorder="1" applyAlignment="1">
      <alignment horizontal="center"/>
    </xf>
    <xf numFmtId="0" fontId="32" fillId="0" borderId="31" xfId="0" applyFont="1" applyBorder="1" applyAlignment="1">
      <alignment horizontal="center" vertical="center"/>
    </xf>
    <xf numFmtId="0" fontId="12" fillId="0" borderId="45" xfId="0" applyFont="1" applyBorder="1" applyAlignment="1">
      <alignment horizontal="center"/>
    </xf>
    <xf numFmtId="0" fontId="25" fillId="0" borderId="31" xfId="0" applyFont="1" applyBorder="1" applyAlignment="1">
      <alignment horizontal="center" vertical="center"/>
    </xf>
    <xf numFmtId="0" fontId="12" fillId="0" borderId="98" xfId="0" applyFont="1" applyBorder="1" applyAlignment="1">
      <alignment horizontal="center"/>
    </xf>
    <xf numFmtId="0" fontId="12" fillId="0" borderId="29" xfId="0" applyFont="1" applyBorder="1" applyAlignment="1">
      <alignment horizontal="center"/>
    </xf>
    <xf numFmtId="0" fontId="20" fillId="5" borderId="12" xfId="0" applyFont="1" applyFill="1" applyBorder="1" applyAlignment="1">
      <alignment vertical="center"/>
    </xf>
    <xf numFmtId="0" fontId="20" fillId="5" borderId="74" xfId="0" applyFont="1" applyFill="1" applyBorder="1" applyAlignment="1">
      <alignment vertical="center"/>
    </xf>
    <xf numFmtId="10" fontId="14" fillId="0" borderId="5" xfId="2" applyNumberFormat="1" applyFont="1" applyBorder="1" applyAlignment="1" applyProtection="1">
      <alignment horizontal="center" vertical="center"/>
    </xf>
    <xf numFmtId="10" fontId="36" fillId="0" borderId="5" xfId="2" applyNumberFormat="1" applyFont="1" applyBorder="1" applyAlignment="1" applyProtection="1">
      <alignment horizontal="center" vertical="center"/>
    </xf>
    <xf numFmtId="0" fontId="6" fillId="0" borderId="19" xfId="0" applyFont="1" applyBorder="1" applyAlignment="1">
      <alignment horizontal="center" vertical="center"/>
    </xf>
    <xf numFmtId="0" fontId="6" fillId="0" borderId="8" xfId="0" applyFont="1" applyBorder="1" applyAlignment="1">
      <alignment horizontal="center" vertical="center"/>
    </xf>
    <xf numFmtId="0" fontId="6" fillId="0" borderId="18" xfId="0" applyFont="1" applyBorder="1" applyAlignment="1" applyProtection="1">
      <alignment vertical="center"/>
      <protection locked="0"/>
    </xf>
    <xf numFmtId="0" fontId="6" fillId="0" borderId="24" xfId="0" applyFont="1" applyBorder="1" applyAlignment="1" applyProtection="1">
      <alignment vertical="center"/>
      <protection locked="0"/>
    </xf>
    <xf numFmtId="0" fontId="12" fillId="0" borderId="99" xfId="0" applyFont="1" applyBorder="1" applyAlignment="1">
      <alignment vertical="center"/>
    </xf>
    <xf numFmtId="0" fontId="12" fillId="0" borderId="100" xfId="0" applyFont="1" applyBorder="1" applyAlignment="1">
      <alignment horizontal="center" vertical="center"/>
    </xf>
    <xf numFmtId="0" fontId="12" fillId="0" borderId="33" xfId="0" applyFont="1" applyBorder="1" applyAlignment="1">
      <alignment vertical="center"/>
    </xf>
    <xf numFmtId="0" fontId="12" fillId="0" borderId="35" xfId="0" applyFont="1" applyBorder="1" applyAlignment="1">
      <alignment vertical="center"/>
    </xf>
    <xf numFmtId="0" fontId="6" fillId="0" borderId="19" xfId="0" applyFont="1" applyBorder="1" applyAlignment="1">
      <alignment vertical="center"/>
    </xf>
    <xf numFmtId="0" fontId="6" fillId="0" borderId="38" xfId="0" applyFont="1" applyBorder="1" applyAlignment="1">
      <alignment vertical="center"/>
    </xf>
    <xf numFmtId="0" fontId="75" fillId="0" borderId="0" xfId="0" applyFont="1"/>
    <xf numFmtId="0" fontId="77" fillId="0" borderId="0" xfId="0" applyFont="1" applyAlignment="1">
      <alignment horizontal="center" vertical="center"/>
    </xf>
    <xf numFmtId="166" fontId="77" fillId="0" borderId="0" xfId="0" applyNumberFormat="1" applyFont="1" applyAlignment="1">
      <alignment vertical="center"/>
    </xf>
    <xf numFmtId="0" fontId="78" fillId="0" borderId="0" xfId="0" applyFont="1"/>
    <xf numFmtId="0" fontId="79" fillId="0" borderId="0" xfId="0" applyFont="1"/>
    <xf numFmtId="0" fontId="75" fillId="0" borderId="0" xfId="0" applyFont="1" applyAlignment="1">
      <alignment vertical="center"/>
    </xf>
    <xf numFmtId="0" fontId="78" fillId="0" borderId="0" xfId="0" applyFont="1" applyAlignment="1">
      <alignment horizontal="center" vertical="center"/>
    </xf>
    <xf numFmtId="0" fontId="77" fillId="0" borderId="0" xfId="0" applyFont="1" applyAlignment="1">
      <alignment horizontal="center" vertical="center" wrapText="1"/>
    </xf>
    <xf numFmtId="0" fontId="80" fillId="0" borderId="0" xfId="0" applyFont="1" applyAlignment="1">
      <alignment horizontal="center" vertical="center" wrapText="1"/>
    </xf>
    <xf numFmtId="0" fontId="82" fillId="0" borderId="0" xfId="0" applyFont="1"/>
    <xf numFmtId="0" fontId="78" fillId="0" borderId="0" xfId="0" applyFont="1" applyAlignment="1">
      <alignment vertical="center"/>
    </xf>
    <xf numFmtId="0" fontId="77" fillId="0" borderId="0" xfId="0" applyFont="1" applyAlignment="1">
      <alignment vertical="center"/>
    </xf>
    <xf numFmtId="166" fontId="77" fillId="0" borderId="0" xfId="0" applyNumberFormat="1" applyFont="1" applyAlignment="1">
      <alignment horizontal="center" vertical="center"/>
    </xf>
    <xf numFmtId="166" fontId="77" fillId="0" borderId="50" xfId="0" applyNumberFormat="1" applyFont="1" applyBorder="1" applyAlignment="1">
      <alignment horizontal="center" vertical="center"/>
    </xf>
    <xf numFmtId="0" fontId="83" fillId="0" borderId="0" xfId="0" applyFont="1"/>
    <xf numFmtId="0" fontId="85" fillId="0" borderId="0" xfId="0" applyFont="1" applyAlignment="1">
      <alignment horizontal="center" vertical="center"/>
    </xf>
    <xf numFmtId="0" fontId="83" fillId="0" borderId="0" xfId="0" applyFont="1" applyAlignment="1">
      <alignment horizontal="center" vertical="center"/>
    </xf>
    <xf numFmtId="0" fontId="85" fillId="0" borderId="0" xfId="0" applyFont="1" applyAlignment="1">
      <alignment horizontal="center" vertical="center" wrapText="1"/>
    </xf>
    <xf numFmtId="43" fontId="8" fillId="0" borderId="7" xfId="1" applyFont="1" applyBorder="1" applyAlignment="1" applyProtection="1">
      <alignment horizontal="center" vertical="center"/>
    </xf>
    <xf numFmtId="177" fontId="75" fillId="0" borderId="0" xfId="0" applyNumberFormat="1" applyFont="1"/>
    <xf numFmtId="0" fontId="54" fillId="0" borderId="0" xfId="0" applyFont="1" applyAlignment="1">
      <alignment horizontal="center"/>
    </xf>
    <xf numFmtId="0" fontId="54" fillId="0" borderId="0" xfId="0" applyFont="1" applyAlignment="1" applyProtection="1">
      <alignment horizontal="center"/>
      <protection locked="0"/>
    </xf>
    <xf numFmtId="0" fontId="87" fillId="0" borderId="0" xfId="0" applyFont="1" applyAlignment="1">
      <alignment horizontal="center"/>
    </xf>
    <xf numFmtId="0" fontId="6" fillId="0" borderId="15" xfId="0" applyFont="1" applyBorder="1" applyAlignment="1" applyProtection="1">
      <alignment horizontal="center" vertical="center"/>
      <protection locked="0"/>
    </xf>
    <xf numFmtId="0" fontId="6" fillId="0" borderId="24" xfId="0" applyFont="1" applyBorder="1" applyAlignment="1" applyProtection="1">
      <alignment horizontal="center" vertical="center"/>
      <protection locked="0"/>
    </xf>
    <xf numFmtId="0" fontId="6" fillId="0" borderId="18" xfId="0" applyFont="1" applyBorder="1" applyAlignment="1">
      <alignment horizontal="center"/>
    </xf>
    <xf numFmtId="0" fontId="6" fillId="0" borderId="0" xfId="0" applyFont="1" applyAlignment="1">
      <alignment horizontal="center"/>
    </xf>
    <xf numFmtId="43" fontId="78" fillId="0" borderId="0" xfId="1" applyFont="1"/>
    <xf numFmtId="0" fontId="88" fillId="0" borderId="0" xfId="0" applyFont="1"/>
    <xf numFmtId="0" fontId="80" fillId="0" borderId="0" xfId="0" applyFont="1" applyAlignment="1">
      <alignment horizontal="right"/>
    </xf>
    <xf numFmtId="0" fontId="90" fillId="0" borderId="0" xfId="0" applyFont="1"/>
    <xf numFmtId="0" fontId="90" fillId="0" borderId="0" xfId="0" applyFont="1" applyAlignment="1">
      <alignment horizontal="center" vertical="center"/>
    </xf>
    <xf numFmtId="166" fontId="6" fillId="0" borderId="0" xfId="0" applyNumberFormat="1" applyFont="1" applyAlignment="1">
      <alignment horizontal="center" vertical="center"/>
    </xf>
    <xf numFmtId="166" fontId="44" fillId="0" borderId="0" xfId="0" applyNumberFormat="1" applyFont="1" applyAlignment="1">
      <alignment horizontal="center" vertical="center"/>
    </xf>
    <xf numFmtId="181" fontId="17" fillId="0" borderId="0" xfId="0" applyNumberFormat="1" applyFont="1"/>
    <xf numFmtId="0" fontId="45" fillId="0" borderId="0" xfId="0" applyFont="1" applyAlignment="1">
      <alignment horizontal="center" vertical="center"/>
    </xf>
    <xf numFmtId="43" fontId="46" fillId="0" borderId="0" xfId="1" applyFont="1" applyProtection="1"/>
    <xf numFmtId="0" fontId="39" fillId="0" borderId="0" xfId="0" applyFont="1"/>
    <xf numFmtId="43" fontId="47" fillId="0" borderId="0" xfId="1" applyFont="1" applyProtection="1"/>
    <xf numFmtId="181" fontId="32" fillId="0" borderId="0" xfId="0" applyNumberFormat="1" applyFont="1"/>
    <xf numFmtId="0" fontId="46" fillId="0" borderId="0" xfId="0" applyFont="1"/>
    <xf numFmtId="167" fontId="32" fillId="0" borderId="0" xfId="0" applyNumberFormat="1" applyFont="1" applyAlignment="1">
      <alignment horizontal="center"/>
    </xf>
    <xf numFmtId="10" fontId="32" fillId="0" borderId="0" xfId="0" applyNumberFormat="1" applyFont="1" applyAlignment="1">
      <alignment horizontal="center"/>
    </xf>
    <xf numFmtId="49" fontId="32" fillId="0" borderId="0" xfId="0" applyNumberFormat="1" applyFont="1" applyAlignment="1">
      <alignment horizontal="center"/>
    </xf>
    <xf numFmtId="168" fontId="18" fillId="0" borderId="5" xfId="0" applyNumberFormat="1" applyFont="1" applyBorder="1" applyAlignment="1">
      <alignment vertical="center"/>
    </xf>
    <xf numFmtId="181" fontId="38" fillId="0" borderId="0" xfId="0" applyNumberFormat="1" applyFont="1"/>
    <xf numFmtId="0" fontId="93" fillId="0" borderId="0" xfId="0" applyFont="1"/>
    <xf numFmtId="168" fontId="18" fillId="0" borderId="28" xfId="0" applyNumberFormat="1" applyFont="1" applyBorder="1" applyAlignment="1">
      <alignment vertical="center"/>
    </xf>
    <xf numFmtId="0" fontId="15" fillId="0" borderId="0" xfId="0" applyFont="1"/>
    <xf numFmtId="169" fontId="6" fillId="0" borderId="1" xfId="0" applyNumberFormat="1" applyFont="1" applyBorder="1" applyAlignment="1">
      <alignment horizontal="center" vertical="center"/>
    </xf>
    <xf numFmtId="181" fontId="6" fillId="0" borderId="1" xfId="0" applyNumberFormat="1" applyFont="1" applyBorder="1" applyAlignment="1">
      <alignment horizontal="center" vertical="center"/>
    </xf>
    <xf numFmtId="181" fontId="6" fillId="0" borderId="0" xfId="0" applyNumberFormat="1" applyFont="1"/>
    <xf numFmtId="168" fontId="6" fillId="0" borderId="19" xfId="0" applyNumberFormat="1" applyFont="1" applyBorder="1" applyAlignment="1">
      <alignment horizontal="left" vertical="center"/>
    </xf>
    <xf numFmtId="181" fontId="15" fillId="0" borderId="1" xfId="0" applyNumberFormat="1" applyFont="1" applyBorder="1" applyAlignment="1">
      <alignment horizontal="center"/>
    </xf>
    <xf numFmtId="170" fontId="6" fillId="0" borderId="5" xfId="0" applyNumberFormat="1" applyFont="1" applyBorder="1" applyAlignment="1">
      <alignment horizontal="center" vertical="center"/>
    </xf>
    <xf numFmtId="181" fontId="6" fillId="0" borderId="1" xfId="0" applyNumberFormat="1" applyFont="1" applyBorder="1" applyAlignment="1">
      <alignment horizontal="center"/>
    </xf>
    <xf numFmtId="170" fontId="6" fillId="0" borderId="45" xfId="0" applyNumberFormat="1" applyFont="1" applyBorder="1" applyAlignment="1">
      <alignment horizontal="center" vertical="center"/>
    </xf>
    <xf numFmtId="181" fontId="6" fillId="0" borderId="1" xfId="0" applyNumberFormat="1" applyFont="1" applyBorder="1"/>
    <xf numFmtId="0" fontId="6" fillId="0" borderId="11" xfId="0" applyFont="1" applyBorder="1" applyAlignment="1">
      <alignment horizontal="center" vertical="center"/>
    </xf>
    <xf numFmtId="168" fontId="6" fillId="0" borderId="44" xfId="0" applyNumberFormat="1" applyFont="1" applyBorder="1" applyAlignment="1">
      <alignment horizontal="left" vertical="center"/>
    </xf>
    <xf numFmtId="168" fontId="6" fillId="0" borderId="8" xfId="0" applyNumberFormat="1" applyFont="1" applyBorder="1" applyAlignment="1">
      <alignment horizontal="left" vertical="center"/>
    </xf>
    <xf numFmtId="0" fontId="15" fillId="0" borderId="40" xfId="0" applyFont="1" applyBorder="1" applyAlignment="1">
      <alignment horizontal="center" vertical="center"/>
    </xf>
    <xf numFmtId="170" fontId="15" fillId="0" borderId="5" xfId="0" applyNumberFormat="1" applyFont="1" applyBorder="1" applyAlignment="1">
      <alignment horizontal="center" vertical="center"/>
    </xf>
    <xf numFmtId="0" fontId="6" fillId="0" borderId="5" xfId="0" applyFont="1" applyBorder="1" applyAlignment="1">
      <alignment horizontal="center" vertical="center"/>
    </xf>
    <xf numFmtId="0" fontId="15" fillId="0" borderId="5" xfId="0" applyFont="1" applyBorder="1" applyAlignment="1">
      <alignment horizontal="center" vertical="center"/>
    </xf>
    <xf numFmtId="0" fontId="15" fillId="0" borderId="28" xfId="0" applyFont="1" applyBorder="1"/>
    <xf numFmtId="170" fontId="15" fillId="0" borderId="88" xfId="0" applyNumberFormat="1" applyFont="1" applyBorder="1" applyAlignment="1">
      <alignment horizontal="center" vertical="center"/>
    </xf>
    <xf numFmtId="168" fontId="18" fillId="0" borderId="88" xfId="0" applyNumberFormat="1" applyFont="1" applyBorder="1" applyAlignment="1">
      <alignment horizontal="center" vertical="center"/>
    </xf>
    <xf numFmtId="9" fontId="6" fillId="0" borderId="88" xfId="0" applyNumberFormat="1" applyFont="1" applyBorder="1" applyAlignment="1">
      <alignment horizontal="center" vertical="center"/>
    </xf>
    <xf numFmtId="0" fontId="19" fillId="0" borderId="88" xfId="0" applyFont="1" applyBorder="1" applyAlignment="1">
      <alignment horizontal="center" vertical="center"/>
    </xf>
    <xf numFmtId="0" fontId="4" fillId="0" borderId="0" xfId="0" applyFont="1"/>
    <xf numFmtId="0" fontId="6" fillId="0" borderId="0" xfId="0" applyFont="1" applyAlignment="1">
      <alignment horizontal="left" vertical="center"/>
    </xf>
    <xf numFmtId="0" fontId="18" fillId="0" borderId="5" xfId="0" applyFont="1" applyBorder="1" applyAlignment="1">
      <alignment horizontal="center" vertical="center"/>
    </xf>
    <xf numFmtId="0" fontId="19" fillId="0" borderId="5" xfId="0" applyFont="1" applyBorder="1" applyAlignment="1">
      <alignment horizontal="center" vertical="center"/>
    </xf>
    <xf numFmtId="170" fontId="19" fillId="0" borderId="5" xfId="2" applyNumberFormat="1" applyFont="1" applyBorder="1" applyAlignment="1" applyProtection="1">
      <alignment horizontal="center" vertical="center"/>
    </xf>
    <xf numFmtId="168" fontId="6" fillId="0" borderId="5" xfId="1" applyNumberFormat="1" applyFont="1" applyBorder="1" applyAlignment="1" applyProtection="1">
      <alignment horizontal="center" vertical="center"/>
    </xf>
    <xf numFmtId="0" fontId="42" fillId="0" borderId="0" xfId="0" applyFont="1"/>
    <xf numFmtId="0" fontId="19" fillId="0" borderId="0" xfId="3" applyFont="1"/>
    <xf numFmtId="0" fontId="48" fillId="0" borderId="0" xfId="3" applyFont="1"/>
    <xf numFmtId="0" fontId="31" fillId="0" borderId="0" xfId="0" applyFont="1"/>
    <xf numFmtId="43" fontId="6" fillId="0" borderId="0" xfId="1" applyFont="1" applyProtection="1"/>
    <xf numFmtId="181" fontId="6" fillId="0" borderId="0" xfId="0" applyNumberFormat="1" applyFont="1" applyAlignment="1">
      <alignment horizontal="center"/>
    </xf>
    <xf numFmtId="0" fontId="66" fillId="0" borderId="0" xfId="0" applyFont="1" applyAlignment="1">
      <alignment vertical="center"/>
    </xf>
    <xf numFmtId="43" fontId="6" fillId="0" borderId="0" xfId="1" applyFont="1" applyBorder="1" applyAlignment="1" applyProtection="1"/>
    <xf numFmtId="177" fontId="32" fillId="0" borderId="0" xfId="0" applyNumberFormat="1" applyFont="1"/>
    <xf numFmtId="169" fontId="70" fillId="0" borderId="0" xfId="0" applyNumberFormat="1" applyFont="1"/>
    <xf numFmtId="170" fontId="17" fillId="0" borderId="5" xfId="2" applyNumberFormat="1" applyFont="1" applyBorder="1" applyAlignment="1" applyProtection="1">
      <alignment horizontal="center" vertical="center"/>
    </xf>
    <xf numFmtId="168" fontId="8" fillId="0" borderId="5" xfId="0" applyNumberFormat="1" applyFont="1" applyBorder="1" applyAlignment="1">
      <alignment vertical="center"/>
    </xf>
    <xf numFmtId="168" fontId="5" fillId="0" borderId="1" xfId="0" applyNumberFormat="1" applyFont="1" applyBorder="1" applyAlignment="1">
      <alignment horizontal="center" vertical="center"/>
    </xf>
    <xf numFmtId="168" fontId="18" fillId="0" borderId="0" xfId="0" applyNumberFormat="1" applyFont="1" applyAlignment="1" applyProtection="1">
      <alignment horizontal="left" vertical="center"/>
      <protection locked="0"/>
    </xf>
    <xf numFmtId="0" fontId="5" fillId="0" borderId="0" xfId="0" applyFont="1" applyAlignment="1" applyProtection="1">
      <alignment horizontal="left" vertical="center"/>
      <protection locked="0"/>
    </xf>
    <xf numFmtId="0" fontId="25" fillId="0" borderId="41" xfId="0" applyFont="1" applyBorder="1" applyAlignment="1">
      <alignment horizontal="center"/>
    </xf>
    <xf numFmtId="0" fontId="25" fillId="0" borderId="17" xfId="0" applyFont="1" applyBorder="1" applyAlignment="1">
      <alignment horizontal="center"/>
    </xf>
    <xf numFmtId="0" fontId="25" fillId="0" borderId="71" xfId="0" applyFont="1" applyBorder="1" applyAlignment="1">
      <alignment horizontal="center"/>
    </xf>
    <xf numFmtId="0" fontId="25" fillId="0" borderId="0" xfId="0" applyFont="1" applyAlignment="1">
      <alignment horizontal="left"/>
    </xf>
    <xf numFmtId="0" fontId="25" fillId="0" borderId="0" xfId="0" quotePrefix="1" applyFont="1" applyAlignment="1">
      <alignment horizontal="left" vertical="top"/>
    </xf>
    <xf numFmtId="0" fontId="25" fillId="0" borderId="0" xfId="0" quotePrefix="1" applyFont="1" applyAlignment="1">
      <alignment horizontal="left" vertical="center"/>
    </xf>
    <xf numFmtId="0" fontId="25" fillId="0" borderId="0" xfId="0" quotePrefix="1" applyFont="1" applyAlignment="1">
      <alignment horizontal="center" vertical="top"/>
    </xf>
    <xf numFmtId="0" fontId="25" fillId="0" borderId="0" xfId="0" applyFont="1" applyAlignment="1">
      <alignment horizontal="left" vertical="center" wrapText="1"/>
    </xf>
    <xf numFmtId="0" fontId="101" fillId="0" borderId="0" xfId="0" applyFont="1" applyAlignment="1">
      <alignment horizontal="center" vertical="top" wrapText="1"/>
    </xf>
    <xf numFmtId="180" fontId="101" fillId="0" borderId="0" xfId="1" applyNumberFormat="1" applyFont="1" applyBorder="1" applyAlignment="1">
      <alignment horizontal="center" vertical="top" wrapText="1"/>
    </xf>
    <xf numFmtId="0" fontId="25" fillId="0" borderId="0" xfId="0" applyFont="1" applyAlignment="1">
      <alignment horizontal="right" vertical="top" wrapText="1"/>
    </xf>
    <xf numFmtId="0" fontId="89" fillId="0" borderId="0" xfId="0" applyFont="1" applyAlignment="1">
      <alignment horizontal="center" vertical="center"/>
    </xf>
    <xf numFmtId="9" fontId="89" fillId="0" borderId="0" xfId="0" applyNumberFormat="1" applyFont="1" applyAlignment="1">
      <alignment horizontal="center" vertical="center"/>
    </xf>
    <xf numFmtId="7" fontId="25" fillId="0" borderId="17" xfId="5" applyNumberFormat="1" applyFont="1" applyBorder="1" applyAlignment="1">
      <alignment horizontal="center"/>
    </xf>
    <xf numFmtId="0" fontId="12" fillId="0" borderId="104" xfId="0" applyFont="1" applyBorder="1" applyAlignment="1">
      <alignment vertical="center"/>
    </xf>
    <xf numFmtId="0" fontId="12" fillId="0" borderId="105" xfId="0" applyFont="1" applyBorder="1" applyAlignment="1">
      <alignment vertical="center"/>
    </xf>
    <xf numFmtId="0" fontId="12" fillId="0" borderId="107" xfId="0" applyFont="1" applyBorder="1" applyAlignment="1">
      <alignment vertical="center"/>
    </xf>
    <xf numFmtId="0" fontId="12" fillId="0" borderId="108" xfId="0" applyFont="1" applyBorder="1" applyAlignment="1">
      <alignment vertical="center"/>
    </xf>
    <xf numFmtId="0" fontId="12" fillId="0" borderId="110" xfId="0" applyFont="1" applyBorder="1" applyAlignment="1">
      <alignment vertical="center"/>
    </xf>
    <xf numFmtId="0" fontId="12" fillId="0" borderId="111" xfId="0" applyFont="1" applyBorder="1" applyAlignment="1">
      <alignment horizontal="center" vertical="center"/>
    </xf>
    <xf numFmtId="0" fontId="12" fillId="0" borderId="111" xfId="0" applyFont="1" applyBorder="1" applyAlignment="1">
      <alignment vertical="center"/>
    </xf>
    <xf numFmtId="180" fontId="56" fillId="0" borderId="107" xfId="1" applyNumberFormat="1" applyFont="1" applyBorder="1" applyAlignment="1">
      <alignment horizontal="center" vertical="top" wrapText="1"/>
    </xf>
    <xf numFmtId="43" fontId="69" fillId="0" borderId="0" xfId="1" applyFont="1" applyAlignment="1">
      <alignment horizontal="center"/>
    </xf>
    <xf numFmtId="0" fontId="7" fillId="2" borderId="0" xfId="0" applyFont="1" applyFill="1"/>
    <xf numFmtId="0" fontId="7" fillId="2" borderId="0" xfId="0" applyFont="1" applyFill="1" applyAlignment="1">
      <alignment horizontal="center"/>
    </xf>
    <xf numFmtId="4" fontId="7" fillId="2" borderId="0" xfId="0" applyNumberFormat="1" applyFont="1" applyFill="1" applyAlignment="1">
      <alignment horizontal="center"/>
    </xf>
    <xf numFmtId="9" fontId="7" fillId="2" borderId="0" xfId="2" applyFont="1" applyFill="1" applyAlignment="1">
      <alignment horizontal="center"/>
    </xf>
    <xf numFmtId="2" fontId="7" fillId="2" borderId="0" xfId="0" applyNumberFormat="1" applyFont="1" applyFill="1" applyAlignment="1">
      <alignment horizontal="center"/>
    </xf>
    <xf numFmtId="164" fontId="7" fillId="2" borderId="0" xfId="0" applyNumberFormat="1" applyFont="1" applyFill="1" applyAlignment="1">
      <alignment horizontal="center"/>
    </xf>
    <xf numFmtId="4" fontId="7" fillId="2" borderId="0" xfId="0" applyNumberFormat="1" applyFont="1" applyFill="1"/>
    <xf numFmtId="182" fontId="7" fillId="2" borderId="0" xfId="0" applyNumberFormat="1" applyFont="1" applyFill="1" applyAlignment="1">
      <alignment horizontal="center"/>
    </xf>
    <xf numFmtId="164" fontId="7" fillId="2" borderId="0" xfId="0" applyNumberFormat="1" applyFont="1" applyFill="1"/>
    <xf numFmtId="0" fontId="7" fillId="2" borderId="18" xfId="0" applyFont="1" applyFill="1" applyBorder="1"/>
    <xf numFmtId="0" fontId="7" fillId="2" borderId="18" xfId="0" applyFont="1" applyFill="1" applyBorder="1" applyAlignment="1">
      <alignment horizontal="center"/>
    </xf>
    <xf numFmtId="164" fontId="7" fillId="2" borderId="18" xfId="0" applyNumberFormat="1" applyFont="1" applyFill="1" applyBorder="1" applyAlignment="1">
      <alignment horizontal="center"/>
    </xf>
    <xf numFmtId="4" fontId="7" fillId="2" borderId="18" xfId="0" applyNumberFormat="1" applyFont="1" applyFill="1" applyBorder="1" applyAlignment="1">
      <alignment horizontal="center"/>
    </xf>
    <xf numFmtId="17" fontId="7" fillId="2" borderId="0" xfId="0" applyNumberFormat="1" applyFont="1" applyFill="1" applyAlignment="1">
      <alignment horizontal="center"/>
    </xf>
    <xf numFmtId="43" fontId="7" fillId="2" borderId="0" xfId="0" applyNumberFormat="1" applyFont="1" applyFill="1" applyAlignment="1">
      <alignment horizontal="center"/>
    </xf>
    <xf numFmtId="0" fontId="7" fillId="2" borderId="1" xfId="0" applyFont="1" applyFill="1" applyBorder="1" applyAlignment="1">
      <alignment horizontal="center"/>
    </xf>
    <xf numFmtId="0" fontId="7" fillId="2" borderId="1" xfId="0" applyFont="1" applyFill="1" applyBorder="1"/>
    <xf numFmtId="4" fontId="7" fillId="2" borderId="1" xfId="0" applyNumberFormat="1" applyFont="1" applyFill="1" applyBorder="1" applyAlignment="1">
      <alignment horizontal="center"/>
    </xf>
    <xf numFmtId="9" fontId="7" fillId="2" borderId="1" xfId="2" applyFont="1" applyFill="1" applyBorder="1" applyAlignment="1">
      <alignment horizontal="center"/>
    </xf>
    <xf numFmtId="2" fontId="7" fillId="2" borderId="1" xfId="0" applyNumberFormat="1" applyFont="1" applyFill="1" applyBorder="1" applyAlignment="1">
      <alignment horizontal="center"/>
    </xf>
    <xf numFmtId="2" fontId="7" fillId="2" borderId="1" xfId="0" applyNumberFormat="1" applyFont="1" applyFill="1" applyBorder="1"/>
    <xf numFmtId="164" fontId="7" fillId="2" borderId="1" xfId="0" applyNumberFormat="1" applyFont="1" applyFill="1" applyBorder="1" applyAlignment="1">
      <alignment horizontal="center"/>
    </xf>
    <xf numFmtId="4" fontId="7" fillId="2" borderId="1" xfId="0" applyNumberFormat="1" applyFont="1" applyFill="1" applyBorder="1"/>
    <xf numFmtId="164" fontId="7" fillId="2" borderId="1" xfId="0" applyNumberFormat="1" applyFont="1" applyFill="1" applyBorder="1"/>
    <xf numFmtId="20" fontId="7" fillId="2" borderId="1" xfId="0" applyNumberFormat="1" applyFont="1" applyFill="1" applyBorder="1" applyAlignment="1">
      <alignment horizontal="center"/>
    </xf>
    <xf numFmtId="43" fontId="7" fillId="2" borderId="1" xfId="1" applyFont="1" applyFill="1" applyBorder="1" applyAlignment="1">
      <alignment horizontal="center"/>
    </xf>
    <xf numFmtId="164" fontId="7" fillId="2" borderId="1" xfId="0" applyNumberFormat="1" applyFont="1" applyFill="1" applyBorder="1" applyAlignment="1">
      <alignment vertical="center"/>
    </xf>
    <xf numFmtId="0" fontId="0" fillId="2" borderId="0" xfId="0" applyFill="1"/>
    <xf numFmtId="0" fontId="0" fillId="2" borderId="120" xfId="0" applyFill="1" applyBorder="1" applyAlignment="1">
      <alignment horizontal="center"/>
    </xf>
    <xf numFmtId="0" fontId="1" fillId="2" borderId="121" xfId="0" applyFont="1" applyFill="1" applyBorder="1" applyAlignment="1">
      <alignment horizontal="center"/>
    </xf>
    <xf numFmtId="0" fontId="1" fillId="2" borderId="122" xfId="0" applyFont="1" applyFill="1" applyBorder="1" applyAlignment="1">
      <alignment horizontal="center"/>
    </xf>
    <xf numFmtId="0" fontId="0" fillId="2" borderId="120" xfId="0" applyFill="1" applyBorder="1" applyAlignment="1">
      <alignment horizontal="center" wrapText="1"/>
    </xf>
    <xf numFmtId="0" fontId="0" fillId="2" borderId="25" xfId="0" applyFill="1" applyBorder="1" applyAlignment="1">
      <alignment horizontal="center"/>
    </xf>
    <xf numFmtId="164" fontId="107" fillId="2" borderId="1" xfId="7" applyFont="1" applyFill="1" applyBorder="1" applyAlignment="1">
      <alignment horizontal="center"/>
    </xf>
    <xf numFmtId="164" fontId="107" fillId="2" borderId="41" xfId="7" applyFont="1" applyFill="1" applyBorder="1" applyAlignment="1">
      <alignment horizontal="center"/>
    </xf>
    <xf numFmtId="0" fontId="0" fillId="2" borderId="25" xfId="0" applyFill="1" applyBorder="1" applyAlignment="1">
      <alignment horizontal="center" wrapText="1"/>
    </xf>
    <xf numFmtId="4" fontId="0" fillId="2" borderId="0" xfId="0" applyNumberFormat="1" applyFill="1"/>
    <xf numFmtId="164" fontId="2" fillId="2" borderId="126" xfId="7" applyFont="1" applyFill="1" applyBorder="1"/>
    <xf numFmtId="164" fontId="2" fillId="2" borderId="1" xfId="7" applyFont="1" applyFill="1" applyBorder="1" applyAlignment="1">
      <alignment horizontal="left"/>
    </xf>
    <xf numFmtId="164" fontId="2" fillId="2" borderId="1" xfId="7" applyFont="1" applyFill="1" applyBorder="1"/>
    <xf numFmtId="164" fontId="2" fillId="2" borderId="15" xfId="7" applyFont="1" applyFill="1" applyBorder="1"/>
    <xf numFmtId="164" fontId="2" fillId="2" borderId="127" xfId="7" applyFont="1" applyFill="1" applyBorder="1"/>
    <xf numFmtId="0" fontId="0" fillId="2" borderId="0" xfId="0" applyFill="1" applyAlignment="1">
      <alignment horizontal="right"/>
    </xf>
    <xf numFmtId="43" fontId="0" fillId="2" borderId="0" xfId="1" applyFont="1" applyFill="1"/>
    <xf numFmtId="164" fontId="108" fillId="2" borderId="128" xfId="7" applyFont="1" applyFill="1" applyBorder="1"/>
    <xf numFmtId="164" fontId="108" fillId="2" borderId="129" xfId="7" applyFont="1" applyFill="1" applyBorder="1"/>
    <xf numFmtId="164" fontId="2" fillId="2" borderId="130" xfId="7" applyFont="1" applyFill="1" applyBorder="1"/>
    <xf numFmtId="164" fontId="2" fillId="2" borderId="0" xfId="7" applyFont="1" applyFill="1"/>
    <xf numFmtId="164" fontId="0" fillId="2" borderId="0" xfId="0" applyNumberFormat="1" applyFill="1"/>
    <xf numFmtId="0" fontId="0" fillId="2" borderId="112" xfId="0" applyFill="1" applyBorder="1"/>
    <xf numFmtId="0" fontId="0" fillId="2" borderId="113" xfId="0" applyFill="1" applyBorder="1"/>
    <xf numFmtId="0" fontId="0" fillId="2" borderId="113" xfId="0" applyFill="1" applyBorder="1" applyAlignment="1">
      <alignment horizontal="center"/>
    </xf>
    <xf numFmtId="0" fontId="0" fillId="2" borderId="114" xfId="0" applyFill="1" applyBorder="1" applyAlignment="1">
      <alignment horizontal="center"/>
    </xf>
    <xf numFmtId="0" fontId="0" fillId="2" borderId="115" xfId="0" applyFill="1" applyBorder="1"/>
    <xf numFmtId="0" fontId="0" fillId="2" borderId="116" xfId="0" applyFill="1" applyBorder="1" applyAlignment="1">
      <alignment horizontal="center"/>
    </xf>
    <xf numFmtId="164" fontId="2" fillId="2" borderId="0" xfId="7" applyFont="1" applyFill="1" applyBorder="1"/>
    <xf numFmtId="0" fontId="0" fillId="2" borderId="131" xfId="0" applyFill="1" applyBorder="1" applyAlignment="1">
      <alignment horizontal="center"/>
    </xf>
    <xf numFmtId="0" fontId="1" fillId="2" borderId="116" xfId="0" applyFont="1" applyFill="1" applyBorder="1" applyAlignment="1">
      <alignment horizontal="center"/>
    </xf>
    <xf numFmtId="0" fontId="0" fillId="2" borderId="116" xfId="0" applyFill="1" applyBorder="1"/>
    <xf numFmtId="0" fontId="0" fillId="2" borderId="117" xfId="0" applyFill="1" applyBorder="1"/>
    <xf numFmtId="0" fontId="0" fillId="2" borderId="118" xfId="0" applyFill="1" applyBorder="1"/>
    <xf numFmtId="0" fontId="1" fillId="2" borderId="132" xfId="0" applyFont="1" applyFill="1" applyBorder="1" applyAlignment="1">
      <alignment horizontal="center"/>
    </xf>
    <xf numFmtId="0" fontId="109" fillId="2" borderId="0" xfId="0" applyFont="1" applyFill="1" applyAlignment="1">
      <alignment horizontal="center"/>
    </xf>
    <xf numFmtId="43" fontId="7" fillId="2" borderId="0" xfId="1" applyFont="1" applyFill="1" applyAlignment="1">
      <alignment horizontal="center"/>
    </xf>
    <xf numFmtId="10" fontId="7" fillId="2" borderId="0" xfId="0" applyNumberFormat="1" applyFont="1" applyFill="1" applyAlignment="1">
      <alignment horizontal="center"/>
    </xf>
    <xf numFmtId="10" fontId="19" fillId="0" borderId="1" xfId="2" applyNumberFormat="1" applyFont="1" applyBorder="1" applyAlignment="1" applyProtection="1">
      <alignment horizontal="center" vertical="center"/>
    </xf>
    <xf numFmtId="9" fontId="20" fillId="0" borderId="0" xfId="0" applyNumberFormat="1" applyFont="1" applyAlignment="1">
      <alignment vertical="center"/>
    </xf>
    <xf numFmtId="164" fontId="107" fillId="2" borderId="0" xfId="7" applyFont="1" applyFill="1" applyProtection="1">
      <protection hidden="1"/>
    </xf>
    <xf numFmtId="164" fontId="2" fillId="2" borderId="0" xfId="7" applyFont="1" applyFill="1" applyProtection="1">
      <protection hidden="1"/>
    </xf>
    <xf numFmtId="164" fontId="22" fillId="2" borderId="0" xfId="7" applyFont="1" applyFill="1" applyProtection="1">
      <protection hidden="1"/>
    </xf>
    <xf numFmtId="164" fontId="114" fillId="2" borderId="115" xfId="7" applyFont="1" applyFill="1" applyBorder="1" applyProtection="1">
      <protection hidden="1"/>
    </xf>
    <xf numFmtId="0" fontId="113" fillId="2" borderId="0" xfId="8" applyFont="1" applyFill="1" applyProtection="1">
      <protection hidden="1"/>
    </xf>
    <xf numFmtId="0" fontId="113" fillId="2" borderId="0" xfId="8" applyFont="1" applyFill="1" applyAlignment="1" applyProtection="1">
      <alignment horizontal="center"/>
      <protection hidden="1"/>
    </xf>
    <xf numFmtId="0" fontId="114" fillId="2" borderId="0" xfId="8" applyFont="1" applyFill="1" applyAlignment="1" applyProtection="1">
      <alignment horizontal="center"/>
      <protection hidden="1"/>
    </xf>
    <xf numFmtId="0" fontId="114" fillId="2" borderId="116" xfId="8" applyFont="1" applyFill="1" applyBorder="1" applyAlignment="1" applyProtection="1">
      <alignment horizontal="center"/>
      <protection hidden="1"/>
    </xf>
    <xf numFmtId="0" fontId="114" fillId="2" borderId="0" xfId="8" applyFont="1" applyFill="1" applyProtection="1">
      <protection hidden="1"/>
    </xf>
    <xf numFmtId="164" fontId="114" fillId="2" borderId="0" xfId="7" applyFont="1" applyFill="1" applyBorder="1" applyAlignment="1" applyProtection="1">
      <alignment horizontal="right"/>
      <protection hidden="1"/>
    </xf>
    <xf numFmtId="164" fontId="114" fillId="2" borderId="116" xfId="7" applyFont="1" applyFill="1" applyBorder="1" applyAlignment="1" applyProtection="1">
      <alignment horizontal="right"/>
      <protection hidden="1"/>
    </xf>
    <xf numFmtId="164" fontId="113" fillId="2" borderId="0" xfId="7" applyFont="1" applyFill="1" applyBorder="1" applyAlignment="1" applyProtection="1">
      <alignment horizontal="right"/>
      <protection hidden="1"/>
    </xf>
    <xf numFmtId="10" fontId="114" fillId="2" borderId="0" xfId="7" applyNumberFormat="1" applyFont="1" applyFill="1" applyBorder="1" applyAlignment="1" applyProtection="1">
      <alignment horizontal="right"/>
      <protection hidden="1"/>
    </xf>
    <xf numFmtId="43" fontId="114" fillId="2" borderId="0" xfId="8" applyNumberFormat="1" applyFont="1" applyFill="1" applyAlignment="1" applyProtection="1">
      <alignment horizontal="right"/>
      <protection hidden="1"/>
    </xf>
    <xf numFmtId="43" fontId="114" fillId="2" borderId="116" xfId="8" applyNumberFormat="1" applyFont="1" applyFill="1" applyBorder="1" applyAlignment="1" applyProtection="1">
      <alignment horizontal="right"/>
      <protection hidden="1"/>
    </xf>
    <xf numFmtId="164" fontId="2" fillId="2" borderId="115" xfId="7" applyFont="1" applyFill="1" applyBorder="1" applyProtection="1">
      <protection hidden="1"/>
    </xf>
    <xf numFmtId="164" fontId="2" fillId="2" borderId="0" xfId="7" applyFont="1" applyFill="1" applyBorder="1" applyProtection="1">
      <protection hidden="1"/>
    </xf>
    <xf numFmtId="164" fontId="2" fillId="2" borderId="116" xfId="7" applyFont="1" applyFill="1" applyBorder="1" applyProtection="1">
      <protection hidden="1"/>
    </xf>
    <xf numFmtId="164" fontId="115" fillId="2" borderId="0" xfId="7" applyFont="1" applyFill="1" applyBorder="1" applyProtection="1">
      <protection hidden="1"/>
    </xf>
    <xf numFmtId="9" fontId="2" fillId="2" borderId="0" xfId="7" applyNumberFormat="1" applyFont="1" applyFill="1" applyBorder="1" applyAlignment="1" applyProtection="1">
      <alignment horizontal="left"/>
      <protection hidden="1"/>
    </xf>
    <xf numFmtId="164" fontId="2" fillId="2" borderId="117" xfId="7" applyFont="1" applyFill="1" applyBorder="1" applyProtection="1">
      <protection hidden="1"/>
    </xf>
    <xf numFmtId="164" fontId="2" fillId="2" borderId="118" xfId="7" applyFont="1" applyFill="1" applyBorder="1" applyProtection="1">
      <protection hidden="1"/>
    </xf>
    <xf numFmtId="183" fontId="2" fillId="2" borderId="0" xfId="7" applyNumberFormat="1" applyFont="1" applyFill="1" applyProtection="1">
      <protection hidden="1"/>
    </xf>
    <xf numFmtId="0" fontId="61" fillId="2" borderId="0" xfId="0" applyFont="1" applyFill="1"/>
    <xf numFmtId="0" fontId="61" fillId="2" borderId="0" xfId="0" applyFont="1" applyFill="1" applyAlignment="1">
      <alignment horizontal="center"/>
    </xf>
    <xf numFmtId="0" fontId="61" fillId="2" borderId="0" xfId="1" applyNumberFormat="1" applyFont="1" applyFill="1" applyAlignment="1" applyProtection="1">
      <alignment horizontal="center"/>
    </xf>
    <xf numFmtId="0" fontId="59" fillId="2" borderId="0" xfId="1" applyNumberFormat="1" applyFont="1" applyFill="1" applyAlignment="1" applyProtection="1">
      <alignment horizontal="center"/>
    </xf>
    <xf numFmtId="43" fontId="59" fillId="2" borderId="0" xfId="1" applyFont="1" applyFill="1" applyAlignment="1" applyProtection="1">
      <alignment horizontal="center"/>
    </xf>
    <xf numFmtId="43" fontId="59" fillId="2" borderId="0" xfId="1" applyFont="1" applyFill="1" applyProtection="1"/>
    <xf numFmtId="0" fontId="59" fillId="2" borderId="0" xfId="0" applyFont="1" applyFill="1"/>
    <xf numFmtId="0" fontId="59" fillId="2" borderId="0" xfId="0" applyFont="1" applyFill="1" applyAlignment="1">
      <alignment horizontal="center"/>
    </xf>
    <xf numFmtId="9" fontId="59" fillId="2" borderId="0" xfId="2" applyFont="1" applyFill="1" applyAlignment="1" applyProtection="1">
      <alignment horizontal="center"/>
    </xf>
    <xf numFmtId="9" fontId="59" fillId="2" borderId="0" xfId="2" applyFont="1" applyFill="1" applyProtection="1"/>
    <xf numFmtId="43" fontId="18" fillId="2" borderId="0" xfId="1" applyFont="1" applyFill="1" applyAlignment="1" applyProtection="1">
      <alignment horizontal="left"/>
    </xf>
    <xf numFmtId="43" fontId="99" fillId="2" borderId="0" xfId="1" applyFont="1" applyFill="1" applyAlignment="1" applyProtection="1">
      <alignment horizontal="left"/>
    </xf>
    <xf numFmtId="9" fontId="18" fillId="2" borderId="0" xfId="2" applyFont="1" applyFill="1" applyAlignment="1" applyProtection="1">
      <alignment horizontal="left"/>
    </xf>
    <xf numFmtId="43" fontId="18" fillId="2" borderId="0" xfId="1" applyFont="1" applyFill="1" applyAlignment="1" applyProtection="1"/>
    <xf numFmtId="43" fontId="99" fillId="2" borderId="0" xfId="1" applyFont="1" applyFill="1" applyAlignment="1" applyProtection="1"/>
    <xf numFmtId="9" fontId="18" fillId="2" borderId="0" xfId="2" applyFont="1" applyFill="1" applyAlignment="1" applyProtection="1"/>
    <xf numFmtId="0" fontId="106" fillId="2" borderId="0" xfId="0" applyFont="1" applyFill="1" applyAlignment="1">
      <alignment horizontal="center"/>
    </xf>
    <xf numFmtId="0" fontId="67" fillId="2" borderId="0" xfId="0" applyFont="1" applyFill="1" applyAlignment="1">
      <alignment horizontal="center"/>
    </xf>
    <xf numFmtId="43" fontId="67" fillId="2" borderId="0" xfId="1" applyFont="1" applyFill="1" applyAlignment="1" applyProtection="1">
      <alignment horizontal="center"/>
    </xf>
    <xf numFmtId="9" fontId="59" fillId="2" borderId="0" xfId="0" applyNumberFormat="1" applyFont="1" applyFill="1" applyAlignment="1">
      <alignment horizontal="center"/>
    </xf>
    <xf numFmtId="0" fontId="96" fillId="14" borderId="1" xfId="0" applyFont="1" applyFill="1" applyBorder="1" applyAlignment="1">
      <alignment horizontal="center" vertical="center" wrapText="1"/>
    </xf>
    <xf numFmtId="0" fontId="98" fillId="2" borderId="0" xfId="0" applyFont="1" applyFill="1" applyAlignment="1">
      <alignment horizontal="center" vertical="center"/>
    </xf>
    <xf numFmtId="43" fontId="98" fillId="2" borderId="0" xfId="1" applyFont="1" applyFill="1" applyAlignment="1" applyProtection="1">
      <alignment horizontal="center" vertical="center"/>
    </xf>
    <xf numFmtId="170" fontId="96" fillId="14" borderId="1" xfId="0" applyNumberFormat="1" applyFont="1" applyFill="1" applyBorder="1" applyAlignment="1">
      <alignment horizontal="center" vertical="center" wrapText="1"/>
    </xf>
    <xf numFmtId="0" fontId="100" fillId="2" borderId="1" xfId="0" applyFont="1" applyFill="1" applyBorder="1" applyAlignment="1">
      <alignment horizontal="center" vertical="center" wrapText="1"/>
    </xf>
    <xf numFmtId="0" fontId="100" fillId="2" borderId="25" xfId="0" applyFont="1" applyFill="1" applyBorder="1" applyAlignment="1">
      <alignment horizontal="center" vertical="center" wrapText="1"/>
    </xf>
    <xf numFmtId="0" fontId="100" fillId="2" borderId="1" xfId="1" applyNumberFormat="1" applyFont="1" applyFill="1" applyBorder="1" applyAlignment="1" applyProtection="1">
      <alignment horizontal="center" vertical="center" wrapText="1"/>
    </xf>
    <xf numFmtId="0" fontId="59" fillId="2" borderId="1" xfId="1" applyNumberFormat="1" applyFont="1" applyFill="1" applyBorder="1" applyAlignment="1" applyProtection="1">
      <alignment horizontal="center" vertical="center" wrapText="1"/>
    </xf>
    <xf numFmtId="43" fontId="59" fillId="2" borderId="1" xfId="1" applyFont="1" applyFill="1" applyBorder="1" applyAlignment="1" applyProtection="1">
      <alignment horizontal="center" vertical="center" wrapText="1"/>
    </xf>
    <xf numFmtId="43" fontId="59" fillId="2" borderId="1" xfId="1" applyFont="1" applyFill="1" applyBorder="1" applyProtection="1"/>
    <xf numFmtId="0" fontId="59" fillId="2" borderId="1" xfId="0" applyFont="1" applyFill="1" applyBorder="1" applyAlignment="1">
      <alignment horizontal="center" vertical="center" wrapText="1"/>
    </xf>
    <xf numFmtId="43" fontId="59" fillId="2" borderId="1" xfId="0" applyNumberFormat="1" applyFont="1" applyFill="1" applyBorder="1" applyAlignment="1">
      <alignment horizontal="center" vertical="center" wrapText="1"/>
    </xf>
    <xf numFmtId="43" fontId="59" fillId="2" borderId="1" xfId="1" applyFont="1" applyFill="1" applyBorder="1" applyAlignment="1" applyProtection="1">
      <alignment horizontal="center"/>
    </xf>
    <xf numFmtId="43" fontId="59" fillId="2" borderId="1" xfId="0" applyNumberFormat="1" applyFont="1" applyFill="1" applyBorder="1" applyAlignment="1">
      <alignment horizontal="center"/>
    </xf>
    <xf numFmtId="9" fontId="59" fillId="2" borderId="1" xfId="2" applyFont="1" applyFill="1" applyBorder="1" applyAlignment="1" applyProtection="1">
      <alignment horizontal="center" vertical="center" wrapText="1"/>
    </xf>
    <xf numFmtId="2" fontId="59" fillId="2" borderId="1" xfId="0" applyNumberFormat="1" applyFont="1" applyFill="1" applyBorder="1" applyAlignment="1">
      <alignment horizontal="center" vertical="center" wrapText="1"/>
    </xf>
    <xf numFmtId="10" fontId="59" fillId="2" borderId="1" xfId="0" applyNumberFormat="1" applyFont="1" applyFill="1" applyBorder="1" applyAlignment="1">
      <alignment horizontal="center"/>
    </xf>
    <xf numFmtId="0" fontId="59" fillId="2" borderId="0" xfId="0" applyFont="1" applyFill="1" applyAlignment="1">
      <alignment horizontal="center" vertical="center"/>
    </xf>
    <xf numFmtId="43" fontId="59" fillId="2" borderId="0" xfId="1" applyFont="1" applyFill="1" applyAlignment="1" applyProtection="1">
      <alignment horizontal="center" vertical="center"/>
    </xf>
    <xf numFmtId="0" fontId="59" fillId="2" borderId="1" xfId="0" applyFont="1" applyFill="1" applyBorder="1" applyAlignment="1">
      <alignment horizontal="center" vertical="center"/>
    </xf>
    <xf numFmtId="4" fontId="59" fillId="2" borderId="1" xfId="0" applyNumberFormat="1" applyFont="1" applyFill="1" applyBorder="1" applyAlignment="1">
      <alignment horizontal="center"/>
    </xf>
    <xf numFmtId="43" fontId="59" fillId="2" borderId="0" xfId="0" applyNumberFormat="1" applyFont="1" applyFill="1"/>
    <xf numFmtId="164" fontId="59" fillId="2" borderId="1" xfId="0" applyNumberFormat="1" applyFont="1" applyFill="1" applyBorder="1"/>
    <xf numFmtId="43" fontId="59" fillId="2" borderId="1" xfId="0" applyNumberFormat="1" applyFont="1" applyFill="1" applyBorder="1"/>
    <xf numFmtId="164" fontId="59" fillId="2" borderId="0" xfId="0" applyNumberFormat="1" applyFont="1" applyFill="1"/>
    <xf numFmtId="0" fontId="100" fillId="2" borderId="118" xfId="0" applyFont="1" applyFill="1" applyBorder="1" applyAlignment="1">
      <alignment horizontal="center" vertical="center" wrapText="1"/>
    </xf>
    <xf numFmtId="0" fontId="61" fillId="2" borderId="118" xfId="1" applyNumberFormat="1" applyFont="1" applyFill="1" applyBorder="1" applyAlignment="1" applyProtection="1">
      <alignment horizontal="center"/>
    </xf>
    <xf numFmtId="0" fontId="100" fillId="2" borderId="118" xfId="1" applyNumberFormat="1" applyFont="1" applyFill="1" applyBorder="1" applyAlignment="1" applyProtection="1">
      <alignment horizontal="center" vertical="center" wrapText="1"/>
    </xf>
    <xf numFmtId="43" fontId="61" fillId="2" borderId="0" xfId="1" applyFont="1" applyFill="1" applyAlignment="1" applyProtection="1">
      <alignment horizontal="center"/>
    </xf>
    <xf numFmtId="43" fontId="61" fillId="2" borderId="0" xfId="1" applyFont="1" applyFill="1" applyProtection="1"/>
    <xf numFmtId="9" fontId="61" fillId="2" borderId="0" xfId="2" applyFont="1" applyFill="1" applyAlignment="1" applyProtection="1">
      <alignment horizontal="center"/>
    </xf>
    <xf numFmtId="0" fontId="59" fillId="15" borderId="0" xfId="0" applyFont="1" applyFill="1" applyAlignment="1">
      <alignment horizontal="left"/>
    </xf>
    <xf numFmtId="0" fontId="98" fillId="15" borderId="0" xfId="0" applyFont="1" applyFill="1" applyAlignment="1">
      <alignment horizontal="center"/>
    </xf>
    <xf numFmtId="43" fontId="67" fillId="2" borderId="0" xfId="0" applyNumberFormat="1" applyFont="1" applyFill="1" applyAlignment="1">
      <alignment horizontal="center"/>
    </xf>
    <xf numFmtId="0" fontId="19" fillId="2" borderId="0" xfId="0" applyFont="1" applyFill="1" applyAlignment="1">
      <alignment horizontal="left"/>
    </xf>
    <xf numFmtId="165" fontId="19" fillId="2" borderId="0" xfId="0" applyNumberFormat="1" applyFont="1" applyFill="1" applyAlignment="1">
      <alignment horizontal="left"/>
    </xf>
    <xf numFmtId="0" fontId="59" fillId="2" borderId="0" xfId="1" applyNumberFormat="1" applyFont="1" applyFill="1" applyAlignment="1" applyProtection="1">
      <alignment horizontal="left"/>
    </xf>
    <xf numFmtId="43" fontId="59" fillId="2" borderId="0" xfId="1" applyFont="1" applyFill="1" applyAlignment="1" applyProtection="1">
      <alignment horizontal="left"/>
    </xf>
    <xf numFmtId="0" fontId="7" fillId="0" borderId="1" xfId="0" applyFont="1" applyBorder="1" applyAlignment="1" applyProtection="1">
      <alignment horizontal="center"/>
      <protection hidden="1"/>
    </xf>
    <xf numFmtId="0" fontId="105" fillId="2" borderId="0" xfId="0" applyFont="1" applyFill="1" applyAlignment="1">
      <alignment horizontal="center"/>
    </xf>
    <xf numFmtId="43" fontId="18" fillId="2" borderId="0" xfId="1" applyFont="1" applyFill="1" applyAlignment="1" applyProtection="1">
      <alignment horizontal="center"/>
    </xf>
    <xf numFmtId="164" fontId="98" fillId="2" borderId="0" xfId="0" applyNumberFormat="1" applyFont="1" applyFill="1" applyAlignment="1">
      <alignment horizontal="center" vertical="center"/>
    </xf>
    <xf numFmtId="43" fontId="59" fillId="2" borderId="0" xfId="0" applyNumberFormat="1" applyFont="1" applyFill="1" applyAlignment="1">
      <alignment horizontal="center" vertical="center"/>
    </xf>
    <xf numFmtId="0" fontId="6" fillId="0" borderId="15" xfId="0" applyFont="1" applyBorder="1" applyAlignment="1">
      <alignment horizontal="center" vertical="center"/>
    </xf>
    <xf numFmtId="0" fontId="6" fillId="0" borderId="24" xfId="0" applyFont="1" applyBorder="1" applyAlignment="1">
      <alignment horizontal="center" vertical="center"/>
    </xf>
    <xf numFmtId="0" fontId="80" fillId="0" borderId="0" xfId="0" applyFont="1" applyAlignment="1">
      <alignment horizontal="center" vertical="center"/>
    </xf>
    <xf numFmtId="170" fontId="6" fillId="0" borderId="88" xfId="0" applyNumberFormat="1" applyFont="1" applyBorder="1" applyAlignment="1">
      <alignment horizontal="center" vertical="center"/>
    </xf>
    <xf numFmtId="168" fontId="12" fillId="0" borderId="0" xfId="0" applyNumberFormat="1" applyFont="1"/>
    <xf numFmtId="172" fontId="12" fillId="0" borderId="0" xfId="0" applyNumberFormat="1" applyFont="1" applyAlignment="1">
      <alignment vertical="center"/>
    </xf>
    <xf numFmtId="168" fontId="6" fillId="0" borderId="0" xfId="0" applyNumberFormat="1" applyFont="1"/>
    <xf numFmtId="14" fontId="59" fillId="2" borderId="0" xfId="0" applyNumberFormat="1" applyFont="1" applyFill="1" applyAlignment="1">
      <alignment horizontal="center"/>
    </xf>
    <xf numFmtId="0" fontId="59" fillId="2" borderId="1" xfId="0" applyFont="1" applyFill="1" applyBorder="1" applyAlignment="1">
      <alignment horizontal="center"/>
    </xf>
    <xf numFmtId="14" fontId="59" fillId="2" borderId="0" xfId="0" applyNumberFormat="1" applyFont="1" applyFill="1"/>
    <xf numFmtId="168" fontId="6" fillId="0" borderId="0" xfId="0" applyNumberFormat="1" applyFont="1" applyProtection="1">
      <protection locked="0"/>
    </xf>
    <xf numFmtId="172" fontId="6" fillId="0" borderId="0" xfId="0" applyNumberFormat="1" applyFont="1" applyProtection="1">
      <protection locked="0"/>
    </xf>
    <xf numFmtId="0" fontId="98" fillId="2" borderId="118" xfId="1" applyNumberFormat="1" applyFont="1" applyFill="1" applyBorder="1" applyAlignment="1" applyProtection="1">
      <alignment horizontal="center" vertical="center" wrapText="1"/>
    </xf>
    <xf numFmtId="43" fontId="98" fillId="2" borderId="118" xfId="1" applyFont="1" applyFill="1" applyBorder="1" applyAlignment="1" applyProtection="1">
      <alignment horizontal="center"/>
    </xf>
    <xf numFmtId="43" fontId="98" fillId="2" borderId="118" xfId="1" applyFont="1" applyFill="1" applyBorder="1" applyProtection="1"/>
    <xf numFmtId="0" fontId="98" fillId="2" borderId="118" xfId="0" applyFont="1" applyFill="1" applyBorder="1" applyAlignment="1">
      <alignment horizontal="center"/>
    </xf>
    <xf numFmtId="4" fontId="98" fillId="2" borderId="118" xfId="0" applyNumberFormat="1" applyFont="1" applyFill="1" applyBorder="1" applyAlignment="1">
      <alignment horizontal="center"/>
    </xf>
    <xf numFmtId="43" fontId="98" fillId="2" borderId="118" xfId="0" applyNumberFormat="1" applyFont="1" applyFill="1" applyBorder="1" applyAlignment="1">
      <alignment horizontal="center" vertical="center" wrapText="1"/>
    </xf>
    <xf numFmtId="9" fontId="98" fillId="2" borderId="118" xfId="2" applyFont="1" applyFill="1" applyBorder="1" applyAlignment="1" applyProtection="1">
      <alignment horizontal="center"/>
    </xf>
    <xf numFmtId="43" fontId="98" fillId="2" borderId="118" xfId="0" applyNumberFormat="1" applyFont="1" applyFill="1" applyBorder="1" applyAlignment="1">
      <alignment horizontal="center"/>
    </xf>
    <xf numFmtId="10" fontId="98" fillId="2" borderId="118" xfId="0" applyNumberFormat="1" applyFont="1" applyFill="1" applyBorder="1" applyAlignment="1">
      <alignment horizontal="center"/>
    </xf>
    <xf numFmtId="0" fontId="98" fillId="2" borderId="0" xfId="0" applyFont="1" applyFill="1"/>
    <xf numFmtId="43" fontId="59" fillId="2" borderId="1" xfId="1" applyFont="1" applyFill="1" applyBorder="1" applyAlignment="1" applyProtection="1"/>
    <xf numFmtId="43" fontId="59" fillId="2" borderId="1" xfId="1" applyFont="1" applyFill="1" applyBorder="1" applyAlignment="1" applyProtection="1">
      <alignment vertical="center"/>
    </xf>
    <xf numFmtId="4" fontId="59" fillId="2" borderId="1" xfId="0" applyNumberFormat="1" applyFont="1" applyFill="1" applyBorder="1" applyAlignment="1">
      <alignment horizontal="center" vertical="center"/>
    </xf>
    <xf numFmtId="43" fontId="59" fillId="2" borderId="1" xfId="1" applyFont="1" applyFill="1" applyBorder="1" applyAlignment="1" applyProtection="1">
      <alignment horizontal="center" vertical="center"/>
    </xf>
    <xf numFmtId="43" fontId="59" fillId="2" borderId="1" xfId="0" applyNumberFormat="1" applyFont="1" applyFill="1" applyBorder="1" applyAlignment="1">
      <alignment horizontal="center" vertical="center"/>
    </xf>
    <xf numFmtId="10" fontId="59" fillId="2" borderId="1" xfId="0" applyNumberFormat="1" applyFont="1" applyFill="1" applyBorder="1" applyAlignment="1">
      <alignment horizontal="center" vertical="center"/>
    </xf>
    <xf numFmtId="0" fontId="59" fillId="2" borderId="0" xfId="0" applyFont="1" applyFill="1" applyAlignment="1">
      <alignment vertical="center"/>
    </xf>
    <xf numFmtId="164" fontId="59" fillId="2" borderId="1" xfId="0" applyNumberFormat="1" applyFont="1" applyFill="1" applyBorder="1" applyAlignment="1">
      <alignment vertical="center"/>
    </xf>
    <xf numFmtId="43" fontId="59" fillId="2" borderId="1" xfId="0" applyNumberFormat="1" applyFont="1" applyFill="1" applyBorder="1" applyAlignment="1">
      <alignment vertical="center"/>
    </xf>
    <xf numFmtId="0" fontId="100" fillId="2" borderId="1" xfId="0" applyFont="1" applyFill="1" applyBorder="1" applyAlignment="1">
      <alignment horizontal="center" vertical="center"/>
    </xf>
    <xf numFmtId="0" fontId="100" fillId="2" borderId="25" xfId="0" applyFont="1" applyFill="1" applyBorder="1" applyAlignment="1">
      <alignment horizontal="center" vertical="center"/>
    </xf>
    <xf numFmtId="0" fontId="100" fillId="2" borderId="1" xfId="1" applyNumberFormat="1" applyFont="1" applyFill="1" applyBorder="1" applyAlignment="1" applyProtection="1">
      <alignment horizontal="center" vertical="center"/>
    </xf>
    <xf numFmtId="0" fontId="59" fillId="2" borderId="1" xfId="1" applyNumberFormat="1" applyFont="1" applyFill="1" applyBorder="1" applyAlignment="1" applyProtection="1">
      <alignment horizontal="center" vertical="center"/>
    </xf>
    <xf numFmtId="9" fontId="59" fillId="2" borderId="1" xfId="2" applyFont="1" applyFill="1" applyBorder="1" applyAlignment="1" applyProtection="1">
      <alignment horizontal="center" vertical="center"/>
    </xf>
    <xf numFmtId="2" fontId="59" fillId="2" borderId="1" xfId="0" applyNumberFormat="1" applyFont="1" applyFill="1" applyBorder="1" applyAlignment="1">
      <alignment horizontal="center" vertical="center"/>
    </xf>
    <xf numFmtId="43" fontId="30" fillId="0" borderId="0" xfId="1" applyFont="1" applyFill="1" applyBorder="1" applyAlignment="1" applyProtection="1">
      <alignment horizontal="center"/>
      <protection hidden="1"/>
    </xf>
    <xf numFmtId="43" fontId="7" fillId="0" borderId="0" xfId="1" applyFont="1" applyFill="1" applyBorder="1" applyAlignment="1" applyProtection="1">
      <alignment horizontal="center"/>
      <protection hidden="1"/>
    </xf>
    <xf numFmtId="43" fontId="51" fillId="0" borderId="0" xfId="1" applyFont="1" applyFill="1" applyBorder="1" applyAlignment="1" applyProtection="1">
      <alignment horizontal="center"/>
      <protection hidden="1"/>
    </xf>
    <xf numFmtId="185" fontId="116" fillId="0" borderId="0" xfId="2" applyNumberFormat="1" applyFont="1" applyFill="1" applyBorder="1" applyAlignment="1" applyProtection="1">
      <alignment horizontal="center"/>
      <protection hidden="1"/>
    </xf>
    <xf numFmtId="170" fontId="30" fillId="0" borderId="0" xfId="2" applyNumberFormat="1" applyFont="1" applyFill="1" applyBorder="1" applyAlignment="1" applyProtection="1">
      <alignment horizontal="center" vertical="center"/>
      <protection hidden="1"/>
    </xf>
    <xf numFmtId="170" fontId="7" fillId="0" borderId="0" xfId="2" applyNumberFormat="1" applyFont="1" applyFill="1" applyBorder="1" applyAlignment="1" applyProtection="1">
      <alignment horizontal="center"/>
      <protection hidden="1"/>
    </xf>
    <xf numFmtId="0" fontId="51" fillId="0" borderId="1" xfId="2" applyNumberFormat="1" applyFont="1" applyFill="1" applyBorder="1" applyAlignment="1" applyProtection="1">
      <alignment horizontal="center" vertical="center"/>
      <protection hidden="1"/>
    </xf>
    <xf numFmtId="0" fontId="10" fillId="0" borderId="1" xfId="2" applyNumberFormat="1" applyFont="1" applyFill="1" applyBorder="1" applyAlignment="1" applyProtection="1">
      <alignment horizontal="center" vertical="center"/>
      <protection hidden="1"/>
    </xf>
    <xf numFmtId="43" fontId="30" fillId="0" borderId="1" xfId="1" applyFont="1" applyFill="1" applyBorder="1" applyAlignment="1" applyProtection="1">
      <protection hidden="1"/>
    </xf>
    <xf numFmtId="43" fontId="7" fillId="0" borderId="1" xfId="1" applyFont="1" applyFill="1" applyBorder="1" applyAlignment="1" applyProtection="1">
      <protection hidden="1"/>
    </xf>
    <xf numFmtId="43" fontId="10" fillId="0" borderId="0" xfId="1" applyFont="1" applyFill="1" applyBorder="1" applyAlignment="1" applyProtection="1">
      <alignment horizontal="center"/>
      <protection hidden="1"/>
    </xf>
    <xf numFmtId="9" fontId="7" fillId="0" borderId="0" xfId="2" applyFont="1" applyFill="1" applyBorder="1" applyAlignment="1" applyProtection="1">
      <alignment horizontal="center"/>
      <protection hidden="1"/>
    </xf>
    <xf numFmtId="9" fontId="7" fillId="0" borderId="0" xfId="1" applyNumberFormat="1" applyFont="1" applyFill="1" applyBorder="1" applyAlignment="1" applyProtection="1">
      <alignment horizontal="center"/>
      <protection hidden="1"/>
    </xf>
    <xf numFmtId="10" fontId="7" fillId="0" borderId="0" xfId="1" applyNumberFormat="1" applyFont="1" applyFill="1" applyBorder="1" applyAlignment="1" applyProtection="1">
      <alignment horizontal="center"/>
      <protection hidden="1"/>
    </xf>
    <xf numFmtId="43" fontId="10" fillId="0" borderId="1" xfId="1" applyFont="1" applyFill="1" applyBorder="1" applyAlignment="1" applyProtection="1">
      <alignment horizontal="center" vertical="center"/>
      <protection hidden="1"/>
    </xf>
    <xf numFmtId="43" fontId="7" fillId="0" borderId="1" xfId="1" applyFont="1" applyFill="1" applyBorder="1" applyAlignment="1" applyProtection="1">
      <alignment horizontal="center"/>
      <protection hidden="1"/>
    </xf>
    <xf numFmtId="0" fontId="30" fillId="0" borderId="0" xfId="0" applyFont="1" applyProtection="1">
      <protection hidden="1"/>
    </xf>
    <xf numFmtId="0" fontId="30" fillId="0" borderId="0" xfId="0" applyFont="1" applyAlignment="1" applyProtection="1">
      <alignment horizontal="center"/>
      <protection hidden="1"/>
    </xf>
    <xf numFmtId="0" fontId="7" fillId="0" borderId="0" xfId="0" applyFont="1" applyAlignment="1" applyProtection="1">
      <alignment horizontal="center"/>
      <protection hidden="1"/>
    </xf>
    <xf numFmtId="43" fontId="7" fillId="0" borderId="0" xfId="1" applyFont="1" applyFill="1" applyBorder="1" applyAlignment="1" applyProtection="1">
      <alignment horizontal="left"/>
      <protection hidden="1"/>
    </xf>
    <xf numFmtId="4" fontId="7" fillId="0" borderId="0" xfId="0" applyNumberFormat="1" applyFont="1" applyAlignment="1" applyProtection="1">
      <alignment horizontal="center"/>
      <protection hidden="1"/>
    </xf>
    <xf numFmtId="4" fontId="7" fillId="0" borderId="0" xfId="0" applyNumberFormat="1" applyFont="1" applyProtection="1">
      <protection hidden="1"/>
    </xf>
    <xf numFmtId="0" fontId="7" fillId="0" borderId="0" xfId="0" applyFont="1" applyProtection="1">
      <protection hidden="1"/>
    </xf>
    <xf numFmtId="185" fontId="51" fillId="0" borderId="0" xfId="1" applyNumberFormat="1" applyFont="1" applyFill="1" applyBorder="1" applyAlignment="1" applyProtection="1">
      <alignment horizontal="center"/>
      <protection hidden="1"/>
    </xf>
    <xf numFmtId="185" fontId="51" fillId="0" borderId="0" xfId="2" applyNumberFormat="1" applyFont="1" applyFill="1" applyBorder="1" applyAlignment="1" applyProtection="1">
      <alignment horizontal="center"/>
      <protection hidden="1"/>
    </xf>
    <xf numFmtId="10" fontId="7" fillId="0" borderId="0" xfId="0" applyNumberFormat="1" applyFont="1" applyAlignment="1" applyProtection="1">
      <alignment horizontal="center"/>
      <protection hidden="1"/>
    </xf>
    <xf numFmtId="10" fontId="30" fillId="0" borderId="0" xfId="2" applyNumberFormat="1" applyFont="1" applyFill="1" applyBorder="1" applyAlignment="1" applyProtection="1">
      <alignment horizontal="center"/>
      <protection hidden="1"/>
    </xf>
    <xf numFmtId="164" fontId="7" fillId="0" borderId="0" xfId="0" applyNumberFormat="1" applyFont="1" applyAlignment="1" applyProtection="1">
      <alignment horizontal="center"/>
      <protection hidden="1"/>
    </xf>
    <xf numFmtId="17" fontId="10" fillId="0" borderId="0" xfId="0" applyNumberFormat="1" applyFont="1" applyAlignment="1">
      <alignment horizontal="center"/>
    </xf>
    <xf numFmtId="0" fontId="51" fillId="0" borderId="1" xfId="0" applyFont="1" applyBorder="1" applyAlignment="1" applyProtection="1">
      <alignment horizontal="center" vertical="center" wrapText="1"/>
      <protection hidden="1"/>
    </xf>
    <xf numFmtId="0" fontId="51" fillId="0" borderId="1" xfId="0" applyFont="1" applyBorder="1" applyAlignment="1" applyProtection="1">
      <alignment horizontal="center" vertical="center"/>
      <protection hidden="1"/>
    </xf>
    <xf numFmtId="0" fontId="10" fillId="0" borderId="1" xfId="0" applyFont="1" applyBorder="1" applyAlignment="1" applyProtection="1">
      <alignment horizontal="center" vertical="center" wrapText="1"/>
      <protection hidden="1"/>
    </xf>
    <xf numFmtId="0" fontId="10" fillId="0" borderId="1" xfId="0" applyFont="1" applyBorder="1" applyAlignment="1" applyProtection="1">
      <alignment horizontal="center" vertical="center"/>
      <protection hidden="1"/>
    </xf>
    <xf numFmtId="43" fontId="51" fillId="0" borderId="1" xfId="1" applyFont="1" applyFill="1" applyBorder="1" applyAlignment="1" applyProtection="1">
      <alignment horizontal="center" vertical="center"/>
      <protection hidden="1"/>
    </xf>
    <xf numFmtId="43" fontId="10" fillId="0" borderId="1" xfId="1" applyFont="1" applyFill="1" applyBorder="1" applyAlignment="1" applyProtection="1">
      <alignment horizontal="center" vertical="center" wrapText="1"/>
      <protection hidden="1"/>
    </xf>
    <xf numFmtId="4" fontId="10" fillId="0" borderId="1" xfId="0" applyNumberFormat="1" applyFont="1" applyBorder="1" applyAlignment="1" applyProtection="1">
      <alignment horizontal="center" vertical="center"/>
      <protection hidden="1"/>
    </xf>
    <xf numFmtId="170" fontId="51" fillId="0" borderId="1" xfId="2" applyNumberFormat="1" applyFont="1" applyFill="1" applyBorder="1" applyAlignment="1" applyProtection="1">
      <alignment horizontal="center" vertical="center"/>
      <protection hidden="1"/>
    </xf>
    <xf numFmtId="9" fontId="10" fillId="0" borderId="1" xfId="2" applyFont="1" applyFill="1" applyBorder="1" applyAlignment="1" applyProtection="1">
      <alignment horizontal="center" vertical="center"/>
      <protection hidden="1"/>
    </xf>
    <xf numFmtId="182" fontId="10" fillId="0" borderId="0" xfId="0" applyNumberFormat="1" applyFont="1" applyAlignment="1" applyProtection="1">
      <alignment horizontal="center" vertical="center"/>
      <protection hidden="1"/>
    </xf>
    <xf numFmtId="0" fontId="10" fillId="0" borderId="1" xfId="0" applyFont="1" applyBorder="1" applyAlignment="1">
      <alignment horizontal="center" vertical="center"/>
    </xf>
    <xf numFmtId="0" fontId="10" fillId="0" borderId="0" xfId="0" applyFont="1" applyAlignment="1" applyProtection="1">
      <alignment horizontal="center" vertical="center"/>
      <protection hidden="1"/>
    </xf>
    <xf numFmtId="0" fontId="30" fillId="0" borderId="1" xfId="0" applyFont="1" applyBorder="1" applyAlignment="1" applyProtection="1">
      <alignment horizontal="center"/>
      <protection hidden="1"/>
    </xf>
    <xf numFmtId="0" fontId="30" fillId="0" borderId="1" xfId="0" applyFont="1" applyBorder="1" applyAlignment="1" applyProtection="1">
      <alignment horizontal="center" vertical="center"/>
      <protection hidden="1"/>
    </xf>
    <xf numFmtId="164" fontId="7" fillId="0" borderId="1" xfId="0" applyNumberFormat="1" applyFont="1" applyBorder="1" applyAlignment="1" applyProtection="1">
      <alignment horizontal="center"/>
      <protection hidden="1"/>
    </xf>
    <xf numFmtId="4" fontId="7" fillId="0" borderId="1" xfId="0" applyNumberFormat="1" applyFont="1" applyBorder="1" applyAlignment="1" applyProtection="1">
      <alignment horizontal="center" vertical="center"/>
      <protection hidden="1"/>
    </xf>
    <xf numFmtId="43" fontId="30" fillId="0" borderId="1" xfId="1" applyFont="1" applyFill="1" applyBorder="1" applyAlignment="1" applyProtection="1">
      <alignment horizontal="center"/>
      <protection hidden="1"/>
    </xf>
    <xf numFmtId="43" fontId="30" fillId="0" borderId="1" xfId="2" applyNumberFormat="1" applyFont="1" applyFill="1" applyBorder="1" applyAlignment="1" applyProtection="1">
      <alignment horizontal="center"/>
      <protection hidden="1"/>
    </xf>
    <xf numFmtId="9" fontId="7" fillId="0" borderId="1" xfId="2" applyFont="1" applyFill="1" applyBorder="1" applyAlignment="1" applyProtection="1">
      <alignment horizontal="center" vertical="center"/>
      <protection hidden="1"/>
    </xf>
    <xf numFmtId="17" fontId="7" fillId="0" borderId="1" xfId="0" applyNumberFormat="1" applyFont="1" applyBorder="1" applyAlignment="1">
      <alignment horizontal="center"/>
    </xf>
    <xf numFmtId="0" fontId="7" fillId="0" borderId="1" xfId="0" applyFont="1" applyBorder="1" applyAlignment="1">
      <alignment horizontal="center"/>
    </xf>
    <xf numFmtId="4" fontId="7" fillId="0" borderId="1" xfId="0" applyNumberFormat="1" applyFont="1" applyBorder="1" applyAlignment="1" applyProtection="1">
      <alignment horizontal="center"/>
      <protection hidden="1"/>
    </xf>
    <xf numFmtId="43" fontId="7" fillId="0" borderId="1" xfId="1" applyFont="1" applyFill="1" applyBorder="1" applyProtection="1">
      <protection hidden="1"/>
    </xf>
    <xf numFmtId="9" fontId="7" fillId="0" borderId="1" xfId="2" applyFont="1" applyFill="1" applyBorder="1" applyAlignment="1" applyProtection="1">
      <alignment horizontal="center"/>
      <protection hidden="1"/>
    </xf>
    <xf numFmtId="182" fontId="7" fillId="0" borderId="0" xfId="0" applyNumberFormat="1" applyFont="1" applyAlignment="1" applyProtection="1">
      <alignment horizontal="center"/>
      <protection hidden="1"/>
    </xf>
    <xf numFmtId="2" fontId="7" fillId="0" borderId="1" xfId="0" applyNumberFormat="1" applyFont="1" applyBorder="1" applyAlignment="1" applyProtection="1">
      <alignment horizontal="center"/>
      <protection hidden="1"/>
    </xf>
    <xf numFmtId="20" fontId="7" fillId="0" borderId="1" xfId="0" applyNumberFormat="1" applyFont="1" applyBorder="1" applyAlignment="1" applyProtection="1">
      <alignment horizontal="center"/>
      <protection hidden="1"/>
    </xf>
    <xf numFmtId="0" fontId="51" fillId="0" borderId="0" xfId="0" applyFont="1" applyProtection="1">
      <protection hidden="1"/>
    </xf>
    <xf numFmtId="0" fontId="51" fillId="0" borderId="0" xfId="0" applyFont="1" applyAlignment="1" applyProtection="1">
      <alignment horizontal="center"/>
      <protection hidden="1"/>
    </xf>
    <xf numFmtId="0" fontId="10" fillId="0" borderId="0" xfId="0" applyFont="1" applyAlignment="1" applyProtection="1">
      <alignment horizontal="center"/>
      <protection hidden="1"/>
    </xf>
    <xf numFmtId="4" fontId="10" fillId="0" borderId="0" xfId="0" applyNumberFormat="1" applyFont="1" applyAlignment="1" applyProtection="1">
      <alignment horizontal="center"/>
      <protection hidden="1"/>
    </xf>
    <xf numFmtId="4" fontId="10" fillId="0" borderId="133" xfId="0" applyNumberFormat="1" applyFont="1" applyBorder="1" applyAlignment="1" applyProtection="1">
      <alignment horizontal="center"/>
      <protection hidden="1"/>
    </xf>
    <xf numFmtId="0" fontId="10" fillId="0" borderId="0" xfId="0" applyFont="1" applyProtection="1">
      <protection hidden="1"/>
    </xf>
    <xf numFmtId="43" fontId="7" fillId="17" borderId="0" xfId="1" applyFont="1" applyFill="1" applyBorder="1" applyAlignment="1" applyProtection="1">
      <alignment horizontal="center"/>
      <protection hidden="1"/>
    </xf>
    <xf numFmtId="43" fontId="116" fillId="0" borderId="0" xfId="1" applyFont="1" applyFill="1" applyBorder="1" applyAlignment="1" applyProtection="1">
      <alignment horizontal="center"/>
      <protection hidden="1"/>
    </xf>
    <xf numFmtId="43" fontId="22" fillId="0" borderId="1" xfId="1" applyFont="1" applyFill="1" applyBorder="1" applyAlignment="1" applyProtection="1">
      <protection hidden="1"/>
    </xf>
    <xf numFmtId="184" fontId="18" fillId="2" borderId="0" xfId="1" applyNumberFormat="1" applyFont="1" applyFill="1" applyAlignment="1" applyProtection="1">
      <alignment horizontal="left"/>
    </xf>
    <xf numFmtId="43" fontId="7" fillId="2" borderId="0" xfId="1" applyFont="1" applyFill="1" applyBorder="1" applyAlignment="1" applyProtection="1">
      <alignment horizontal="center"/>
      <protection hidden="1"/>
    </xf>
    <xf numFmtId="43" fontId="10" fillId="2" borderId="0" xfId="1" applyFont="1" applyFill="1" applyBorder="1" applyAlignment="1" applyProtection="1">
      <alignment horizontal="center"/>
      <protection hidden="1"/>
    </xf>
    <xf numFmtId="185" fontId="116" fillId="2" borderId="0" xfId="2" applyNumberFormat="1" applyFont="1" applyFill="1" applyBorder="1" applyAlignment="1" applyProtection="1">
      <alignment horizontal="center"/>
      <protection hidden="1"/>
    </xf>
    <xf numFmtId="170" fontId="7" fillId="2" borderId="0" xfId="2" applyNumberFormat="1" applyFont="1" applyFill="1" applyBorder="1" applyAlignment="1" applyProtection="1">
      <alignment horizontal="center"/>
      <protection hidden="1"/>
    </xf>
    <xf numFmtId="0" fontId="10" fillId="2" borderId="1" xfId="2" applyNumberFormat="1" applyFont="1" applyFill="1" applyBorder="1" applyAlignment="1" applyProtection="1">
      <alignment horizontal="center" vertical="center"/>
      <protection hidden="1"/>
    </xf>
    <xf numFmtId="43" fontId="7" fillId="2" borderId="1" xfId="1" applyFont="1" applyFill="1" applyBorder="1" applyAlignment="1" applyProtection="1">
      <protection hidden="1"/>
    </xf>
    <xf numFmtId="9" fontId="19" fillId="0" borderId="5" xfId="2" applyFont="1" applyBorder="1" applyAlignment="1">
      <alignment horizontal="center" vertical="center"/>
    </xf>
    <xf numFmtId="170" fontId="7" fillId="0" borderId="0" xfId="1" applyNumberFormat="1" applyFont="1" applyFill="1" applyBorder="1" applyAlignment="1" applyProtection="1">
      <alignment horizontal="center"/>
      <protection hidden="1"/>
    </xf>
    <xf numFmtId="177" fontId="6" fillId="0" borderId="0" xfId="0" applyNumberFormat="1" applyFont="1" applyProtection="1">
      <protection locked="0"/>
    </xf>
    <xf numFmtId="0" fontId="5" fillId="5" borderId="1" xfId="0" applyFont="1" applyFill="1" applyBorder="1" applyAlignment="1" applyProtection="1">
      <alignment vertical="center"/>
      <protection locked="0"/>
    </xf>
    <xf numFmtId="169" fontId="12" fillId="0" borderId="1" xfId="0" quotePrefix="1" applyNumberFormat="1" applyFont="1" applyBorder="1" applyAlignment="1">
      <alignment horizontal="center" vertical="center"/>
    </xf>
    <xf numFmtId="169" fontId="11" fillId="0" borderId="1" xfId="0" applyNumberFormat="1" applyFont="1" applyBorder="1" applyAlignment="1" applyProtection="1">
      <alignment horizontal="center" vertical="center"/>
      <protection locked="0"/>
    </xf>
    <xf numFmtId="43" fontId="51" fillId="3" borderId="0" xfId="1" applyFont="1" applyFill="1" applyBorder="1" applyAlignment="1" applyProtection="1">
      <alignment horizontal="center"/>
      <protection hidden="1"/>
    </xf>
    <xf numFmtId="164" fontId="113" fillId="2" borderId="112" xfId="7" applyFont="1" applyFill="1" applyBorder="1" applyAlignment="1" applyProtection="1">
      <alignment horizontal="center"/>
      <protection hidden="1"/>
    </xf>
    <xf numFmtId="164" fontId="113" fillId="2" borderId="113" xfId="7" applyFont="1" applyFill="1" applyBorder="1" applyAlignment="1" applyProtection="1">
      <alignment horizontal="center"/>
      <protection hidden="1"/>
    </xf>
    <xf numFmtId="164" fontId="113" fillId="2" borderId="114" xfId="7" applyFont="1" applyFill="1" applyBorder="1" applyAlignment="1" applyProtection="1">
      <alignment horizontal="center"/>
      <protection hidden="1"/>
    </xf>
    <xf numFmtId="0" fontId="7" fillId="2" borderId="1" xfId="0" applyFont="1" applyFill="1" applyBorder="1" applyAlignment="1">
      <alignment horizontal="center" vertical="center"/>
    </xf>
    <xf numFmtId="0" fontId="0" fillId="2" borderId="119" xfId="0" applyFill="1" applyBorder="1" applyAlignment="1">
      <alignment horizontal="center"/>
    </xf>
    <xf numFmtId="0" fontId="0" fillId="2" borderId="124" xfId="0" applyFill="1" applyBorder="1" applyAlignment="1">
      <alignment horizontal="center"/>
    </xf>
    <xf numFmtId="164" fontId="107" fillId="2" borderId="120" xfId="7" applyFont="1" applyFill="1" applyBorder="1" applyAlignment="1">
      <alignment horizontal="center"/>
    </xf>
    <xf numFmtId="164" fontId="107" fillId="2" borderId="25" xfId="7" applyFont="1" applyFill="1" applyBorder="1" applyAlignment="1">
      <alignment horizontal="center"/>
    </xf>
    <xf numFmtId="0" fontId="0" fillId="2" borderId="120" xfId="0" applyFill="1" applyBorder="1" applyAlignment="1">
      <alignment horizontal="center"/>
    </xf>
    <xf numFmtId="0" fontId="0" fillId="2" borderId="25" xfId="0" applyFill="1" applyBorder="1" applyAlignment="1">
      <alignment horizontal="center"/>
    </xf>
    <xf numFmtId="164" fontId="107" fillId="2" borderId="123" xfId="7" applyFont="1" applyFill="1" applyBorder="1" applyAlignment="1">
      <alignment horizontal="center"/>
    </xf>
    <xf numFmtId="164" fontId="107" fillId="2" borderId="125" xfId="7" applyFont="1" applyFill="1" applyBorder="1" applyAlignment="1">
      <alignment horizontal="center"/>
    </xf>
    <xf numFmtId="0" fontId="112" fillId="14" borderId="1" xfId="0" applyFont="1" applyFill="1" applyBorder="1" applyAlignment="1">
      <alignment horizontal="center" vertical="center" wrapText="1"/>
    </xf>
    <xf numFmtId="0" fontId="97" fillId="2" borderId="1" xfId="0" applyFont="1" applyFill="1" applyBorder="1" applyAlignment="1">
      <alignment horizontal="center" vertical="center" wrapText="1"/>
    </xf>
    <xf numFmtId="0" fontId="97" fillId="2" borderId="16" xfId="0" applyFont="1" applyFill="1" applyBorder="1" applyAlignment="1">
      <alignment horizontal="center" vertical="center" wrapText="1"/>
    </xf>
    <xf numFmtId="0" fontId="97" fillId="2" borderId="25" xfId="0" applyFont="1" applyFill="1" applyBorder="1" applyAlignment="1">
      <alignment horizontal="center" vertical="center" wrapText="1"/>
    </xf>
    <xf numFmtId="0" fontId="97" fillId="2" borderId="1" xfId="1" applyNumberFormat="1" applyFont="1" applyFill="1" applyBorder="1" applyAlignment="1" applyProtection="1">
      <alignment horizontal="center" vertical="center" wrapText="1"/>
    </xf>
    <xf numFmtId="0" fontId="96" fillId="14" borderId="16" xfId="0" applyFont="1" applyFill="1" applyBorder="1" applyAlignment="1">
      <alignment horizontal="center" vertical="center" wrapText="1"/>
    </xf>
    <xf numFmtId="0" fontId="96" fillId="14" borderId="25" xfId="0" applyFont="1" applyFill="1" applyBorder="1" applyAlignment="1">
      <alignment horizontal="center" vertical="center" wrapText="1"/>
    </xf>
    <xf numFmtId="0" fontId="96" fillId="14" borderId="1" xfId="0" applyFont="1" applyFill="1" applyBorder="1" applyAlignment="1">
      <alignment horizontal="center" vertical="center" wrapText="1"/>
    </xf>
    <xf numFmtId="184" fontId="18" fillId="2" borderId="0" xfId="1" quotePrefix="1" applyNumberFormat="1" applyFont="1" applyFill="1" applyAlignment="1" applyProtection="1">
      <alignment horizontal="center"/>
    </xf>
    <xf numFmtId="184" fontId="18" fillId="2" borderId="0" xfId="1" applyNumberFormat="1" applyFont="1" applyFill="1" applyAlignment="1" applyProtection="1">
      <alignment horizontal="center"/>
    </xf>
    <xf numFmtId="0" fontId="97" fillId="2" borderId="1" xfId="0" applyFont="1" applyFill="1" applyBorder="1" applyAlignment="1">
      <alignment horizontal="center" vertical="center"/>
    </xf>
    <xf numFmtId="43" fontId="98" fillId="2" borderId="0" xfId="1" applyFont="1" applyFill="1" applyAlignment="1" applyProtection="1">
      <alignment horizontal="left" vertical="center"/>
    </xf>
    <xf numFmtId="43" fontId="96" fillId="14" borderId="1" xfId="1" applyFont="1" applyFill="1" applyBorder="1" applyAlignment="1" applyProtection="1">
      <alignment horizontal="center" vertical="center" wrapText="1"/>
    </xf>
    <xf numFmtId="0" fontId="96" fillId="14" borderId="1" xfId="1" applyNumberFormat="1" applyFont="1" applyFill="1" applyBorder="1" applyAlignment="1" applyProtection="1">
      <alignment horizontal="center" vertical="center" wrapText="1"/>
    </xf>
    <xf numFmtId="0" fontId="98" fillId="2" borderId="1" xfId="0" applyFont="1" applyFill="1" applyBorder="1" applyAlignment="1">
      <alignment horizontal="center" vertical="center" wrapText="1"/>
    </xf>
    <xf numFmtId="0" fontId="98" fillId="2" borderId="1" xfId="0" applyFont="1" applyFill="1" applyBorder="1" applyAlignment="1">
      <alignment horizontal="center" vertical="center"/>
    </xf>
    <xf numFmtId="9" fontId="96" fillId="14" borderId="1" xfId="2" applyFont="1" applyFill="1" applyBorder="1" applyAlignment="1" applyProtection="1">
      <alignment horizontal="center" vertical="center" wrapText="1"/>
    </xf>
    <xf numFmtId="0" fontId="102" fillId="0" borderId="15" xfId="0" applyFont="1" applyBorder="1" applyAlignment="1">
      <alignment horizontal="center" vertical="center"/>
    </xf>
    <xf numFmtId="0" fontId="102" fillId="0" borderId="18" xfId="0" applyFont="1" applyBorder="1" applyAlignment="1">
      <alignment horizontal="center" vertical="center"/>
    </xf>
    <xf numFmtId="0" fontId="102" fillId="0" borderId="24" xfId="0" applyFont="1" applyBorder="1" applyAlignment="1">
      <alignment horizontal="center" vertical="center"/>
    </xf>
    <xf numFmtId="0" fontId="102" fillId="0" borderId="15" xfId="0" applyFont="1" applyBorder="1" applyAlignment="1" applyProtection="1">
      <alignment horizontal="center" vertical="center"/>
      <protection locked="0"/>
    </xf>
    <xf numFmtId="0" fontId="102" fillId="0" borderId="18" xfId="0" applyFont="1" applyBorder="1" applyAlignment="1" applyProtection="1">
      <alignment horizontal="center" vertical="center"/>
      <protection locked="0"/>
    </xf>
    <xf numFmtId="0" fontId="102" fillId="0" borderId="24" xfId="0" applyFont="1" applyBorder="1" applyAlignment="1" applyProtection="1">
      <alignment horizontal="center" vertical="center"/>
      <protection locked="0"/>
    </xf>
    <xf numFmtId="0" fontId="103" fillId="4" borderId="15" xfId="0" applyFont="1" applyFill="1" applyBorder="1" applyAlignment="1">
      <alignment horizontal="center" vertical="center"/>
    </xf>
    <xf numFmtId="0" fontId="103" fillId="4" borderId="18" xfId="0" applyFont="1" applyFill="1" applyBorder="1" applyAlignment="1">
      <alignment horizontal="center" vertical="center"/>
    </xf>
    <xf numFmtId="0" fontId="103" fillId="4" borderId="24" xfId="0" applyFont="1" applyFill="1" applyBorder="1" applyAlignment="1">
      <alignment horizontal="center" vertical="center"/>
    </xf>
    <xf numFmtId="9" fontId="103" fillId="4" borderId="15" xfId="0" applyNumberFormat="1" applyFont="1" applyFill="1" applyBorder="1" applyAlignment="1">
      <alignment horizontal="center" vertical="center"/>
    </xf>
    <xf numFmtId="9" fontId="103" fillId="4" borderId="24" xfId="0" applyNumberFormat="1" applyFont="1" applyFill="1" applyBorder="1" applyAlignment="1">
      <alignment horizontal="center" vertical="center"/>
    </xf>
    <xf numFmtId="0" fontId="89" fillId="3" borderId="102" xfId="0" applyFont="1" applyFill="1" applyBorder="1" applyAlignment="1">
      <alignment horizontal="center" vertical="center"/>
    </xf>
    <xf numFmtId="0" fontId="89" fillId="3" borderId="0" xfId="0" applyFont="1" applyFill="1" applyAlignment="1">
      <alignment horizontal="center" vertical="center"/>
    </xf>
    <xf numFmtId="0" fontId="91" fillId="4" borderId="1" xfId="0" applyFont="1" applyFill="1" applyBorder="1" applyAlignment="1">
      <alignment horizontal="center" vertical="center"/>
    </xf>
    <xf numFmtId="0" fontId="92" fillId="0" borderId="15" xfId="0" applyFont="1" applyBorder="1" applyAlignment="1" applyProtection="1">
      <alignment horizontal="center" vertical="center"/>
      <protection locked="0"/>
    </xf>
    <xf numFmtId="0" fontId="92" fillId="0" borderId="18" xfId="0" applyFont="1" applyBorder="1" applyAlignment="1" applyProtection="1">
      <alignment horizontal="center" vertical="center"/>
      <protection locked="0"/>
    </xf>
    <xf numFmtId="0" fontId="92" fillId="0" borderId="24" xfId="0" applyFont="1" applyBorder="1" applyAlignment="1" applyProtection="1">
      <alignment horizontal="center" vertical="center"/>
      <protection locked="0"/>
    </xf>
    <xf numFmtId="170" fontId="92" fillId="0" borderId="1" xfId="2" applyNumberFormat="1" applyFont="1" applyBorder="1" applyAlignment="1" applyProtection="1">
      <alignment horizontal="center" vertical="center"/>
      <protection locked="0"/>
    </xf>
    <xf numFmtId="0" fontId="91" fillId="4" borderId="15" xfId="0" applyFont="1" applyFill="1" applyBorder="1" applyAlignment="1">
      <alignment horizontal="center" vertical="center"/>
    </xf>
    <xf numFmtId="0" fontId="91" fillId="4" borderId="18" xfId="0" applyFont="1" applyFill="1" applyBorder="1" applyAlignment="1">
      <alignment horizontal="center" vertical="center"/>
    </xf>
    <xf numFmtId="0" fontId="91" fillId="4" borderId="24" xfId="0" applyFont="1" applyFill="1" applyBorder="1" applyAlignment="1">
      <alignment horizontal="center" vertical="center"/>
    </xf>
    <xf numFmtId="0" fontId="83" fillId="0" borderId="89" xfId="0" applyFont="1" applyBorder="1" applyAlignment="1" applyProtection="1">
      <alignment horizontal="center" vertical="center"/>
      <protection locked="0"/>
    </xf>
    <xf numFmtId="0" fontId="83" fillId="0" borderId="94" xfId="0" applyFont="1" applyBorder="1" applyAlignment="1" applyProtection="1">
      <alignment horizontal="center" vertical="center"/>
      <protection locked="0"/>
    </xf>
    <xf numFmtId="0" fontId="83" fillId="0" borderId="96" xfId="0" applyFont="1" applyBorder="1" applyAlignment="1" applyProtection="1">
      <alignment horizontal="center" vertical="center"/>
      <protection locked="0"/>
    </xf>
    <xf numFmtId="0" fontId="83" fillId="0" borderId="97" xfId="0" applyFont="1" applyBorder="1" applyAlignment="1" applyProtection="1">
      <alignment horizontal="center" vertical="center"/>
      <protection locked="0"/>
    </xf>
    <xf numFmtId="0" fontId="83" fillId="0" borderId="89" xfId="5" applyNumberFormat="1" applyFont="1" applyBorder="1" applyAlignment="1" applyProtection="1">
      <alignment horizontal="center" vertical="center" wrapText="1"/>
      <protection locked="0"/>
    </xf>
    <xf numFmtId="0" fontId="83" fillId="0" borderId="96" xfId="5" applyNumberFormat="1" applyFont="1" applyBorder="1" applyAlignment="1" applyProtection="1">
      <alignment horizontal="center" vertical="center" wrapText="1"/>
      <protection locked="0"/>
    </xf>
    <xf numFmtId="0" fontId="83" fillId="0" borderId="93" xfId="0" applyFont="1" applyBorder="1" applyAlignment="1" applyProtection="1">
      <alignment horizontal="center" vertical="center"/>
      <protection locked="0"/>
    </xf>
    <xf numFmtId="0" fontId="83" fillId="0" borderId="95" xfId="0" applyFont="1" applyBorder="1" applyAlignment="1" applyProtection="1">
      <alignment horizontal="center" vertical="center"/>
      <protection locked="0"/>
    </xf>
    <xf numFmtId="0" fontId="84" fillId="10" borderId="0" xfId="0" applyFont="1" applyFill="1" applyAlignment="1">
      <alignment horizontal="center" vertical="center" wrapText="1"/>
    </xf>
    <xf numFmtId="10" fontId="85" fillId="13" borderId="54" xfId="2" applyNumberFormat="1" applyFont="1" applyFill="1" applyBorder="1" applyAlignment="1" applyProtection="1">
      <alignment horizontal="center" vertical="center"/>
    </xf>
    <xf numFmtId="10" fontId="85" fillId="13" borderId="55" xfId="2" applyNumberFormat="1" applyFont="1" applyFill="1" applyBorder="1" applyAlignment="1" applyProtection="1">
      <alignment horizontal="center" vertical="center"/>
    </xf>
    <xf numFmtId="10" fontId="85" fillId="13" borderId="56" xfId="2" applyNumberFormat="1" applyFont="1" applyFill="1" applyBorder="1" applyAlignment="1" applyProtection="1">
      <alignment horizontal="center" vertical="center"/>
    </xf>
    <xf numFmtId="0" fontId="76" fillId="12" borderId="89" xfId="0" applyFont="1" applyFill="1" applyBorder="1" applyAlignment="1">
      <alignment horizontal="center" vertical="center"/>
    </xf>
    <xf numFmtId="0" fontId="76" fillId="12" borderId="94" xfId="0" applyFont="1" applyFill="1" applyBorder="1" applyAlignment="1">
      <alignment horizontal="center" vertical="center"/>
    </xf>
    <xf numFmtId="177" fontId="83" fillId="0" borderId="89" xfId="0" applyNumberFormat="1" applyFont="1" applyBorder="1" applyAlignment="1" applyProtection="1">
      <alignment horizontal="center" vertical="center"/>
      <protection locked="0"/>
    </xf>
    <xf numFmtId="177" fontId="83" fillId="0" borderId="94" xfId="0" applyNumberFormat="1" applyFont="1" applyBorder="1" applyAlignment="1" applyProtection="1">
      <alignment horizontal="center" vertical="center"/>
      <protection locked="0"/>
    </xf>
    <xf numFmtId="0" fontId="85" fillId="16" borderId="54" xfId="0" applyFont="1" applyFill="1" applyBorder="1" applyAlignment="1" applyProtection="1">
      <alignment horizontal="center" vertical="center" wrapText="1"/>
      <protection locked="0"/>
    </xf>
    <xf numFmtId="0" fontId="85" fillId="16" borderId="55" xfId="0" applyFont="1" applyFill="1" applyBorder="1" applyAlignment="1" applyProtection="1">
      <alignment horizontal="center" vertical="center" wrapText="1"/>
      <protection locked="0"/>
    </xf>
    <xf numFmtId="0" fontId="85" fillId="16" borderId="56" xfId="0" applyFont="1" applyFill="1" applyBorder="1" applyAlignment="1" applyProtection="1">
      <alignment horizontal="center" vertical="center" wrapText="1"/>
      <protection locked="0"/>
    </xf>
    <xf numFmtId="0" fontId="85" fillId="16" borderId="60" xfId="0" applyFont="1" applyFill="1" applyBorder="1" applyAlignment="1" applyProtection="1">
      <alignment horizontal="center" vertical="center" wrapText="1"/>
      <protection locked="0"/>
    </xf>
    <xf numFmtId="0" fontId="85" fillId="16" borderId="61" xfId="0" applyFont="1" applyFill="1" applyBorder="1" applyAlignment="1" applyProtection="1">
      <alignment horizontal="center" vertical="center" wrapText="1"/>
      <protection locked="0"/>
    </xf>
    <xf numFmtId="0" fontId="85" fillId="16" borderId="62" xfId="0" applyFont="1" applyFill="1" applyBorder="1" applyAlignment="1" applyProtection="1">
      <alignment horizontal="center" vertical="center" wrapText="1"/>
      <protection locked="0"/>
    </xf>
    <xf numFmtId="0" fontId="85" fillId="16" borderId="63" xfId="0" applyFont="1" applyFill="1" applyBorder="1" applyAlignment="1" applyProtection="1">
      <alignment horizontal="center" vertical="center" wrapText="1"/>
      <protection locked="0"/>
    </xf>
    <xf numFmtId="0" fontId="85" fillId="16" borderId="64" xfId="0" applyFont="1" applyFill="1" applyBorder="1" applyAlignment="1" applyProtection="1">
      <alignment horizontal="center" vertical="center" wrapText="1"/>
      <protection locked="0"/>
    </xf>
    <xf numFmtId="0" fontId="85" fillId="16" borderId="65" xfId="0" applyFont="1" applyFill="1" applyBorder="1" applyAlignment="1" applyProtection="1">
      <alignment horizontal="center" vertical="center" wrapText="1"/>
      <protection locked="0"/>
    </xf>
    <xf numFmtId="0" fontId="76" fillId="12" borderId="93" xfId="0" applyFont="1" applyFill="1" applyBorder="1" applyAlignment="1">
      <alignment horizontal="center" vertical="center"/>
    </xf>
    <xf numFmtId="0" fontId="76" fillId="10" borderId="93" xfId="0" applyFont="1" applyFill="1" applyBorder="1" applyAlignment="1">
      <alignment horizontal="center" vertical="center"/>
    </xf>
    <xf numFmtId="0" fontId="76" fillId="10" borderId="89" xfId="0" applyFont="1" applyFill="1" applyBorder="1" applyAlignment="1">
      <alignment horizontal="center" vertical="center"/>
    </xf>
    <xf numFmtId="0" fontId="76" fillId="10" borderId="94" xfId="0" applyFont="1" applyFill="1" applyBorder="1" applyAlignment="1">
      <alignment horizontal="center" vertical="center"/>
    </xf>
    <xf numFmtId="0" fontId="77" fillId="0" borderId="66" xfId="0" applyFont="1" applyBorder="1" applyAlignment="1">
      <alignment horizontal="center" vertical="center"/>
    </xf>
    <xf numFmtId="0" fontId="84" fillId="10" borderId="0" xfId="0" applyFont="1" applyFill="1" applyAlignment="1">
      <alignment horizontal="center" vertical="center"/>
    </xf>
    <xf numFmtId="0" fontId="76" fillId="11" borderId="90" xfId="0" applyFont="1" applyFill="1" applyBorder="1" applyAlignment="1">
      <alignment horizontal="center" vertical="center"/>
    </xf>
    <xf numFmtId="0" fontId="76" fillId="11" borderId="91" xfId="0" applyFont="1" applyFill="1" applyBorder="1" applyAlignment="1">
      <alignment horizontal="center" vertical="center"/>
    </xf>
    <xf numFmtId="0" fontId="76" fillId="11" borderId="92" xfId="0" applyFont="1" applyFill="1" applyBorder="1" applyAlignment="1">
      <alignment horizontal="center" vertical="center"/>
    </xf>
    <xf numFmtId="0" fontId="85" fillId="13" borderId="53" xfId="0" applyFont="1" applyFill="1" applyBorder="1" applyAlignment="1">
      <alignment horizontal="center" vertical="center"/>
    </xf>
    <xf numFmtId="0" fontId="81" fillId="13" borderId="46" xfId="0" applyFont="1" applyFill="1" applyBorder="1" applyAlignment="1">
      <alignment horizontal="center" vertical="center"/>
    </xf>
    <xf numFmtId="0" fontId="81" fillId="13" borderId="47" xfId="0" applyFont="1" applyFill="1" applyBorder="1" applyAlignment="1">
      <alignment horizontal="center" vertical="center"/>
    </xf>
    <xf numFmtId="0" fontId="81" fillId="13" borderId="48" xfId="0" applyFont="1" applyFill="1" applyBorder="1" applyAlignment="1">
      <alignment horizontal="center" vertical="center"/>
    </xf>
    <xf numFmtId="0" fontId="81" fillId="13" borderId="49" xfId="0" applyFont="1" applyFill="1" applyBorder="1" applyAlignment="1">
      <alignment horizontal="center" vertical="center"/>
    </xf>
    <xf numFmtId="0" fontId="81" fillId="13" borderId="50" xfId="0" applyFont="1" applyFill="1" applyBorder="1" applyAlignment="1">
      <alignment horizontal="center" vertical="center"/>
    </xf>
    <xf numFmtId="0" fontId="81" fillId="13" borderId="51" xfId="0" applyFont="1" applyFill="1" applyBorder="1" applyAlignment="1">
      <alignment horizontal="center" vertical="center"/>
    </xf>
    <xf numFmtId="166" fontId="85" fillId="16" borderId="54" xfId="0" applyNumberFormat="1" applyFont="1" applyFill="1" applyBorder="1" applyAlignment="1" applyProtection="1">
      <alignment horizontal="center" vertical="center"/>
      <protection locked="0"/>
    </xf>
    <xf numFmtId="166" fontId="85" fillId="16" borderId="55" xfId="0" applyNumberFormat="1" applyFont="1" applyFill="1" applyBorder="1" applyAlignment="1" applyProtection="1">
      <alignment horizontal="center" vertical="center"/>
      <protection locked="0"/>
    </xf>
    <xf numFmtId="166" fontId="85" fillId="16" borderId="56" xfId="0" applyNumberFormat="1" applyFont="1" applyFill="1" applyBorder="1" applyAlignment="1" applyProtection="1">
      <alignment horizontal="center" vertical="center"/>
      <protection locked="0"/>
    </xf>
    <xf numFmtId="0" fontId="85" fillId="16" borderId="53" xfId="0" applyFont="1" applyFill="1" applyBorder="1" applyAlignment="1" applyProtection="1">
      <alignment horizontal="center" vertical="center"/>
      <protection locked="0"/>
    </xf>
    <xf numFmtId="0" fontId="104" fillId="13" borderId="54" xfId="0" applyFont="1" applyFill="1" applyBorder="1" applyAlignment="1" applyProtection="1">
      <alignment horizontal="center" vertical="center"/>
      <protection locked="0"/>
    </xf>
    <xf numFmtId="0" fontId="104" fillId="13" borderId="55" xfId="0" applyFont="1" applyFill="1" applyBorder="1" applyAlignment="1" applyProtection="1">
      <alignment horizontal="center" vertical="center"/>
      <protection locked="0"/>
    </xf>
    <xf numFmtId="0" fontId="104" fillId="13" borderId="56" xfId="0" applyFont="1" applyFill="1" applyBorder="1" applyAlignment="1" applyProtection="1">
      <alignment horizontal="center" vertical="center"/>
      <protection locked="0"/>
    </xf>
    <xf numFmtId="179" fontId="85" fillId="16" borderId="54" xfId="0" applyNumberFormat="1" applyFont="1" applyFill="1" applyBorder="1" applyAlignment="1" applyProtection="1">
      <alignment horizontal="center" vertical="center"/>
      <protection locked="0"/>
    </xf>
    <xf numFmtId="179" fontId="85" fillId="16" borderId="55" xfId="0" applyNumberFormat="1" applyFont="1" applyFill="1" applyBorder="1" applyAlignment="1" applyProtection="1">
      <alignment horizontal="center" vertical="center"/>
      <protection locked="0"/>
    </xf>
    <xf numFmtId="179" fontId="85" fillId="16" borderId="56" xfId="0" applyNumberFormat="1" applyFont="1" applyFill="1" applyBorder="1" applyAlignment="1" applyProtection="1">
      <alignment horizontal="center" vertical="center"/>
      <protection locked="0"/>
    </xf>
    <xf numFmtId="10" fontId="85" fillId="16" borderId="54" xfId="2" applyNumberFormat="1" applyFont="1" applyFill="1" applyBorder="1" applyAlignment="1" applyProtection="1">
      <alignment horizontal="center" vertical="center"/>
      <protection locked="0"/>
    </xf>
    <xf numFmtId="10" fontId="85" fillId="16" borderId="55" xfId="2" applyNumberFormat="1" applyFont="1" applyFill="1" applyBorder="1" applyAlignment="1" applyProtection="1">
      <alignment horizontal="center" vertical="center"/>
      <protection locked="0"/>
    </xf>
    <xf numFmtId="10" fontId="85" fillId="16" borderId="56" xfId="2" applyNumberFormat="1" applyFont="1" applyFill="1" applyBorder="1" applyAlignment="1" applyProtection="1">
      <alignment horizontal="center" vertical="center"/>
      <protection locked="0"/>
    </xf>
    <xf numFmtId="0" fontId="77" fillId="0" borderId="52" xfId="0" applyFont="1" applyBorder="1" applyAlignment="1">
      <alignment horizontal="center" vertical="center"/>
    </xf>
    <xf numFmtId="0" fontId="89" fillId="0" borderId="1" xfId="0" applyFont="1" applyBorder="1" applyAlignment="1">
      <alignment horizontal="center" vertical="center"/>
    </xf>
    <xf numFmtId="9" fontId="89" fillId="0" borderId="1" xfId="0" applyNumberFormat="1" applyFont="1" applyBorder="1" applyAlignment="1">
      <alignment horizontal="center" vertical="center"/>
    </xf>
    <xf numFmtId="0" fontId="95" fillId="4" borderId="1" xfId="0" applyFont="1" applyFill="1" applyBorder="1" applyAlignment="1">
      <alignment horizontal="center" vertical="center"/>
    </xf>
    <xf numFmtId="0" fontId="94" fillId="0" borderId="1" xfId="0" applyFont="1" applyBorder="1" applyAlignment="1">
      <alignment horizontal="center" vertical="center"/>
    </xf>
    <xf numFmtId="3" fontId="94" fillId="0" borderId="1" xfId="0" applyNumberFormat="1" applyFont="1" applyBorder="1" applyAlignment="1">
      <alignment horizontal="center" vertical="center"/>
    </xf>
    <xf numFmtId="9" fontId="92" fillId="0" borderId="1" xfId="2" applyFont="1" applyBorder="1" applyAlignment="1" applyProtection="1">
      <alignment horizontal="center" vertical="center"/>
      <protection locked="0"/>
    </xf>
    <xf numFmtId="0" fontId="12" fillId="0" borderId="15" xfId="0" applyFont="1" applyBorder="1" applyAlignment="1">
      <alignment horizontal="center" vertical="center"/>
    </xf>
    <xf numFmtId="0" fontId="12" fillId="0" borderId="24" xfId="0" applyFont="1" applyBorder="1" applyAlignment="1">
      <alignment horizontal="center" vertical="center"/>
    </xf>
    <xf numFmtId="177" fontId="73" fillId="9" borderId="15" xfId="0" applyNumberFormat="1" applyFont="1" applyFill="1" applyBorder="1" applyAlignment="1">
      <alignment horizontal="center" vertical="center"/>
    </xf>
    <xf numFmtId="177" fontId="73" fillId="9" borderId="24" xfId="0" applyNumberFormat="1" applyFont="1" applyFill="1" applyBorder="1" applyAlignment="1">
      <alignment horizontal="center" vertical="center"/>
    </xf>
    <xf numFmtId="0" fontId="59" fillId="2" borderId="0" xfId="0" applyFont="1" applyFill="1" applyAlignment="1">
      <alignment horizontal="center"/>
    </xf>
    <xf numFmtId="181" fontId="6" fillId="0" borderId="15" xfId="0" applyNumberFormat="1" applyFont="1" applyBorder="1" applyAlignment="1">
      <alignment horizontal="center"/>
    </xf>
    <xf numFmtId="181" fontId="6" fillId="0" borderId="24" xfId="0" applyNumberFormat="1" applyFont="1" applyBorder="1" applyAlignment="1">
      <alignment horizontal="center"/>
    </xf>
    <xf numFmtId="0" fontId="8" fillId="5" borderId="20" xfId="0" applyFont="1" applyFill="1" applyBorder="1" applyAlignment="1">
      <alignment horizontal="center" vertical="center"/>
    </xf>
    <xf numFmtId="0" fontId="8" fillId="5" borderId="42" xfId="0" applyFont="1" applyFill="1" applyBorder="1" applyAlignment="1">
      <alignment horizontal="center" vertical="center"/>
    </xf>
    <xf numFmtId="0" fontId="8" fillId="5" borderId="41" xfId="0" applyFont="1" applyFill="1" applyBorder="1" applyAlignment="1">
      <alignment horizontal="center" vertical="center"/>
    </xf>
    <xf numFmtId="0" fontId="8" fillId="5" borderId="71" xfId="0" applyFont="1" applyFill="1" applyBorder="1" applyAlignment="1">
      <alignment horizontal="center" vertical="center"/>
    </xf>
    <xf numFmtId="0" fontId="20" fillId="4" borderId="0" xfId="0" applyFont="1" applyFill="1" applyAlignment="1">
      <alignment horizontal="center"/>
    </xf>
    <xf numFmtId="0" fontId="20" fillId="5" borderId="6" xfId="0" applyFont="1" applyFill="1" applyBorder="1" applyAlignment="1">
      <alignment horizontal="left" vertical="center"/>
    </xf>
    <xf numFmtId="168" fontId="12" fillId="0" borderId="1" xfId="0" applyNumberFormat="1" applyFont="1" applyBorder="1" applyAlignment="1">
      <alignment horizontal="center" vertical="center"/>
    </xf>
    <xf numFmtId="164" fontId="12" fillId="0" borderId="0" xfId="0" applyNumberFormat="1" applyFont="1" applyAlignment="1">
      <alignment horizontal="center" vertical="center"/>
    </xf>
    <xf numFmtId="0" fontId="8" fillId="5" borderId="1" xfId="0" applyFont="1" applyFill="1" applyBorder="1" applyAlignment="1">
      <alignment horizontal="center" vertical="center"/>
    </xf>
    <xf numFmtId="168" fontId="33" fillId="0" borderId="8" xfId="1" applyNumberFormat="1" applyFont="1" applyBorder="1" applyAlignment="1" applyProtection="1">
      <alignment horizontal="left" vertical="center"/>
    </xf>
    <xf numFmtId="168" fontId="33" fillId="0" borderId="9" xfId="1" applyNumberFormat="1" applyFont="1" applyBorder="1" applyAlignment="1" applyProtection="1">
      <alignment horizontal="left" vertical="center"/>
    </xf>
    <xf numFmtId="168" fontId="12" fillId="0" borderId="8" xfId="1" applyNumberFormat="1" applyFont="1" applyBorder="1" applyAlignment="1" applyProtection="1">
      <alignment horizontal="left" vertical="center"/>
    </xf>
    <xf numFmtId="168" fontId="12" fillId="0" borderId="9" xfId="1" applyNumberFormat="1" applyFont="1" applyBorder="1" applyAlignment="1" applyProtection="1">
      <alignment horizontal="left" vertical="center"/>
    </xf>
    <xf numFmtId="168" fontId="14" fillId="0" borderId="8" xfId="1" applyNumberFormat="1" applyFont="1" applyBorder="1" applyAlignment="1" applyProtection="1">
      <alignment horizontal="left" vertical="center"/>
    </xf>
    <xf numFmtId="168" fontId="14" fillId="0" borderId="9" xfId="1" applyNumberFormat="1" applyFont="1" applyBorder="1" applyAlignment="1" applyProtection="1">
      <alignment horizontal="left" vertical="center"/>
    </xf>
    <xf numFmtId="168" fontId="14" fillId="0" borderId="7" xfId="0" applyNumberFormat="1" applyFont="1" applyBorder="1" applyAlignment="1">
      <alignment horizontal="left" vertical="center"/>
    </xf>
    <xf numFmtId="168" fontId="14" fillId="0" borderId="8" xfId="0" applyNumberFormat="1" applyFont="1" applyBorder="1" applyAlignment="1">
      <alignment horizontal="left" vertical="center"/>
    </xf>
    <xf numFmtId="168" fontId="14" fillId="0" borderId="9" xfId="0" applyNumberFormat="1" applyFont="1" applyBorder="1" applyAlignment="1">
      <alignment horizontal="left" vertical="center"/>
    </xf>
    <xf numFmtId="168" fontId="12" fillId="0" borderId="8" xfId="0" applyNumberFormat="1" applyFont="1" applyBorder="1" applyAlignment="1">
      <alignment horizontal="center" vertical="center"/>
    </xf>
    <xf numFmtId="168" fontId="12" fillId="0" borderId="9" xfId="0" applyNumberFormat="1" applyFont="1" applyBorder="1" applyAlignment="1">
      <alignment horizontal="center" vertical="center"/>
    </xf>
    <xf numFmtId="0" fontId="8" fillId="5" borderId="0" xfId="0" applyFont="1" applyFill="1" applyAlignment="1">
      <alignment horizontal="left" vertical="center"/>
    </xf>
    <xf numFmtId="0" fontId="14" fillId="0" borderId="0" xfId="0" applyFont="1" applyAlignment="1">
      <alignment horizontal="center" vertical="center"/>
    </xf>
    <xf numFmtId="168" fontId="14" fillId="0" borderId="0" xfId="1" applyNumberFormat="1" applyFont="1" applyFill="1" applyBorder="1" applyAlignment="1" applyProtection="1">
      <alignment horizontal="center" vertical="center"/>
    </xf>
    <xf numFmtId="168" fontId="17" fillId="0" borderId="1" xfId="0" applyNumberFormat="1" applyFont="1" applyBorder="1" applyAlignment="1">
      <alignment horizontal="center" vertical="center"/>
    </xf>
    <xf numFmtId="0" fontId="12" fillId="0" borderId="1" xfId="0" applyFont="1" applyBorder="1" applyAlignment="1">
      <alignment horizontal="center" vertical="center"/>
    </xf>
    <xf numFmtId="0" fontId="12" fillId="0" borderId="0" xfId="0" applyFont="1" applyAlignment="1">
      <alignment horizontal="center" vertical="center"/>
    </xf>
    <xf numFmtId="43" fontId="12" fillId="0" borderId="0" xfId="1" applyFont="1" applyAlignment="1" applyProtection="1">
      <alignment horizontal="center" vertical="center"/>
    </xf>
    <xf numFmtId="43" fontId="14" fillId="0" borderId="17" xfId="1" applyFont="1" applyBorder="1" applyAlignment="1" applyProtection="1">
      <alignment horizontal="center" vertical="center"/>
    </xf>
    <xf numFmtId="0" fontId="12" fillId="0" borderId="18" xfId="0" applyFont="1" applyBorder="1" applyAlignment="1">
      <alignment horizontal="center" vertical="center"/>
    </xf>
    <xf numFmtId="0" fontId="12" fillId="0" borderId="18" xfId="0" applyFont="1" applyBorder="1" applyAlignment="1">
      <alignment horizontal="left" vertical="center"/>
    </xf>
    <xf numFmtId="43" fontId="14" fillId="0" borderId="19" xfId="1" applyFont="1" applyBorder="1" applyAlignment="1" applyProtection="1">
      <alignment horizontal="center" vertical="center"/>
    </xf>
    <xf numFmtId="0" fontId="12" fillId="0" borderId="8" xfId="0" applyFont="1" applyBorder="1" applyAlignment="1">
      <alignment horizontal="left" vertical="center"/>
    </xf>
    <xf numFmtId="168" fontId="17" fillId="0" borderId="15" xfId="0" applyNumberFormat="1" applyFont="1" applyBorder="1" applyAlignment="1">
      <alignment horizontal="center" vertical="center"/>
    </xf>
    <xf numFmtId="168" fontId="17" fillId="0" borderId="24" xfId="0" applyNumberFormat="1" applyFont="1" applyBorder="1" applyAlignment="1">
      <alignment horizontal="center" vertical="center"/>
    </xf>
    <xf numFmtId="0" fontId="14" fillId="9" borderId="1" xfId="0" applyFont="1" applyFill="1" applyBorder="1" applyAlignment="1">
      <alignment horizontal="center" vertical="center"/>
    </xf>
    <xf numFmtId="168" fontId="14" fillId="9" borderId="1" xfId="1" applyNumberFormat="1" applyFont="1" applyFill="1" applyBorder="1" applyAlignment="1" applyProtection="1">
      <alignment horizontal="center" vertical="center"/>
    </xf>
    <xf numFmtId="0" fontId="20" fillId="4" borderId="0" xfId="0" applyFont="1" applyFill="1" applyAlignment="1">
      <alignment horizontal="center" vertical="center"/>
    </xf>
    <xf numFmtId="0" fontId="12" fillId="0" borderId="8" xfId="0" applyFont="1" applyBorder="1" applyAlignment="1">
      <alignment vertical="center"/>
    </xf>
    <xf numFmtId="0" fontId="12" fillId="0" borderId="9" xfId="0" applyFont="1" applyBorder="1" applyAlignment="1">
      <alignment vertical="center"/>
    </xf>
    <xf numFmtId="2" fontId="12" fillId="0" borderId="7" xfId="1" applyNumberFormat="1" applyFont="1" applyBorder="1" applyAlignment="1" applyProtection="1">
      <alignment horizontal="center" vertical="center"/>
    </xf>
    <xf numFmtId="2" fontId="12" fillId="0" borderId="8" xfId="1" applyNumberFormat="1" applyFont="1" applyBorder="1" applyAlignment="1" applyProtection="1">
      <alignment horizontal="center" vertical="center"/>
    </xf>
    <xf numFmtId="2" fontId="17" fillId="0" borderId="7" xfId="1" applyNumberFormat="1" applyFont="1" applyBorder="1" applyAlignment="1" applyProtection="1">
      <alignment horizontal="center" vertical="center"/>
    </xf>
    <xf numFmtId="2" fontId="17" fillId="0" borderId="8" xfId="1" applyNumberFormat="1" applyFont="1" applyBorder="1" applyAlignment="1" applyProtection="1">
      <alignment horizontal="center" vertical="center"/>
    </xf>
    <xf numFmtId="166" fontId="12" fillId="0" borderId="81" xfId="0" applyNumberFormat="1" applyFont="1" applyBorder="1" applyAlignment="1">
      <alignment horizontal="center" vertical="center"/>
    </xf>
    <xf numFmtId="0" fontId="12" fillId="0" borderId="7" xfId="0" applyFont="1" applyBorder="1" applyAlignment="1">
      <alignment horizontal="center" vertical="center"/>
    </xf>
    <xf numFmtId="0" fontId="12" fillId="0" borderId="8" xfId="0" applyFont="1" applyBorder="1" applyAlignment="1">
      <alignment horizontal="center" vertical="center"/>
    </xf>
    <xf numFmtId="0" fontId="12" fillId="0" borderId="9" xfId="0" applyFont="1" applyBorder="1" applyAlignment="1">
      <alignment horizontal="center" vertical="center"/>
    </xf>
    <xf numFmtId="0" fontId="12" fillId="0" borderId="98" xfId="0" applyFont="1" applyBorder="1" applyAlignment="1">
      <alignment horizontal="center" vertical="center"/>
    </xf>
    <xf numFmtId="0" fontId="20" fillId="5" borderId="79" xfId="0" applyFont="1" applyFill="1" applyBorder="1" applyAlignment="1">
      <alignment horizontal="left" vertical="center"/>
    </xf>
    <xf numFmtId="0" fontId="8" fillId="5" borderId="33" xfId="0" applyFont="1" applyFill="1" applyBorder="1" applyAlignment="1">
      <alignment horizontal="center" vertical="center"/>
    </xf>
    <xf numFmtId="0" fontId="8" fillId="5" borderId="69" xfId="0" applyFont="1" applyFill="1" applyBorder="1" applyAlignment="1">
      <alignment horizontal="center" vertical="center"/>
    </xf>
    <xf numFmtId="0" fontId="8" fillId="5" borderId="0" xfId="0" applyFont="1" applyFill="1" applyAlignment="1">
      <alignment horizontal="center" vertical="center"/>
    </xf>
    <xf numFmtId="0" fontId="12" fillId="0" borderId="5" xfId="0" applyFont="1" applyBorder="1" applyAlignment="1">
      <alignment horizontal="center" vertical="center"/>
    </xf>
    <xf numFmtId="2" fontId="17" fillId="0" borderId="7" xfId="0" applyNumberFormat="1" applyFont="1" applyBorder="1" applyAlignment="1">
      <alignment horizontal="center" vertical="center"/>
    </xf>
    <xf numFmtId="2" fontId="17" fillId="0" borderId="8" xfId="0" applyNumberFormat="1" applyFont="1" applyBorder="1" applyAlignment="1">
      <alignment horizontal="center" vertical="center"/>
    </xf>
    <xf numFmtId="2" fontId="12" fillId="0" borderId="37" xfId="0" applyNumberFormat="1" applyFont="1" applyBorder="1" applyAlignment="1">
      <alignment horizontal="center" vertical="center"/>
    </xf>
    <xf numFmtId="2" fontId="12" fillId="0" borderId="19" xfId="0" applyNumberFormat="1" applyFont="1" applyBorder="1" applyAlignment="1">
      <alignment horizontal="center" vertical="center"/>
    </xf>
    <xf numFmtId="0" fontId="12" fillId="0" borderId="19" xfId="0" applyFont="1" applyBorder="1" applyAlignment="1">
      <alignment vertical="center"/>
    </xf>
    <xf numFmtId="0" fontId="12" fillId="0" borderId="38" xfId="0" applyFont="1" applyBorder="1" applyAlignment="1">
      <alignment vertical="center"/>
    </xf>
    <xf numFmtId="0" fontId="12" fillId="0" borderId="24" xfId="0" applyFont="1" applyBorder="1" applyAlignment="1">
      <alignment horizontal="left" vertical="center"/>
    </xf>
    <xf numFmtId="14" fontId="8" fillId="5" borderId="1" xfId="0" applyNumberFormat="1" applyFont="1" applyFill="1" applyBorder="1" applyAlignment="1">
      <alignment horizontal="center" vertical="center"/>
    </xf>
    <xf numFmtId="168" fontId="6" fillId="0" borderId="20" xfId="0" applyNumberFormat="1" applyFont="1" applyBorder="1" applyAlignment="1">
      <alignment horizontal="center" vertical="center" wrapText="1"/>
    </xf>
    <xf numFmtId="168" fontId="6" fillId="0" borderId="70" xfId="0" applyNumberFormat="1" applyFont="1" applyBorder="1" applyAlignment="1">
      <alignment horizontal="center" vertical="center" wrapText="1"/>
    </xf>
    <xf numFmtId="168" fontId="6" fillId="0" borderId="42" xfId="0" applyNumberFormat="1" applyFont="1" applyBorder="1" applyAlignment="1">
      <alignment horizontal="center" vertical="center" wrapText="1"/>
    </xf>
    <xf numFmtId="168" fontId="6" fillId="0" borderId="41" xfId="0" applyNumberFormat="1" applyFont="1" applyBorder="1" applyAlignment="1">
      <alignment horizontal="center" vertical="center" wrapText="1"/>
    </xf>
    <xf numFmtId="168" fontId="6" fillId="0" borderId="17" xfId="0" applyNumberFormat="1" applyFont="1" applyBorder="1" applyAlignment="1">
      <alignment horizontal="center" vertical="center" wrapText="1"/>
    </xf>
    <xf numFmtId="168" fontId="6" fillId="0" borderId="71" xfId="0" applyNumberFormat="1" applyFont="1" applyBorder="1" applyAlignment="1">
      <alignment horizontal="center" vertical="center" wrapText="1"/>
    </xf>
    <xf numFmtId="0" fontId="6" fillId="0" borderId="20" xfId="0" applyFont="1" applyBorder="1" applyAlignment="1">
      <alignment horizontal="center" vertical="center" wrapText="1"/>
    </xf>
    <xf numFmtId="0" fontId="6" fillId="0" borderId="42" xfId="0" applyFont="1" applyBorder="1" applyAlignment="1">
      <alignment horizontal="center" vertical="center" wrapText="1"/>
    </xf>
    <xf numFmtId="0" fontId="6" fillId="0" borderId="41" xfId="0" applyFont="1" applyBorder="1" applyAlignment="1">
      <alignment horizontal="center" vertical="center" wrapText="1"/>
    </xf>
    <xf numFmtId="0" fontId="6" fillId="0" borderId="71" xfId="0" applyFont="1" applyBorder="1" applyAlignment="1">
      <alignment horizontal="center" vertical="center" wrapText="1"/>
    </xf>
    <xf numFmtId="0" fontId="12" fillId="0" borderId="17" xfId="0" applyFont="1" applyBorder="1" applyAlignment="1" applyProtection="1">
      <alignment horizontal="center" vertical="center"/>
      <protection locked="0"/>
    </xf>
    <xf numFmtId="0" fontId="6" fillId="0" borderId="70" xfId="0" applyFont="1" applyBorder="1" applyAlignment="1">
      <alignment horizontal="center" vertical="center" wrapText="1"/>
    </xf>
    <xf numFmtId="0" fontId="6" fillId="0" borderId="17" xfId="0" applyFont="1" applyBorder="1" applyAlignment="1">
      <alignment horizontal="center" vertical="center" wrapText="1"/>
    </xf>
    <xf numFmtId="0" fontId="54" fillId="0" borderId="1" xfId="0" applyFont="1" applyBorder="1" applyAlignment="1">
      <alignment horizontal="center"/>
    </xf>
    <xf numFmtId="0" fontId="56" fillId="0" borderId="15" xfId="0" applyFont="1" applyBorder="1" applyAlignment="1">
      <alignment horizontal="center"/>
    </xf>
    <xf numFmtId="0" fontId="56" fillId="0" borderId="18" xfId="0" applyFont="1" applyBorder="1" applyAlignment="1">
      <alignment horizontal="center"/>
    </xf>
    <xf numFmtId="0" fontId="56" fillId="0" borderId="24" xfId="0" applyFont="1" applyBorder="1" applyAlignment="1">
      <alignment horizontal="center"/>
    </xf>
    <xf numFmtId="0" fontId="56" fillId="0" borderId="1" xfId="0" applyFont="1" applyBorder="1" applyAlignment="1">
      <alignment horizontal="center"/>
    </xf>
    <xf numFmtId="0" fontId="71" fillId="0" borderId="1" xfId="0" applyFont="1" applyBorder="1" applyAlignment="1">
      <alignment horizontal="center"/>
    </xf>
    <xf numFmtId="0" fontId="25" fillId="0" borderId="17" xfId="0" applyFont="1" applyBorder="1" applyAlignment="1">
      <alignment horizontal="center" wrapText="1"/>
    </xf>
    <xf numFmtId="0" fontId="25" fillId="0" borderId="0" xfId="0" applyFont="1" applyAlignment="1">
      <alignment horizontal="center" wrapText="1"/>
    </xf>
    <xf numFmtId="0" fontId="101" fillId="0" borderId="0" xfId="0" applyFont="1" applyAlignment="1">
      <alignment horizontal="center" wrapText="1"/>
    </xf>
    <xf numFmtId="0" fontId="25" fillId="0" borderId="0" xfId="0" applyFont="1" applyAlignment="1">
      <alignment horizontal="center" vertical="center" wrapText="1"/>
    </xf>
    <xf numFmtId="0" fontId="25" fillId="0" borderId="0" xfId="0" applyFont="1" applyAlignment="1">
      <alignment horizontal="center" vertical="top" wrapText="1"/>
    </xf>
    <xf numFmtId="0" fontId="25" fillId="0" borderId="15" xfId="0" applyFont="1" applyBorder="1" applyAlignment="1">
      <alignment horizontal="center"/>
    </xf>
    <xf numFmtId="0" fontId="25" fillId="0" borderId="18" xfId="0" applyFont="1" applyBorder="1" applyAlignment="1">
      <alignment horizontal="center"/>
    </xf>
    <xf numFmtId="0" fontId="25" fillId="0" borderId="24" xfId="0" applyFont="1" applyBorder="1" applyAlignment="1">
      <alignment horizontal="center"/>
    </xf>
    <xf numFmtId="2" fontId="25" fillId="0" borderId="20" xfId="0" applyNumberFormat="1" applyFont="1" applyBorder="1" applyAlignment="1">
      <alignment horizontal="center"/>
    </xf>
    <xf numFmtId="0" fontId="25" fillId="0" borderId="42" xfId="0" applyFont="1" applyBorder="1" applyAlignment="1">
      <alignment horizontal="center"/>
    </xf>
    <xf numFmtId="10" fontId="25" fillId="0" borderId="15" xfId="0" applyNumberFormat="1" applyFont="1" applyBorder="1" applyAlignment="1">
      <alignment horizontal="center"/>
    </xf>
    <xf numFmtId="7" fontId="25" fillId="0" borderId="15" xfId="5" applyNumberFormat="1" applyFont="1" applyBorder="1" applyAlignment="1">
      <alignment horizontal="center"/>
    </xf>
    <xf numFmtId="7" fontId="25" fillId="0" borderId="18" xfId="5" applyNumberFormat="1" applyFont="1" applyBorder="1" applyAlignment="1">
      <alignment horizontal="center"/>
    </xf>
    <xf numFmtId="7" fontId="25" fillId="0" borderId="24" xfId="5" applyNumberFormat="1" applyFont="1" applyBorder="1" applyAlignment="1">
      <alignment horizontal="center"/>
    </xf>
    <xf numFmtId="7" fontId="24" fillId="0" borderId="15" xfId="5" applyNumberFormat="1" applyFont="1" applyBorder="1" applyAlignment="1">
      <alignment horizontal="center"/>
    </xf>
    <xf numFmtId="7" fontId="24" fillId="0" borderId="18" xfId="5" applyNumberFormat="1" applyFont="1" applyBorder="1" applyAlignment="1">
      <alignment horizontal="center"/>
    </xf>
    <xf numFmtId="7" fontId="24" fillId="0" borderId="24" xfId="5" applyNumberFormat="1" applyFont="1" applyBorder="1" applyAlignment="1">
      <alignment horizontal="center"/>
    </xf>
    <xf numFmtId="43" fontId="25" fillId="0" borderId="17" xfId="1" applyFont="1" applyBorder="1" applyAlignment="1">
      <alignment horizontal="center"/>
    </xf>
    <xf numFmtId="43" fontId="25" fillId="0" borderId="17" xfId="1" applyFont="1" applyBorder="1" applyAlignment="1"/>
    <xf numFmtId="0" fontId="25" fillId="0" borderId="41" xfId="0" applyFont="1" applyBorder="1" applyAlignment="1">
      <alignment horizontal="center"/>
    </xf>
    <xf numFmtId="0" fontId="25" fillId="0" borderId="17" xfId="0" applyFont="1" applyBorder="1" applyAlignment="1">
      <alignment horizontal="center"/>
    </xf>
    <xf numFmtId="0" fontId="25" fillId="0" borderId="71" xfId="0" applyFont="1" applyBorder="1" applyAlignment="1">
      <alignment horizontal="center"/>
    </xf>
    <xf numFmtId="0" fontId="25" fillId="0" borderId="20" xfId="0" applyFont="1" applyBorder="1" applyAlignment="1">
      <alignment horizontal="center"/>
    </xf>
    <xf numFmtId="0" fontId="52" fillId="5" borderId="15" xfId="0" applyFont="1" applyFill="1" applyBorder="1" applyAlignment="1">
      <alignment horizontal="left"/>
    </xf>
    <xf numFmtId="0" fontId="52" fillId="5" borderId="24" xfId="0" applyFont="1" applyFill="1" applyBorder="1" applyAlignment="1">
      <alignment horizontal="left"/>
    </xf>
    <xf numFmtId="0" fontId="52" fillId="0" borderId="15" xfId="0" applyFont="1" applyBorder="1" applyAlignment="1">
      <alignment horizontal="center"/>
    </xf>
    <xf numFmtId="0" fontId="52" fillId="0" borderId="24" xfId="0" applyFont="1" applyBorder="1" applyAlignment="1">
      <alignment horizontal="center"/>
    </xf>
    <xf numFmtId="0" fontId="52" fillId="5" borderId="20" xfId="0" applyFont="1" applyFill="1" applyBorder="1" applyAlignment="1">
      <alignment horizontal="left" vertical="center" wrapText="1"/>
    </xf>
    <xf numFmtId="0" fontId="52" fillId="5" borderId="42" xfId="0" applyFont="1" applyFill="1" applyBorder="1" applyAlignment="1">
      <alignment horizontal="left" vertical="center" wrapText="1"/>
    </xf>
    <xf numFmtId="0" fontId="52" fillId="5" borderId="31" xfId="0" applyFont="1" applyFill="1" applyBorder="1" applyAlignment="1">
      <alignment horizontal="left" vertical="center" wrapText="1"/>
    </xf>
    <xf numFmtId="0" fontId="52" fillId="5" borderId="72" xfId="0" applyFont="1" applyFill="1" applyBorder="1" applyAlignment="1">
      <alignment horizontal="left" vertical="center" wrapText="1"/>
    </xf>
    <xf numFmtId="0" fontId="52" fillId="5" borderId="41" xfId="0" applyFont="1" applyFill="1" applyBorder="1" applyAlignment="1">
      <alignment horizontal="left" vertical="center" wrapText="1"/>
    </xf>
    <xf numFmtId="0" fontId="52" fillId="5" borderId="71" xfId="0" applyFont="1" applyFill="1" applyBorder="1" applyAlignment="1">
      <alignment horizontal="left" vertical="center" wrapText="1"/>
    </xf>
    <xf numFmtId="0" fontId="52" fillId="0" borderId="20" xfId="0" applyFont="1" applyBorder="1" applyAlignment="1">
      <alignment horizontal="center" vertical="center" wrapText="1"/>
    </xf>
    <xf numFmtId="0" fontId="52" fillId="0" borderId="42" xfId="0" applyFont="1" applyBorder="1" applyAlignment="1">
      <alignment horizontal="center" vertical="center" wrapText="1"/>
    </xf>
    <xf numFmtId="0" fontId="52" fillId="0" borderId="31" xfId="0" applyFont="1" applyBorder="1" applyAlignment="1">
      <alignment horizontal="center" vertical="center" wrapText="1"/>
    </xf>
    <xf numFmtId="0" fontId="52" fillId="0" borderId="72" xfId="0" applyFont="1" applyBorder="1" applyAlignment="1">
      <alignment horizontal="center" vertical="center" wrapText="1"/>
    </xf>
    <xf numFmtId="0" fontId="52" fillId="0" borderId="41" xfId="0" applyFont="1" applyBorder="1" applyAlignment="1">
      <alignment horizontal="center" vertical="center" wrapText="1"/>
    </xf>
    <xf numFmtId="0" fontId="52" fillId="0" borderId="71" xfId="0" applyFont="1" applyBorder="1" applyAlignment="1">
      <alignment horizontal="center" vertical="center" wrapText="1"/>
    </xf>
    <xf numFmtId="169" fontId="6" fillId="0" borderId="17" xfId="0" applyNumberFormat="1" applyFont="1" applyBorder="1" applyAlignment="1">
      <alignment horizontal="center"/>
    </xf>
    <xf numFmtId="0" fontId="25" fillId="0" borderId="0" xfId="0" applyFont="1" applyAlignment="1">
      <alignment horizontal="left" vertical="center"/>
    </xf>
    <xf numFmtId="0" fontId="6" fillId="0" borderId="18" xfId="0" applyFont="1" applyBorder="1" applyAlignment="1">
      <alignment horizontal="center"/>
    </xf>
    <xf numFmtId="0" fontId="52" fillId="5" borderId="15" xfId="0" applyFont="1" applyFill="1" applyBorder="1" applyAlignment="1">
      <alignment horizontal="center"/>
    </xf>
    <xf numFmtId="0" fontId="52" fillId="5" borderId="18" xfId="0" applyFont="1" applyFill="1" applyBorder="1" applyAlignment="1">
      <alignment horizontal="center"/>
    </xf>
    <xf numFmtId="0" fontId="52" fillId="5" borderId="24" xfId="0" applyFont="1" applyFill="1" applyBorder="1" applyAlignment="1">
      <alignment horizontal="center"/>
    </xf>
    <xf numFmtId="0" fontId="6" fillId="0" borderId="0" xfId="0" applyFont="1" applyAlignment="1">
      <alignment horizontal="justify" wrapText="1"/>
    </xf>
    <xf numFmtId="0" fontId="19" fillId="0" borderId="17" xfId="0" applyFont="1" applyBorder="1" applyAlignment="1">
      <alignment horizontal="center"/>
    </xf>
    <xf numFmtId="0" fontId="6" fillId="0" borderId="0" xfId="0" applyFont="1" applyAlignment="1">
      <alignment horizontal="left"/>
    </xf>
    <xf numFmtId="0" fontId="19" fillId="0" borderId="83" xfId="0" applyFont="1" applyBorder="1" applyAlignment="1">
      <alignment horizontal="center"/>
    </xf>
    <xf numFmtId="3" fontId="25" fillId="0" borderId="15" xfId="0" applyNumberFormat="1" applyFont="1" applyBorder="1" applyAlignment="1">
      <alignment horizontal="center"/>
    </xf>
    <xf numFmtId="0" fontId="18" fillId="0" borderId="0" xfId="0" applyFont="1" applyAlignment="1">
      <alignment horizontal="center"/>
    </xf>
    <xf numFmtId="0" fontId="6" fillId="0" borderId="0" xfId="0" applyFont="1" applyAlignment="1">
      <alignment horizontal="center"/>
    </xf>
    <xf numFmtId="0" fontId="6" fillId="0" borderId="17" xfId="0" applyFont="1" applyBorder="1" applyAlignment="1">
      <alignment horizontal="center"/>
    </xf>
    <xf numFmtId="3" fontId="19" fillId="0" borderId="17" xfId="0" applyNumberFormat="1" applyFont="1" applyBorder="1" applyAlignment="1">
      <alignment horizontal="center"/>
    </xf>
    <xf numFmtId="2" fontId="25" fillId="0" borderId="15" xfId="0" applyNumberFormat="1" applyFont="1" applyBorder="1" applyAlignment="1">
      <alignment horizontal="center"/>
    </xf>
    <xf numFmtId="2" fontId="25" fillId="0" borderId="18" xfId="0" applyNumberFormat="1" applyFont="1" applyBorder="1" applyAlignment="1">
      <alignment horizontal="center"/>
    </xf>
    <xf numFmtId="0" fontId="54" fillId="0" borderId="1" xfId="0" applyFont="1" applyBorder="1" applyAlignment="1" applyProtection="1">
      <alignment horizontal="center"/>
      <protection locked="0"/>
    </xf>
    <xf numFmtId="0" fontId="6" fillId="0" borderId="0" xfId="0" applyFont="1" applyAlignment="1">
      <alignment horizontal="center" wrapText="1"/>
    </xf>
    <xf numFmtId="0" fontId="25" fillId="0" borderId="0" xfId="0" applyFont="1" applyAlignment="1">
      <alignment horizontal="left" wrapText="1"/>
    </xf>
    <xf numFmtId="0" fontId="54" fillId="0" borderId="0" xfId="0" applyFont="1" applyAlignment="1">
      <alignment horizontal="justify" vertical="center" wrapText="1"/>
    </xf>
    <xf numFmtId="0" fontId="54" fillId="0" borderId="17" xfId="0" applyFont="1" applyBorder="1" applyAlignment="1" applyProtection="1">
      <alignment horizontal="center"/>
      <protection locked="0"/>
    </xf>
    <xf numFmtId="0" fontId="54" fillId="0" borderId="18" xfId="0" applyFont="1" applyBorder="1" applyAlignment="1" applyProtection="1">
      <alignment horizontal="center"/>
      <protection locked="0"/>
    </xf>
    <xf numFmtId="0" fontId="56" fillId="0" borderId="17" xfId="0" applyFont="1" applyBorder="1" applyAlignment="1" applyProtection="1">
      <alignment horizontal="center" vertical="top" wrapText="1"/>
      <protection locked="0"/>
    </xf>
    <xf numFmtId="0" fontId="87" fillId="0" borderId="0" xfId="0" applyFont="1" applyAlignment="1">
      <alignment horizontal="center"/>
    </xf>
    <xf numFmtId="168" fontId="19" fillId="0" borderId="1" xfId="0" applyNumberFormat="1" applyFont="1" applyBorder="1" applyAlignment="1" applyProtection="1">
      <alignment horizontal="center" vertical="center"/>
      <protection locked="0"/>
    </xf>
    <xf numFmtId="0" fontId="5" fillId="5" borderId="1" xfId="0" applyFont="1" applyFill="1" applyBorder="1" applyAlignment="1" applyProtection="1">
      <alignment horizontal="left" vertical="center"/>
      <protection locked="0"/>
    </xf>
    <xf numFmtId="0" fontId="14" fillId="0" borderId="7" xfId="0" applyFont="1" applyBorder="1" applyAlignment="1" applyProtection="1">
      <alignment horizontal="center" vertical="center"/>
      <protection locked="0"/>
    </xf>
    <xf numFmtId="0" fontId="14" fillId="0" borderId="8" xfId="0" applyFont="1" applyBorder="1" applyAlignment="1" applyProtection="1">
      <alignment horizontal="center" vertical="center"/>
      <protection locked="0"/>
    </xf>
    <xf numFmtId="0" fontId="14" fillId="0" borderId="9" xfId="0" applyFont="1" applyBorder="1" applyAlignment="1" applyProtection="1">
      <alignment horizontal="center" vertical="center"/>
      <protection locked="0"/>
    </xf>
    <xf numFmtId="0" fontId="6" fillId="0" borderId="19" xfId="0" applyFont="1" applyBorder="1" applyAlignment="1" applyProtection="1">
      <alignment horizontal="center"/>
      <protection locked="0"/>
    </xf>
    <xf numFmtId="0" fontId="15" fillId="0" borderId="8" xfId="0" applyFont="1" applyBorder="1" applyAlignment="1" applyProtection="1">
      <alignment horizontal="center"/>
      <protection locked="0"/>
    </xf>
    <xf numFmtId="0" fontId="6" fillId="0" borderId="18" xfId="0" applyFont="1" applyBorder="1" applyAlignment="1" applyProtection="1">
      <alignment horizontal="left" vertical="center"/>
      <protection locked="0"/>
    </xf>
    <xf numFmtId="0" fontId="6" fillId="0" borderId="15" xfId="0" applyFont="1" applyBorder="1" applyAlignment="1" applyProtection="1">
      <alignment horizontal="center" vertical="center"/>
      <protection locked="0"/>
    </xf>
    <xf numFmtId="0" fontId="6" fillId="0" borderId="18" xfId="0" applyFont="1" applyBorder="1" applyAlignment="1" applyProtection="1">
      <alignment horizontal="center" vertical="center"/>
      <protection locked="0"/>
    </xf>
    <xf numFmtId="0" fontId="6" fillId="0" borderId="24" xfId="0" applyFont="1" applyBorder="1" applyAlignment="1" applyProtection="1">
      <alignment horizontal="center" vertical="center"/>
      <protection locked="0"/>
    </xf>
    <xf numFmtId="2" fontId="6" fillId="0" borderId="15" xfId="0" applyNumberFormat="1" applyFont="1" applyBorder="1" applyAlignment="1" applyProtection="1">
      <alignment horizontal="center" vertical="center"/>
      <protection locked="0"/>
    </xf>
    <xf numFmtId="0" fontId="6" fillId="0" borderId="32" xfId="0" applyFont="1" applyBorder="1" applyAlignment="1" applyProtection="1">
      <alignment horizontal="center" vertical="center"/>
      <protection locked="0"/>
    </xf>
    <xf numFmtId="166" fontId="6" fillId="0" borderId="1" xfId="0" applyNumberFormat="1" applyFont="1" applyBorder="1" applyAlignment="1" applyProtection="1">
      <alignment horizontal="center" vertical="center"/>
      <protection locked="0"/>
    </xf>
    <xf numFmtId="0" fontId="5" fillId="5" borderId="1" xfId="0" applyFont="1" applyFill="1" applyBorder="1" applyAlignment="1" applyProtection="1">
      <alignment horizontal="center" vertical="center"/>
      <protection locked="0"/>
    </xf>
    <xf numFmtId="0" fontId="9" fillId="5" borderId="0" xfId="0" applyFont="1" applyFill="1" applyAlignment="1" applyProtection="1">
      <alignment horizontal="center" vertical="center"/>
      <protection locked="0"/>
    </xf>
    <xf numFmtId="168" fontId="6" fillId="0" borderId="15" xfId="0" applyNumberFormat="1" applyFont="1" applyBorder="1" applyAlignment="1" applyProtection="1">
      <alignment horizontal="center" vertical="center"/>
      <protection locked="0"/>
    </xf>
    <xf numFmtId="168" fontId="6" fillId="0" borderId="24" xfId="0" applyNumberFormat="1" applyFont="1" applyBorder="1" applyAlignment="1" applyProtection="1">
      <alignment horizontal="center" vertical="center"/>
      <protection locked="0"/>
    </xf>
    <xf numFmtId="0" fontId="6" fillId="0" borderId="15" xfId="0" applyFont="1" applyBorder="1" applyAlignment="1">
      <alignment horizontal="center" vertical="center"/>
    </xf>
    <xf numFmtId="0" fontId="6" fillId="0" borderId="24" xfId="0" applyFont="1" applyBorder="1" applyAlignment="1">
      <alignment horizontal="center" vertical="center"/>
    </xf>
    <xf numFmtId="0" fontId="6" fillId="0" borderId="17" xfId="0" applyFont="1" applyBorder="1" applyAlignment="1" applyProtection="1">
      <alignment horizontal="center" vertical="center"/>
      <protection locked="0"/>
    </xf>
    <xf numFmtId="43" fontId="6" fillId="0" borderId="17" xfId="1" applyFont="1" applyBorder="1" applyAlignment="1" applyProtection="1">
      <alignment horizontal="center"/>
    </xf>
    <xf numFmtId="0" fontId="6" fillId="0" borderId="1" xfId="0" applyFont="1" applyBorder="1" applyAlignment="1">
      <alignment horizontal="center" vertical="center"/>
    </xf>
    <xf numFmtId="168" fontId="14" fillId="8" borderId="1" xfId="1" applyNumberFormat="1" applyFont="1" applyFill="1" applyBorder="1" applyAlignment="1" applyProtection="1">
      <alignment horizontal="center" vertical="center"/>
    </xf>
    <xf numFmtId="0" fontId="59" fillId="0" borderId="0" xfId="0" applyFont="1" applyAlignment="1">
      <alignment horizontal="center" vertical="center"/>
    </xf>
    <xf numFmtId="0" fontId="5" fillId="5" borderId="1" xfId="0" applyFont="1" applyFill="1" applyBorder="1" applyAlignment="1">
      <alignment horizontal="center" vertical="center"/>
    </xf>
    <xf numFmtId="178" fontId="6" fillId="0" borderId="5" xfId="1" applyNumberFormat="1" applyFont="1" applyBorder="1" applyAlignment="1" applyProtection="1">
      <alignment horizontal="center" vertical="center"/>
    </xf>
    <xf numFmtId="168" fontId="6" fillId="0" borderId="7" xfId="0" applyNumberFormat="1" applyFont="1" applyBorder="1" applyAlignment="1">
      <alignment horizontal="center" vertical="center"/>
    </xf>
    <xf numFmtId="168" fontId="6" fillId="0" borderId="8" xfId="0" applyNumberFormat="1" applyFont="1" applyBorder="1" applyAlignment="1">
      <alignment horizontal="center" vertical="center"/>
    </xf>
    <xf numFmtId="168" fontId="6" fillId="0" borderId="9" xfId="0" applyNumberFormat="1" applyFont="1" applyBorder="1" applyAlignment="1">
      <alignment horizontal="center" vertical="center"/>
    </xf>
    <xf numFmtId="173" fontId="19" fillId="7" borderId="5" xfId="3" applyNumberFormat="1" applyFont="1" applyFill="1" applyBorder="1" applyAlignment="1">
      <alignment horizontal="center" vertical="center"/>
    </xf>
    <xf numFmtId="0" fontId="15" fillId="0" borderId="5" xfId="0" applyFont="1" applyBorder="1" applyAlignment="1">
      <alignment horizontal="center" vertical="center"/>
    </xf>
    <xf numFmtId="0" fontId="15" fillId="0" borderId="34" xfId="0" applyFont="1" applyBorder="1" applyAlignment="1">
      <alignment horizontal="center" vertical="center"/>
    </xf>
    <xf numFmtId="0" fontId="15" fillId="0" borderId="33" xfId="0" applyFont="1" applyBorder="1" applyAlignment="1">
      <alignment horizontal="center" vertical="center"/>
    </xf>
    <xf numFmtId="0" fontId="15" fillId="0" borderId="35" xfId="0" applyFont="1" applyBorder="1" applyAlignment="1">
      <alignment horizontal="center" vertical="center"/>
    </xf>
    <xf numFmtId="0" fontId="11" fillId="5" borderId="79" xfId="0" applyFont="1" applyFill="1" applyBorder="1" applyAlignment="1">
      <alignment vertical="center"/>
    </xf>
    <xf numFmtId="168" fontId="19" fillId="0" borderId="88" xfId="0" applyNumberFormat="1" applyFont="1" applyBorder="1" applyAlignment="1">
      <alignment horizontal="center" vertical="center"/>
    </xf>
    <xf numFmtId="168" fontId="18" fillId="0" borderId="7" xfId="0" applyNumberFormat="1" applyFont="1" applyBorder="1" applyAlignment="1">
      <alignment horizontal="left" vertical="center"/>
    </xf>
    <xf numFmtId="168" fontId="18" fillId="0" borderId="8" xfId="0" applyNumberFormat="1" applyFont="1" applyBorder="1" applyAlignment="1">
      <alignment horizontal="left" vertical="center"/>
    </xf>
    <xf numFmtId="168" fontId="18" fillId="0" borderId="9" xfId="0" applyNumberFormat="1" applyFont="1" applyBorder="1" applyAlignment="1">
      <alignment horizontal="left" vertical="center"/>
    </xf>
    <xf numFmtId="0" fontId="5" fillId="5" borderId="79" xfId="0" applyFont="1" applyFill="1" applyBorder="1" applyAlignment="1">
      <alignment vertical="center"/>
    </xf>
    <xf numFmtId="168" fontId="18" fillId="0" borderId="88" xfId="0" applyNumberFormat="1" applyFont="1" applyBorder="1" applyAlignment="1">
      <alignment horizontal="center" vertical="center"/>
    </xf>
    <xf numFmtId="168" fontId="19" fillId="0" borderId="7" xfId="0" applyNumberFormat="1" applyFont="1" applyBorder="1" applyAlignment="1">
      <alignment horizontal="left" vertical="center"/>
    </xf>
    <xf numFmtId="168" fontId="19" fillId="0" borderId="8" xfId="0" applyNumberFormat="1" applyFont="1" applyBorder="1" applyAlignment="1">
      <alignment horizontal="left" vertical="center"/>
    </xf>
    <xf numFmtId="168" fontId="19" fillId="0" borderId="9" xfId="0" applyNumberFormat="1" applyFont="1" applyBorder="1" applyAlignment="1">
      <alignment horizontal="left" vertical="center"/>
    </xf>
    <xf numFmtId="168" fontId="18" fillId="0" borderId="19" xfId="0" applyNumberFormat="1" applyFont="1" applyBorder="1" applyAlignment="1">
      <alignment horizontal="left" vertical="center"/>
    </xf>
    <xf numFmtId="168" fontId="18" fillId="0" borderId="38" xfId="0" applyNumberFormat="1" applyFont="1" applyBorder="1" applyAlignment="1">
      <alignment horizontal="left" vertical="center"/>
    </xf>
    <xf numFmtId="168" fontId="19" fillId="0" borderId="0" xfId="0" applyNumberFormat="1" applyFont="1" applyAlignment="1">
      <alignment horizontal="left" vertical="center"/>
    </xf>
    <xf numFmtId="168" fontId="19" fillId="0" borderId="22" xfId="0" applyNumberFormat="1" applyFont="1" applyBorder="1" applyAlignment="1">
      <alignment horizontal="left" vertical="center"/>
    </xf>
    <xf numFmtId="168" fontId="6" fillId="0" borderId="1" xfId="0" applyNumberFormat="1" applyFont="1" applyBorder="1" applyAlignment="1">
      <alignment horizontal="center" vertical="center"/>
    </xf>
    <xf numFmtId="0" fontId="6" fillId="0" borderId="15" xfId="0" applyFont="1" applyBorder="1" applyAlignment="1">
      <alignment horizontal="center"/>
    </xf>
    <xf numFmtId="0" fontId="6" fillId="0" borderId="24" xfId="0" applyFont="1" applyBorder="1" applyAlignment="1">
      <alignment horizontal="center"/>
    </xf>
    <xf numFmtId="168" fontId="6" fillId="0" borderId="1" xfId="0" applyNumberFormat="1" applyFont="1" applyBorder="1" applyAlignment="1" applyProtection="1">
      <alignment horizontal="center" vertical="center"/>
      <protection locked="0"/>
    </xf>
    <xf numFmtId="0" fontId="6" fillId="0" borderId="7" xfId="0" applyFont="1" applyBorder="1" applyAlignment="1">
      <alignment horizontal="center" vertical="center"/>
    </xf>
    <xf numFmtId="0" fontId="6" fillId="0" borderId="8" xfId="0" applyFont="1" applyBorder="1" applyAlignment="1">
      <alignment horizontal="center" vertical="center"/>
    </xf>
    <xf numFmtId="0" fontId="6" fillId="0" borderId="8" xfId="0" applyFont="1" applyBorder="1" applyAlignment="1">
      <alignment vertical="center"/>
    </xf>
    <xf numFmtId="0" fontId="6" fillId="0" borderId="9" xfId="0" applyFont="1" applyBorder="1" applyAlignment="1">
      <alignment vertical="center"/>
    </xf>
    <xf numFmtId="2" fontId="6" fillId="0" borderId="15" xfId="1" applyNumberFormat="1" applyFont="1" applyBorder="1" applyAlignment="1" applyProtection="1">
      <alignment horizontal="center" vertical="center"/>
    </xf>
    <xf numFmtId="2" fontId="6" fillId="0" borderId="18" xfId="1" applyNumberFormat="1" applyFont="1" applyBorder="1" applyAlignment="1" applyProtection="1">
      <alignment horizontal="center" vertical="center"/>
    </xf>
    <xf numFmtId="0" fontId="6" fillId="0" borderId="18" xfId="0" applyFont="1" applyBorder="1" applyAlignment="1">
      <alignment vertical="center"/>
    </xf>
    <xf numFmtId="0" fontId="6" fillId="0" borderId="24" xfId="0" applyFont="1" applyBorder="1" applyAlignment="1">
      <alignment vertical="center"/>
    </xf>
    <xf numFmtId="0" fontId="6" fillId="0" borderId="9" xfId="0" applyFont="1" applyBorder="1" applyAlignment="1">
      <alignment horizontal="center" vertical="center"/>
    </xf>
    <xf numFmtId="0" fontId="6" fillId="0" borderId="16" xfId="0" applyFont="1" applyBorder="1" applyAlignment="1">
      <alignment horizontal="center" vertical="center"/>
    </xf>
    <xf numFmtId="0" fontId="6" fillId="0" borderId="8" xfId="0" applyFont="1" applyBorder="1" applyAlignment="1">
      <alignment horizontal="left" vertical="center"/>
    </xf>
    <xf numFmtId="0" fontId="6" fillId="0" borderId="9" xfId="0" applyFont="1" applyBorder="1" applyAlignment="1">
      <alignment horizontal="left" vertical="center"/>
    </xf>
    <xf numFmtId="0" fontId="6" fillId="0" borderId="18" xfId="0" applyFont="1" applyBorder="1" applyAlignment="1">
      <alignment horizontal="center" vertical="center"/>
    </xf>
    <xf numFmtId="166" fontId="6" fillId="0" borderId="81" xfId="0" applyNumberFormat="1" applyFont="1" applyBorder="1" applyAlignment="1">
      <alignment horizontal="center" vertical="center"/>
    </xf>
    <xf numFmtId="0" fontId="9" fillId="5" borderId="0" xfId="0" applyFont="1" applyFill="1" applyAlignment="1">
      <alignment horizontal="center" vertical="center"/>
    </xf>
    <xf numFmtId="2" fontId="6" fillId="0" borderId="15" xfId="0" applyNumberFormat="1" applyFont="1" applyBorder="1" applyAlignment="1">
      <alignment horizontal="center" vertical="center"/>
    </xf>
    <xf numFmtId="2" fontId="6" fillId="0" borderId="18" xfId="0" applyNumberFormat="1" applyFont="1" applyBorder="1" applyAlignment="1">
      <alignment horizontal="center" vertical="center"/>
    </xf>
    <xf numFmtId="0" fontId="6" fillId="0" borderId="17" xfId="0" applyFont="1" applyBorder="1" applyAlignment="1">
      <alignment vertical="center"/>
    </xf>
    <xf numFmtId="0" fontId="6" fillId="0" borderId="71" xfId="0" applyFont="1" applyBorder="1" applyAlignment="1">
      <alignment vertical="center"/>
    </xf>
    <xf numFmtId="2" fontId="12" fillId="0" borderId="15" xfId="1" applyNumberFormat="1" applyFont="1" applyBorder="1" applyAlignment="1" applyProtection="1">
      <alignment horizontal="center" vertical="center"/>
    </xf>
    <xf numFmtId="2" fontId="12" fillId="0" borderId="32" xfId="1" applyNumberFormat="1" applyFont="1" applyBorder="1" applyAlignment="1" applyProtection="1">
      <alignment horizontal="center" vertical="center"/>
    </xf>
    <xf numFmtId="2" fontId="12" fillId="0" borderId="109" xfId="1" applyNumberFormat="1" applyFont="1" applyBorder="1" applyAlignment="1" applyProtection="1">
      <alignment horizontal="center" vertical="center"/>
    </xf>
    <xf numFmtId="2" fontId="12" fillId="0" borderId="110" xfId="1" applyNumberFormat="1" applyFont="1" applyBorder="1" applyAlignment="1" applyProtection="1">
      <alignment horizontal="center" vertical="center"/>
    </xf>
    <xf numFmtId="169" fontId="8" fillId="5" borderId="1" xfId="0" applyNumberFormat="1" applyFont="1" applyFill="1" applyBorder="1" applyAlignment="1">
      <alignment horizontal="center" vertical="center"/>
    </xf>
    <xf numFmtId="0" fontId="12" fillId="0" borderId="103" xfId="0" applyFont="1" applyBorder="1" applyAlignment="1">
      <alignment horizontal="center" vertical="center"/>
    </xf>
    <xf numFmtId="0" fontId="12" fillId="0" borderId="104" xfId="0" applyFont="1" applyBorder="1" applyAlignment="1">
      <alignment horizontal="center" vertical="center"/>
    </xf>
    <xf numFmtId="0" fontId="12" fillId="0" borderId="16" xfId="0" applyFont="1" applyBorder="1" applyAlignment="1">
      <alignment horizontal="center" vertical="center"/>
    </xf>
    <xf numFmtId="0" fontId="12" fillId="0" borderId="34" xfId="0" applyFont="1" applyBorder="1" applyAlignment="1">
      <alignment horizontal="center" vertical="center"/>
    </xf>
    <xf numFmtId="0" fontId="12" fillId="0" borderId="33" xfId="0" applyFont="1" applyBorder="1" applyAlignment="1">
      <alignment horizontal="center" vertical="center"/>
    </xf>
    <xf numFmtId="0" fontId="12" fillId="0" borderId="35" xfId="0" applyFont="1" applyBorder="1" applyAlignment="1">
      <alignment horizontal="center" vertical="center"/>
    </xf>
    <xf numFmtId="166" fontId="12" fillId="0" borderId="8" xfId="0" applyNumberFormat="1" applyFont="1" applyBorder="1" applyAlignment="1">
      <alignment horizontal="center"/>
    </xf>
    <xf numFmtId="166" fontId="12" fillId="0" borderId="9" xfId="0" applyNumberFormat="1" applyFont="1" applyBorder="1" applyAlignment="1">
      <alignment horizontal="center"/>
    </xf>
    <xf numFmtId="2" fontId="12" fillId="0" borderId="106" xfId="1" applyNumberFormat="1" applyFont="1" applyBorder="1" applyAlignment="1" applyProtection="1">
      <alignment horizontal="center" vertical="center"/>
    </xf>
    <xf numFmtId="2" fontId="12" fillId="0" borderId="107" xfId="1" applyNumberFormat="1" applyFont="1" applyBorder="1" applyAlignment="1" applyProtection="1">
      <alignment horizontal="center" vertical="center"/>
    </xf>
    <xf numFmtId="0" fontId="17" fillId="0" borderId="19" xfId="0" applyFont="1" applyBorder="1" applyAlignment="1">
      <alignment horizontal="center" vertical="center"/>
    </xf>
    <xf numFmtId="2" fontId="12" fillId="0" borderId="41" xfId="0" applyNumberFormat="1" applyFont="1" applyBorder="1" applyAlignment="1">
      <alignment horizontal="center" vertical="center"/>
    </xf>
    <xf numFmtId="0" fontId="12" fillId="0" borderId="101" xfId="0" applyFont="1" applyBorder="1" applyAlignment="1">
      <alignment horizontal="center" vertical="center"/>
    </xf>
    <xf numFmtId="2" fontId="12" fillId="0" borderId="109" xfId="0" applyNumberFormat="1" applyFont="1" applyBorder="1" applyAlignment="1">
      <alignment horizontal="center" vertical="center"/>
    </xf>
    <xf numFmtId="2" fontId="12" fillId="0" borderId="110" xfId="0" applyNumberFormat="1" applyFont="1" applyBorder="1" applyAlignment="1">
      <alignment horizontal="center" vertical="center"/>
    </xf>
    <xf numFmtId="0" fontId="20" fillId="5" borderId="12" xfId="0" applyFont="1" applyFill="1" applyBorder="1" applyAlignment="1">
      <alignment horizontal="left" vertical="center"/>
    </xf>
    <xf numFmtId="0" fontId="20" fillId="5" borderId="74" xfId="0" applyFont="1" applyFill="1" applyBorder="1" applyAlignment="1">
      <alignment horizontal="left" vertical="center"/>
    </xf>
    <xf numFmtId="168" fontId="12" fillId="0" borderId="0" xfId="0" applyNumberFormat="1" applyFont="1" applyAlignment="1">
      <alignment horizontal="center" vertical="center"/>
    </xf>
    <xf numFmtId="168" fontId="14" fillId="9" borderId="1" xfId="0" applyNumberFormat="1" applyFont="1" applyFill="1" applyBorder="1" applyAlignment="1">
      <alignment horizontal="center" vertical="center"/>
    </xf>
    <xf numFmtId="0" fontId="14" fillId="9" borderId="15" xfId="0" applyFont="1" applyFill="1" applyBorder="1" applyAlignment="1">
      <alignment horizontal="center" vertical="center"/>
    </xf>
    <xf numFmtId="0" fontId="14" fillId="9" borderId="24" xfId="0" applyFont="1" applyFill="1" applyBorder="1" applyAlignment="1">
      <alignment horizontal="center" vertical="center"/>
    </xf>
    <xf numFmtId="168" fontId="12" fillId="0" borderId="1" xfId="0" applyNumberFormat="1" applyFont="1" applyBorder="1" applyAlignment="1">
      <alignment horizontal="left" vertical="center"/>
    </xf>
    <xf numFmtId="168" fontId="17" fillId="0" borderId="1" xfId="0" applyNumberFormat="1" applyFont="1" applyBorder="1" applyAlignment="1">
      <alignment horizontal="left" vertical="center"/>
    </xf>
    <xf numFmtId="168" fontId="33" fillId="0" borderId="29" xfId="0" applyNumberFormat="1" applyFont="1" applyBorder="1" applyAlignment="1">
      <alignment horizontal="left" vertical="center"/>
    </xf>
    <xf numFmtId="168" fontId="33" fillId="0" borderId="18" xfId="0" applyNumberFormat="1" applyFont="1" applyBorder="1" applyAlignment="1">
      <alignment horizontal="left" vertical="center"/>
    </xf>
    <xf numFmtId="168" fontId="33" fillId="0" borderId="24" xfId="0" applyNumberFormat="1" applyFont="1" applyBorder="1" applyAlignment="1">
      <alignment horizontal="left" vertical="center"/>
    </xf>
    <xf numFmtId="168" fontId="33" fillId="0" borderId="1" xfId="0" applyNumberFormat="1" applyFont="1" applyBorder="1" applyAlignment="1">
      <alignment horizontal="center" vertical="center"/>
    </xf>
    <xf numFmtId="0" fontId="8" fillId="5" borderId="3" xfId="0" applyFont="1" applyFill="1" applyBorder="1" applyAlignment="1">
      <alignment horizontal="left" vertical="center"/>
    </xf>
    <xf numFmtId="168" fontId="33" fillId="0" borderId="39" xfId="0" applyNumberFormat="1" applyFont="1" applyBorder="1" applyAlignment="1">
      <alignment horizontal="left" vertical="center"/>
    </xf>
    <xf numFmtId="168" fontId="33" fillId="0" borderId="30" xfId="0" applyNumberFormat="1" applyFont="1" applyBorder="1" applyAlignment="1">
      <alignment horizontal="left" vertical="center"/>
    </xf>
    <xf numFmtId="168" fontId="33" fillId="0" borderId="76" xfId="0" applyNumberFormat="1" applyFont="1" applyBorder="1" applyAlignment="1">
      <alignment horizontal="left" vertical="center"/>
    </xf>
    <xf numFmtId="168" fontId="17" fillId="0" borderId="26" xfId="0" applyNumberFormat="1" applyFont="1" applyBorder="1" applyAlignment="1">
      <alignment horizontal="left" vertical="center"/>
    </xf>
    <xf numFmtId="168" fontId="17" fillId="0" borderId="27" xfId="0" applyNumberFormat="1" applyFont="1" applyBorder="1" applyAlignment="1">
      <alignment horizontal="left" vertical="center"/>
    </xf>
    <xf numFmtId="168" fontId="17" fillId="0" borderId="73" xfId="0" applyNumberFormat="1" applyFont="1" applyBorder="1" applyAlignment="1">
      <alignment horizontal="left" vertical="center"/>
    </xf>
    <xf numFmtId="168" fontId="17" fillId="0" borderId="29" xfId="0" applyNumberFormat="1" applyFont="1" applyBorder="1" applyAlignment="1">
      <alignment horizontal="left" vertical="center"/>
    </xf>
    <xf numFmtId="168" fontId="17" fillId="0" borderId="18" xfId="0" applyNumberFormat="1" applyFont="1" applyBorder="1" applyAlignment="1">
      <alignment horizontal="left" vertical="center"/>
    </xf>
    <xf numFmtId="168" fontId="17" fillId="0" borderId="24" xfId="0" applyNumberFormat="1" applyFont="1" applyBorder="1" applyAlignment="1">
      <alignment horizontal="left" vertical="center"/>
    </xf>
    <xf numFmtId="168" fontId="19" fillId="0" borderId="20" xfId="0" applyNumberFormat="1" applyFont="1" applyBorder="1" applyAlignment="1">
      <alignment horizontal="center" vertical="center" wrapText="1"/>
    </xf>
    <xf numFmtId="168" fontId="19" fillId="0" borderId="42" xfId="0" applyNumberFormat="1" applyFont="1" applyBorder="1" applyAlignment="1">
      <alignment horizontal="center" vertical="center" wrapText="1"/>
    </xf>
    <xf numFmtId="168" fontId="19" fillId="0" borderId="41" xfId="0" applyNumberFormat="1" applyFont="1" applyBorder="1" applyAlignment="1">
      <alignment horizontal="center" vertical="center" wrapText="1"/>
    </xf>
    <xf numFmtId="168" fontId="19" fillId="0" borderId="71" xfId="0" applyNumberFormat="1" applyFont="1" applyBorder="1" applyAlignment="1">
      <alignment horizontal="center" vertical="center" wrapText="1"/>
    </xf>
    <xf numFmtId="43" fontId="14" fillId="0" borderId="0" xfId="1" applyFont="1" applyBorder="1" applyAlignment="1" applyProtection="1">
      <alignment horizontal="center" vertical="center"/>
    </xf>
    <xf numFmtId="168" fontId="33" fillId="0" borderId="15" xfId="0" applyNumberFormat="1" applyFont="1" applyBorder="1" applyAlignment="1">
      <alignment horizontal="left" vertical="center"/>
    </xf>
    <xf numFmtId="168" fontId="17" fillId="0" borderId="15" xfId="0" applyNumberFormat="1" applyFont="1" applyBorder="1" applyAlignment="1">
      <alignment horizontal="left" vertical="center"/>
    </xf>
    <xf numFmtId="0" fontId="12" fillId="0" borderId="18" xfId="0" applyFont="1" applyBorder="1" applyAlignment="1">
      <alignment horizontal="center"/>
    </xf>
    <xf numFmtId="168" fontId="33" fillId="0" borderId="7" xfId="0" applyNumberFormat="1" applyFont="1" applyBorder="1" applyAlignment="1">
      <alignment horizontal="left" vertical="center"/>
    </xf>
    <xf numFmtId="168" fontId="33" fillId="0" borderId="8" xfId="0" applyNumberFormat="1" applyFont="1" applyBorder="1" applyAlignment="1">
      <alignment horizontal="left" vertical="center"/>
    </xf>
    <xf numFmtId="168" fontId="33" fillId="0" borderId="21" xfId="0" applyNumberFormat="1" applyFont="1" applyBorder="1" applyAlignment="1">
      <alignment horizontal="left" vertical="center"/>
    </xf>
    <xf numFmtId="0" fontId="12" fillId="0" borderId="0" xfId="0" applyFont="1" applyAlignment="1">
      <alignment horizontal="center"/>
    </xf>
    <xf numFmtId="0" fontId="12" fillId="0" borderId="17" xfId="0" applyFont="1" applyBorder="1" applyAlignment="1">
      <alignment horizontal="center"/>
    </xf>
    <xf numFmtId="0" fontId="0" fillId="0" borderId="17" xfId="0" applyBorder="1" applyAlignment="1" applyProtection="1">
      <alignment horizontal="center"/>
      <protection locked="0"/>
    </xf>
    <xf numFmtId="166" fontId="6" fillId="0" borderId="7" xfId="0" applyNumberFormat="1" applyFont="1" applyBorder="1" applyAlignment="1">
      <alignment horizontal="center"/>
    </xf>
    <xf numFmtId="166" fontId="6" fillId="0" borderId="8" xfId="0" applyNumberFormat="1" applyFont="1" applyBorder="1" applyAlignment="1">
      <alignment horizontal="center"/>
    </xf>
    <xf numFmtId="166" fontId="6" fillId="0" borderId="9" xfId="0" applyNumberFormat="1" applyFont="1" applyBorder="1" applyAlignment="1">
      <alignment horizontal="center"/>
    </xf>
    <xf numFmtId="0" fontId="12" fillId="0" borderId="28" xfId="0" applyFont="1" applyBorder="1" applyAlignment="1">
      <alignment horizontal="center" vertical="center"/>
    </xf>
    <xf numFmtId="0" fontId="12" fillId="0" borderId="22" xfId="0" applyFont="1" applyBorder="1" applyAlignment="1">
      <alignment horizontal="center" vertical="center"/>
    </xf>
    <xf numFmtId="0" fontId="12" fillId="0" borderId="9" xfId="0" applyFont="1" applyBorder="1" applyAlignment="1">
      <alignment horizontal="left" vertical="center"/>
    </xf>
    <xf numFmtId="0" fontId="27" fillId="0" borderId="0" xfId="0" applyFont="1" applyAlignment="1">
      <alignment horizontal="center" vertical="center"/>
    </xf>
    <xf numFmtId="2" fontId="12" fillId="0" borderId="7" xfId="0" applyNumberFormat="1" applyFont="1" applyBorder="1" applyAlignment="1">
      <alignment horizontal="center" vertical="center"/>
    </xf>
    <xf numFmtId="0" fontId="12" fillId="0" borderId="21" xfId="0" applyFont="1" applyBorder="1" applyAlignment="1">
      <alignment horizontal="center" vertical="center"/>
    </xf>
    <xf numFmtId="2" fontId="12" fillId="0" borderId="8" xfId="0" applyNumberFormat="1" applyFont="1" applyBorder="1" applyAlignment="1">
      <alignment horizontal="center" vertical="center"/>
    </xf>
    <xf numFmtId="2" fontId="12" fillId="0" borderId="21" xfId="1" applyNumberFormat="1" applyFont="1" applyBorder="1" applyAlignment="1" applyProtection="1">
      <alignment horizontal="center" vertical="center"/>
    </xf>
    <xf numFmtId="168" fontId="17" fillId="0" borderId="7" xfId="0" applyNumberFormat="1" applyFont="1" applyBorder="1" applyAlignment="1">
      <alignment horizontal="left" vertical="center"/>
    </xf>
    <xf numFmtId="168" fontId="17" fillId="0" borderId="8" xfId="0" applyNumberFormat="1" applyFont="1" applyBorder="1" applyAlignment="1">
      <alignment horizontal="left" vertical="center"/>
    </xf>
    <xf numFmtId="168" fontId="17" fillId="0" borderId="21" xfId="0" applyNumberFormat="1" applyFont="1" applyBorder="1" applyAlignment="1">
      <alignment horizontal="left" vertical="center"/>
    </xf>
    <xf numFmtId="2" fontId="12" fillId="0" borderId="37" xfId="1" applyNumberFormat="1" applyFont="1" applyBorder="1" applyAlignment="1" applyProtection="1">
      <alignment horizontal="center" vertical="center"/>
    </xf>
    <xf numFmtId="2" fontId="12" fillId="0" borderId="19" xfId="1" applyNumberFormat="1" applyFont="1" applyBorder="1" applyAlignment="1" applyProtection="1">
      <alignment horizontal="center" vertical="center"/>
    </xf>
    <xf numFmtId="168" fontId="17" fillId="0" borderId="9" xfId="0" applyNumberFormat="1" applyFont="1" applyBorder="1" applyAlignment="1">
      <alignment horizontal="left" vertical="center"/>
    </xf>
    <xf numFmtId="168" fontId="14" fillId="0" borderId="0" xfId="0" applyNumberFormat="1" applyFont="1" applyAlignment="1">
      <alignment horizontal="center" vertical="center"/>
    </xf>
    <xf numFmtId="168" fontId="33" fillId="0" borderId="9" xfId="0" applyNumberFormat="1" applyFont="1" applyBorder="1" applyAlignment="1">
      <alignment horizontal="left" vertical="center"/>
    </xf>
    <xf numFmtId="0" fontId="30" fillId="2" borderId="0" xfId="0" applyFont="1" applyFill="1" applyAlignment="1">
      <alignment horizontal="center"/>
    </xf>
    <xf numFmtId="168" fontId="33" fillId="0" borderId="7" xfId="0" applyNumberFormat="1" applyFont="1" applyBorder="1" applyAlignment="1">
      <alignment horizontal="center" vertical="center"/>
    </xf>
    <xf numFmtId="168" fontId="33" fillId="0" borderId="8" xfId="0" applyNumberFormat="1" applyFont="1" applyBorder="1" applyAlignment="1">
      <alignment horizontal="center" vertical="center"/>
    </xf>
    <xf numFmtId="168" fontId="33" fillId="0" borderId="9" xfId="0" applyNumberFormat="1" applyFont="1" applyBorder="1" applyAlignment="1">
      <alignment horizontal="center" vertical="center"/>
    </xf>
    <xf numFmtId="0" fontId="49" fillId="0" borderId="0" xfId="0" applyFont="1" applyAlignment="1">
      <alignment horizontal="center"/>
    </xf>
    <xf numFmtId="168" fontId="33" fillId="0" borderId="44" xfId="0" applyNumberFormat="1" applyFont="1" applyBorder="1" applyAlignment="1">
      <alignment horizontal="left" vertical="center"/>
    </xf>
    <xf numFmtId="168" fontId="17" fillId="0" borderId="34" xfId="0" applyNumberFormat="1" applyFont="1" applyBorder="1" applyAlignment="1">
      <alignment horizontal="left" vertical="center"/>
    </xf>
    <xf numFmtId="168" fontId="17" fillId="0" borderId="33" xfId="0" applyNumberFormat="1" applyFont="1" applyBorder="1" applyAlignment="1">
      <alignment horizontal="left" vertical="center"/>
    </xf>
    <xf numFmtId="168" fontId="17" fillId="0" borderId="35" xfId="0" applyNumberFormat="1" applyFont="1" applyBorder="1" applyAlignment="1">
      <alignment horizontal="left" vertical="center"/>
    </xf>
    <xf numFmtId="43" fontId="38" fillId="0" borderId="17" xfId="1" applyFont="1" applyBorder="1" applyAlignment="1" applyProtection="1">
      <alignment horizontal="center" vertical="center"/>
    </xf>
    <xf numFmtId="43" fontId="38" fillId="0" borderId="0" xfId="1" applyFont="1" applyAlignment="1" applyProtection="1">
      <alignment horizontal="center"/>
    </xf>
    <xf numFmtId="0" fontId="8" fillId="5" borderId="79" xfId="0" applyFont="1" applyFill="1" applyBorder="1" applyAlignment="1">
      <alignment horizontal="left" vertical="center"/>
    </xf>
    <xf numFmtId="166" fontId="32" fillId="0" borderId="18" xfId="0" applyNumberFormat="1" applyFont="1" applyBorder="1" applyAlignment="1">
      <alignment horizontal="left" vertical="center"/>
    </xf>
    <xf numFmtId="0" fontId="32" fillId="0" borderId="18" xfId="0" applyFont="1" applyBorder="1" applyAlignment="1">
      <alignment horizontal="left" vertical="center"/>
    </xf>
    <xf numFmtId="171" fontId="6" fillId="0" borderId="15" xfId="0" applyNumberFormat="1" applyFont="1" applyBorder="1" applyAlignment="1">
      <alignment horizontal="center" vertical="center"/>
    </xf>
    <xf numFmtId="171" fontId="6" fillId="0" borderId="18" xfId="0" applyNumberFormat="1" applyFont="1" applyBorder="1" applyAlignment="1">
      <alignment horizontal="center" vertical="center"/>
    </xf>
    <xf numFmtId="171" fontId="6" fillId="0" borderId="24" xfId="0" applyNumberFormat="1" applyFont="1" applyBorder="1" applyAlignment="1">
      <alignment horizontal="center" vertical="center"/>
    </xf>
    <xf numFmtId="0" fontId="38" fillId="0" borderId="0" xfId="0" applyFont="1" applyAlignment="1">
      <alignment horizontal="center" vertical="center"/>
    </xf>
    <xf numFmtId="168" fontId="15" fillId="0" borderId="0" xfId="0" applyNumberFormat="1" applyFont="1" applyAlignment="1">
      <alignment horizontal="center" vertical="center"/>
    </xf>
    <xf numFmtId="171" fontId="38" fillId="0" borderId="0" xfId="0" applyNumberFormat="1" applyFont="1" applyAlignment="1">
      <alignment horizontal="center" vertical="center"/>
    </xf>
    <xf numFmtId="168" fontId="33" fillId="0" borderId="7" xfId="1" applyNumberFormat="1" applyFont="1" applyBorder="1" applyAlignment="1" applyProtection="1">
      <alignment horizontal="left" vertical="center"/>
    </xf>
    <xf numFmtId="2" fontId="6" fillId="0" borderId="28" xfId="0" applyNumberFormat="1" applyFont="1" applyBorder="1" applyAlignment="1">
      <alignment horizontal="center" vertical="center"/>
    </xf>
    <xf numFmtId="0" fontId="6" fillId="0" borderId="0" xfId="0" applyFont="1" applyAlignment="1">
      <alignment horizontal="center" vertical="center"/>
    </xf>
    <xf numFmtId="168" fontId="17" fillId="0" borderId="7" xfId="1" applyNumberFormat="1" applyFont="1" applyBorder="1" applyAlignment="1" applyProtection="1">
      <alignment horizontal="left" vertical="center"/>
    </xf>
    <xf numFmtId="168" fontId="17" fillId="0" borderId="8" xfId="1" applyNumberFormat="1" applyFont="1" applyBorder="1" applyAlignment="1" applyProtection="1">
      <alignment horizontal="left" vertical="center"/>
    </xf>
    <xf numFmtId="168" fontId="17" fillId="0" borderId="9" xfId="1" applyNumberFormat="1" applyFont="1" applyBorder="1" applyAlignment="1" applyProtection="1">
      <alignment horizontal="left" vertical="center"/>
    </xf>
    <xf numFmtId="2" fontId="6" fillId="0" borderId="7" xfId="1" applyNumberFormat="1" applyFont="1" applyBorder="1" applyAlignment="1" applyProtection="1">
      <alignment horizontal="center" vertical="center"/>
    </xf>
    <xf numFmtId="2" fontId="6" fillId="0" borderId="8" xfId="1" applyNumberFormat="1" applyFont="1" applyBorder="1" applyAlignment="1" applyProtection="1">
      <alignment horizontal="center" vertical="center"/>
    </xf>
    <xf numFmtId="0" fontId="6" fillId="0" borderId="7" xfId="1" applyNumberFormat="1" applyFont="1" applyBorder="1" applyAlignment="1" applyProtection="1">
      <alignment horizontal="center" vertical="center"/>
    </xf>
    <xf numFmtId="0" fontId="6" fillId="0" borderId="21" xfId="1" applyNumberFormat="1" applyFont="1" applyBorder="1" applyAlignment="1" applyProtection="1">
      <alignment horizontal="center" vertical="center"/>
    </xf>
    <xf numFmtId="0" fontId="6" fillId="0" borderId="28" xfId="1" applyNumberFormat="1" applyFont="1" applyBorder="1" applyAlignment="1" applyProtection="1">
      <alignment horizontal="center" vertical="center"/>
    </xf>
    <xf numFmtId="0" fontId="6" fillId="0" borderId="23" xfId="1" applyNumberFormat="1" applyFont="1" applyBorder="1" applyAlignment="1" applyProtection="1">
      <alignment horizontal="center" vertical="center"/>
    </xf>
    <xf numFmtId="168" fontId="17" fillId="0" borderId="21" xfId="1" applyNumberFormat="1" applyFont="1" applyBorder="1" applyAlignment="1" applyProtection="1">
      <alignment horizontal="left" vertical="center"/>
    </xf>
    <xf numFmtId="168" fontId="33" fillId="0" borderId="21" xfId="1" applyNumberFormat="1" applyFont="1" applyBorder="1" applyAlignment="1" applyProtection="1">
      <alignment horizontal="left" vertical="center"/>
    </xf>
    <xf numFmtId="0" fontId="6" fillId="0" borderId="21" xfId="0" applyFont="1" applyBorder="1" applyAlignment="1">
      <alignment horizontal="center" vertical="center"/>
    </xf>
    <xf numFmtId="2" fontId="6" fillId="0" borderId="34" xfId="1" applyNumberFormat="1" applyFont="1" applyBorder="1" applyAlignment="1" applyProtection="1">
      <alignment horizontal="center" vertical="center"/>
    </xf>
    <xf numFmtId="2" fontId="6" fillId="0" borderId="43" xfId="1" applyNumberFormat="1" applyFont="1" applyBorder="1" applyAlignment="1" applyProtection="1">
      <alignment horizontal="center" vertical="center"/>
    </xf>
    <xf numFmtId="0" fontId="8" fillId="5" borderId="70" xfId="0" applyFont="1" applyFill="1" applyBorder="1" applyAlignment="1">
      <alignment horizontal="center" vertical="center"/>
    </xf>
    <xf numFmtId="0" fontId="8" fillId="5" borderId="17" xfId="0" applyFont="1" applyFill="1" applyBorder="1" applyAlignment="1">
      <alignment horizontal="center" vertical="center"/>
    </xf>
    <xf numFmtId="166" fontId="6" fillId="0" borderId="81" xfId="0" applyNumberFormat="1" applyFont="1" applyBorder="1" applyAlignment="1">
      <alignment horizontal="center"/>
    </xf>
    <xf numFmtId="0" fontId="6" fillId="0" borderId="8" xfId="0" applyFont="1" applyBorder="1" applyAlignment="1">
      <alignment horizontal="center"/>
    </xf>
    <xf numFmtId="0" fontId="6" fillId="0" borderId="9" xfId="0" applyFont="1" applyBorder="1" applyAlignment="1">
      <alignment horizontal="center"/>
    </xf>
    <xf numFmtId="0" fontId="17" fillId="0" borderId="0" xfId="0" applyFont="1" applyAlignment="1">
      <alignment horizontal="center" vertical="center"/>
    </xf>
    <xf numFmtId="166" fontId="12" fillId="0" borderId="18" xfId="0" applyNumberFormat="1" applyFont="1" applyBorder="1" applyAlignment="1">
      <alignment horizontal="left" vertical="center"/>
    </xf>
    <xf numFmtId="0" fontId="19" fillId="0" borderId="20" xfId="0" applyFont="1" applyBorder="1" applyAlignment="1">
      <alignment horizontal="center" vertical="center" wrapText="1"/>
    </xf>
    <xf numFmtId="0" fontId="19" fillId="0" borderId="70" xfId="0" applyFont="1" applyBorder="1" applyAlignment="1">
      <alignment horizontal="center" vertical="center" wrapText="1"/>
    </xf>
    <xf numFmtId="0" fontId="19" fillId="0" borderId="42" xfId="0" applyFont="1" applyBorder="1" applyAlignment="1">
      <alignment horizontal="center" vertical="center" wrapText="1"/>
    </xf>
    <xf numFmtId="0" fontId="19" fillId="0" borderId="41" xfId="0" applyFont="1" applyBorder="1" applyAlignment="1">
      <alignment horizontal="center" vertical="center" wrapText="1"/>
    </xf>
    <xf numFmtId="0" fontId="19" fillId="0" borderId="17" xfId="0" applyFont="1" applyBorder="1" applyAlignment="1">
      <alignment horizontal="center" vertical="center" wrapText="1"/>
    </xf>
    <xf numFmtId="0" fontId="19" fillId="0" borderId="71" xfId="0" applyFont="1" applyBorder="1" applyAlignment="1">
      <alignment horizontal="center" vertical="center" wrapText="1"/>
    </xf>
    <xf numFmtId="168" fontId="19" fillId="0" borderId="70" xfId="0" applyNumberFormat="1" applyFont="1" applyBorder="1" applyAlignment="1">
      <alignment horizontal="center" vertical="center" wrapText="1"/>
    </xf>
    <xf numFmtId="168" fontId="19" fillId="0" borderId="17" xfId="0" applyNumberFormat="1" applyFont="1" applyBorder="1" applyAlignment="1">
      <alignment horizontal="center" vertical="center" wrapText="1"/>
    </xf>
    <xf numFmtId="0" fontId="8" fillId="5" borderId="85" xfId="0" applyFont="1" applyFill="1" applyBorder="1" applyAlignment="1">
      <alignment horizontal="left" vertical="center"/>
    </xf>
    <xf numFmtId="177" fontId="12" fillId="0" borderId="0" xfId="0" applyNumberFormat="1" applyFont="1" applyAlignment="1">
      <alignment horizontal="center" vertical="center"/>
    </xf>
    <xf numFmtId="168" fontId="18" fillId="0" borderId="1" xfId="0" applyNumberFormat="1" applyFont="1" applyBorder="1" applyAlignment="1">
      <alignment horizontal="left" vertical="center"/>
    </xf>
    <xf numFmtId="43" fontId="15" fillId="0" borderId="17" xfId="1" applyFont="1" applyBorder="1" applyAlignment="1" applyProtection="1">
      <alignment horizontal="center" vertical="center"/>
    </xf>
    <xf numFmtId="168" fontId="19" fillId="0" borderId="1" xfId="0" applyNumberFormat="1" applyFont="1" applyBorder="1" applyAlignment="1">
      <alignment horizontal="left" vertical="center"/>
    </xf>
    <xf numFmtId="166" fontId="6" fillId="0" borderId="18" xfId="0" applyNumberFormat="1" applyFont="1" applyBorder="1" applyAlignment="1">
      <alignment horizontal="left" vertical="center"/>
    </xf>
    <xf numFmtId="0" fontId="6" fillId="0" borderId="18" xfId="0" applyFont="1" applyBorder="1" applyAlignment="1">
      <alignment horizontal="left" vertical="center"/>
    </xf>
    <xf numFmtId="0" fontId="6" fillId="0" borderId="81" xfId="0" applyFont="1" applyBorder="1" applyAlignment="1">
      <alignment horizontal="center" vertical="center"/>
    </xf>
    <xf numFmtId="14" fontId="5" fillId="5" borderId="1" xfId="0" applyNumberFormat="1" applyFont="1" applyFill="1" applyBorder="1" applyAlignment="1">
      <alignment horizontal="center" vertical="center"/>
    </xf>
    <xf numFmtId="0" fontId="5" fillId="5" borderId="20" xfId="0" applyFont="1" applyFill="1" applyBorder="1" applyAlignment="1">
      <alignment horizontal="center" vertical="center"/>
    </xf>
    <xf numFmtId="0" fontId="5" fillId="5" borderId="70" xfId="0" applyFont="1" applyFill="1" applyBorder="1" applyAlignment="1">
      <alignment horizontal="center" vertical="center"/>
    </xf>
    <xf numFmtId="0" fontId="5" fillId="5" borderId="42" xfId="0" applyFont="1" applyFill="1" applyBorder="1" applyAlignment="1">
      <alignment horizontal="center" vertical="center"/>
    </xf>
    <xf numFmtId="0" fontId="5" fillId="5" borderId="41" xfId="0" applyFont="1" applyFill="1" applyBorder="1" applyAlignment="1">
      <alignment horizontal="center" vertical="center"/>
    </xf>
    <xf numFmtId="0" fontId="5" fillId="5" borderId="17" xfId="0" applyFont="1" applyFill="1" applyBorder="1" applyAlignment="1">
      <alignment horizontal="center" vertical="center"/>
    </xf>
    <xf numFmtId="0" fontId="5" fillId="5" borderId="71" xfId="0" applyFont="1" applyFill="1" applyBorder="1" applyAlignment="1">
      <alignment horizontal="center" vertical="center"/>
    </xf>
    <xf numFmtId="2" fontId="6" fillId="0" borderId="41" xfId="0" applyNumberFormat="1" applyFont="1" applyBorder="1" applyAlignment="1">
      <alignment horizontal="center" vertical="center"/>
    </xf>
    <xf numFmtId="2" fontId="6" fillId="0" borderId="17" xfId="0" applyNumberFormat="1" applyFont="1" applyBorder="1" applyAlignment="1">
      <alignment horizontal="center" vertical="center"/>
    </xf>
    <xf numFmtId="0" fontId="6" fillId="0" borderId="24" xfId="0" applyFont="1" applyBorder="1" applyAlignment="1">
      <alignment horizontal="left" vertical="center"/>
    </xf>
    <xf numFmtId="0" fontId="6" fillId="0" borderId="17" xfId="0" applyFont="1" applyBorder="1" applyAlignment="1">
      <alignment horizontal="center" vertical="center"/>
    </xf>
    <xf numFmtId="168" fontId="18" fillId="0" borderId="1" xfId="1" applyNumberFormat="1" applyFont="1" applyBorder="1" applyAlignment="1" applyProtection="1">
      <alignment horizontal="left" vertical="center"/>
    </xf>
    <xf numFmtId="168" fontId="19" fillId="0" borderId="1" xfId="1" applyNumberFormat="1" applyFont="1" applyBorder="1" applyAlignment="1" applyProtection="1">
      <alignment horizontal="left" vertical="center"/>
    </xf>
    <xf numFmtId="0" fontId="69" fillId="0" borderId="83" xfId="0" applyFont="1" applyBorder="1" applyAlignment="1" applyProtection="1">
      <alignment horizontal="center" vertical="top" wrapText="1"/>
      <protection locked="0"/>
    </xf>
    <xf numFmtId="3" fontId="6" fillId="0" borderId="15" xfId="0" applyNumberFormat="1" applyFont="1" applyBorder="1" applyAlignment="1">
      <alignment horizontal="center" vertical="center"/>
    </xf>
    <xf numFmtId="43" fontId="14" fillId="0" borderId="86" xfId="1" applyFont="1" applyBorder="1" applyAlignment="1" applyProtection="1">
      <alignment horizontal="center" vertical="center"/>
    </xf>
    <xf numFmtId="0" fontId="12" fillId="0" borderId="87" xfId="0" applyFont="1" applyBorder="1" applyAlignment="1">
      <alignment horizontal="left" vertical="center"/>
    </xf>
    <xf numFmtId="166" fontId="12" fillId="0" borderId="17" xfId="0" applyNumberFormat="1" applyFont="1" applyBorder="1" applyAlignment="1">
      <alignment horizontal="left" vertical="center"/>
    </xf>
    <xf numFmtId="14" fontId="8" fillId="5" borderId="0" xfId="0" applyNumberFormat="1" applyFont="1" applyFill="1" applyAlignment="1">
      <alignment horizontal="center" vertical="center"/>
    </xf>
    <xf numFmtId="14" fontId="8" fillId="5" borderId="17" xfId="0" applyNumberFormat="1" applyFont="1" applyFill="1" applyBorder="1" applyAlignment="1">
      <alignment horizontal="center" vertical="center"/>
    </xf>
    <xf numFmtId="168" fontId="6" fillId="0" borderId="15" xfId="0" applyNumberFormat="1" applyFont="1" applyBorder="1" applyAlignment="1">
      <alignment horizontal="center" vertical="center"/>
    </xf>
    <xf numFmtId="168" fontId="6" fillId="0" borderId="24" xfId="0" applyNumberFormat="1" applyFont="1" applyBorder="1" applyAlignment="1">
      <alignment horizontal="center" vertical="center"/>
    </xf>
    <xf numFmtId="168" fontId="18" fillId="0" borderId="24" xfId="0" applyNumberFormat="1" applyFont="1" applyBorder="1" applyAlignment="1">
      <alignment horizontal="left" vertical="center"/>
    </xf>
    <xf numFmtId="0" fontId="12" fillId="0" borderId="81" xfId="0" applyFont="1" applyBorder="1" applyAlignment="1">
      <alignment horizontal="center" vertical="center"/>
    </xf>
    <xf numFmtId="168" fontId="19" fillId="0" borderId="15" xfId="0" applyNumberFormat="1" applyFont="1" applyBorder="1" applyAlignment="1">
      <alignment horizontal="left" vertical="center"/>
    </xf>
    <xf numFmtId="168" fontId="19" fillId="0" borderId="18" xfId="0" applyNumberFormat="1" applyFont="1" applyBorder="1" applyAlignment="1">
      <alignment horizontal="left" vertical="center"/>
    </xf>
    <xf numFmtId="168" fontId="19" fillId="0" borderId="24" xfId="0" applyNumberFormat="1" applyFont="1" applyBorder="1" applyAlignment="1">
      <alignment horizontal="left" vertical="center"/>
    </xf>
    <xf numFmtId="168" fontId="6" fillId="0" borderId="16" xfId="0" applyNumberFormat="1" applyFont="1" applyBorder="1" applyAlignment="1">
      <alignment horizontal="center" vertical="center"/>
    </xf>
    <xf numFmtId="0" fontId="6" fillId="0" borderId="0" xfId="0" applyFont="1" applyAlignment="1" applyProtection="1">
      <alignment horizontal="center" vertical="center"/>
      <protection locked="0"/>
    </xf>
    <xf numFmtId="0" fontId="69" fillId="0" borderId="17" xfId="0" applyFont="1" applyBorder="1" applyAlignment="1" applyProtection="1">
      <alignment horizontal="center" vertical="top" wrapText="1"/>
      <protection locked="0"/>
    </xf>
    <xf numFmtId="168" fontId="18" fillId="0" borderId="7" xfId="0" applyNumberFormat="1" applyFont="1" applyBorder="1" applyAlignment="1" applyProtection="1">
      <alignment horizontal="left" vertical="center"/>
      <protection locked="0"/>
    </xf>
    <xf numFmtId="168" fontId="18" fillId="0" borderId="8" xfId="0" applyNumberFormat="1" applyFont="1" applyBorder="1" applyAlignment="1" applyProtection="1">
      <alignment horizontal="left" vertical="center"/>
      <protection locked="0"/>
    </xf>
    <xf numFmtId="168" fontId="18" fillId="0" borderId="9" xfId="0" applyNumberFormat="1" applyFont="1" applyBorder="1" applyAlignment="1" applyProtection="1">
      <alignment horizontal="left" vertical="center"/>
      <protection locked="0"/>
    </xf>
    <xf numFmtId="0" fontId="6" fillId="0" borderId="1" xfId="0" applyFont="1" applyBorder="1" applyAlignment="1" applyProtection="1">
      <alignment horizontal="center" vertical="center"/>
      <protection locked="0"/>
    </xf>
    <xf numFmtId="43" fontId="6" fillId="0" borderId="17" xfId="1" applyFont="1" applyBorder="1" applyAlignment="1" applyProtection="1">
      <alignment horizontal="center"/>
      <protection locked="0"/>
    </xf>
    <xf numFmtId="0" fontId="6" fillId="0" borderId="20" xfId="0" applyFont="1" applyBorder="1" applyAlignment="1" applyProtection="1">
      <alignment horizontal="center" vertical="center" wrapText="1"/>
      <protection locked="0"/>
    </xf>
    <xf numFmtId="0" fontId="6" fillId="0" borderId="42" xfId="0" applyFont="1" applyBorder="1" applyAlignment="1" applyProtection="1">
      <alignment horizontal="center" vertical="center" wrapText="1"/>
      <protection locked="0"/>
    </xf>
    <xf numFmtId="0" fontId="6" fillId="0" borderId="41" xfId="0" applyFont="1" applyBorder="1" applyAlignment="1" applyProtection="1">
      <alignment horizontal="center" vertical="center" wrapText="1"/>
      <protection locked="0"/>
    </xf>
    <xf numFmtId="0" fontId="6" fillId="0" borderId="71" xfId="0" applyFont="1" applyBorder="1" applyAlignment="1" applyProtection="1">
      <alignment horizontal="center" vertical="center" wrapText="1"/>
      <protection locked="0"/>
    </xf>
    <xf numFmtId="0" fontId="6" fillId="0" borderId="70" xfId="0" applyFont="1" applyBorder="1" applyAlignment="1" applyProtection="1">
      <alignment horizontal="center" vertical="center" wrapText="1"/>
      <protection locked="0"/>
    </xf>
    <xf numFmtId="0" fontId="6" fillId="0" borderId="17" xfId="0" applyFont="1" applyBorder="1" applyAlignment="1" applyProtection="1">
      <alignment horizontal="center" vertical="center" wrapText="1"/>
      <protection locked="0"/>
    </xf>
    <xf numFmtId="168" fontId="6" fillId="0" borderId="20" xfId="0" applyNumberFormat="1" applyFont="1" applyBorder="1" applyAlignment="1" applyProtection="1">
      <alignment horizontal="center" vertical="center" wrapText="1"/>
      <protection locked="0"/>
    </xf>
    <xf numFmtId="168" fontId="6" fillId="0" borderId="70" xfId="0" applyNumberFormat="1" applyFont="1" applyBorder="1" applyAlignment="1" applyProtection="1">
      <alignment horizontal="center" vertical="center" wrapText="1"/>
      <protection locked="0"/>
    </xf>
    <xf numFmtId="168" fontId="6" fillId="0" borderId="42" xfId="0" applyNumberFormat="1" applyFont="1" applyBorder="1" applyAlignment="1" applyProtection="1">
      <alignment horizontal="center" vertical="center" wrapText="1"/>
      <protection locked="0"/>
    </xf>
    <xf numFmtId="168" fontId="6" fillId="0" borderId="41" xfId="0" applyNumberFormat="1" applyFont="1" applyBorder="1" applyAlignment="1" applyProtection="1">
      <alignment horizontal="center" vertical="center" wrapText="1"/>
      <protection locked="0"/>
    </xf>
    <xf numFmtId="168" fontId="6" fillId="0" borderId="17" xfId="0" applyNumberFormat="1" applyFont="1" applyBorder="1" applyAlignment="1" applyProtection="1">
      <alignment horizontal="center" vertical="center" wrapText="1"/>
      <protection locked="0"/>
    </xf>
    <xf numFmtId="168" fontId="6" fillId="0" borderId="71" xfId="0" applyNumberFormat="1" applyFont="1" applyBorder="1" applyAlignment="1" applyProtection="1">
      <alignment horizontal="center" vertical="center" wrapText="1"/>
      <protection locked="0"/>
    </xf>
    <xf numFmtId="173" fontId="19" fillId="7" borderId="5" xfId="3" applyNumberFormat="1" applyFont="1" applyFill="1" applyBorder="1" applyAlignment="1" applyProtection="1">
      <alignment horizontal="center" vertical="center"/>
      <protection locked="0"/>
    </xf>
    <xf numFmtId="0" fontId="15" fillId="0" borderId="5" xfId="0" applyFont="1" applyBorder="1" applyAlignment="1" applyProtection="1">
      <alignment horizontal="center" vertical="center"/>
      <protection locked="0"/>
    </xf>
    <xf numFmtId="178" fontId="6" fillId="0" borderId="5" xfId="1" applyNumberFormat="1" applyFont="1" applyBorder="1" applyAlignment="1" applyProtection="1">
      <alignment horizontal="center" vertical="center"/>
      <protection locked="0"/>
    </xf>
    <xf numFmtId="168" fontId="6" fillId="0" borderId="7" xfId="0" applyNumberFormat="1" applyFont="1" applyBorder="1" applyAlignment="1" applyProtection="1">
      <alignment horizontal="center" vertical="center"/>
      <protection locked="0"/>
    </xf>
    <xf numFmtId="168" fontId="6" fillId="0" borderId="8" xfId="0" applyNumberFormat="1" applyFont="1" applyBorder="1" applyAlignment="1" applyProtection="1">
      <alignment horizontal="center" vertical="center"/>
      <protection locked="0"/>
    </xf>
    <xf numFmtId="168" fontId="6" fillId="0" borderId="9" xfId="0" applyNumberFormat="1" applyFont="1" applyBorder="1" applyAlignment="1" applyProtection="1">
      <alignment horizontal="center" vertical="center"/>
      <protection locked="0"/>
    </xf>
    <xf numFmtId="0" fontId="8" fillId="5" borderId="1" xfId="0" applyFont="1" applyFill="1" applyBorder="1" applyAlignment="1" applyProtection="1">
      <alignment horizontal="center" vertical="center"/>
      <protection locked="0"/>
    </xf>
    <xf numFmtId="168" fontId="19" fillId="0" borderId="7" xfId="0" applyNumberFormat="1" applyFont="1" applyBorder="1" applyAlignment="1" applyProtection="1">
      <alignment horizontal="left" vertical="center"/>
      <protection locked="0"/>
    </xf>
    <xf numFmtId="168" fontId="19" fillId="0" borderId="8" xfId="0" applyNumberFormat="1" applyFont="1" applyBorder="1" applyAlignment="1" applyProtection="1">
      <alignment horizontal="left" vertical="center"/>
      <protection locked="0"/>
    </xf>
    <xf numFmtId="168" fontId="19" fillId="0" borderId="9" xfId="0" applyNumberFormat="1" applyFont="1" applyBorder="1" applyAlignment="1" applyProtection="1">
      <alignment horizontal="left" vertical="center"/>
      <protection locked="0"/>
    </xf>
    <xf numFmtId="0" fontId="15" fillId="0" borderId="34" xfId="0" applyFont="1" applyBorder="1" applyAlignment="1" applyProtection="1">
      <alignment horizontal="center" vertical="center"/>
      <protection locked="0"/>
    </xf>
    <xf numFmtId="0" fontId="15" fillId="0" borderId="33" xfId="0" applyFont="1" applyBorder="1" applyAlignment="1" applyProtection="1">
      <alignment horizontal="center" vertical="center"/>
      <protection locked="0"/>
    </xf>
    <xf numFmtId="0" fontId="15" fillId="0" borderId="35" xfId="0" applyFont="1" applyBorder="1" applyAlignment="1" applyProtection="1">
      <alignment horizontal="center" vertical="center"/>
      <protection locked="0"/>
    </xf>
    <xf numFmtId="168" fontId="18" fillId="0" borderId="19" xfId="0" applyNumberFormat="1" applyFont="1" applyBorder="1" applyAlignment="1" applyProtection="1">
      <alignment horizontal="left" vertical="center"/>
      <protection locked="0"/>
    </xf>
    <xf numFmtId="168" fontId="18" fillId="0" borderId="38" xfId="0" applyNumberFormat="1" applyFont="1" applyBorder="1" applyAlignment="1" applyProtection="1">
      <alignment horizontal="left" vertical="center"/>
      <protection locked="0"/>
    </xf>
    <xf numFmtId="0" fontId="6" fillId="0" borderId="18" xfId="0" applyFont="1" applyBorder="1" applyAlignment="1" applyProtection="1">
      <alignment vertical="center"/>
      <protection locked="0"/>
    </xf>
    <xf numFmtId="0" fontId="6" fillId="0" borderId="24" xfId="0" applyFont="1" applyBorder="1" applyAlignment="1" applyProtection="1">
      <alignment vertical="center"/>
      <protection locked="0"/>
    </xf>
    <xf numFmtId="2" fontId="6" fillId="0" borderId="15" xfId="1" applyNumberFormat="1" applyFont="1" applyBorder="1" applyAlignment="1" applyProtection="1">
      <alignment horizontal="center" vertical="center"/>
      <protection locked="0"/>
    </xf>
    <xf numFmtId="2" fontId="6" fillId="0" borderId="18" xfId="1" applyNumberFormat="1" applyFont="1" applyBorder="1" applyAlignment="1" applyProtection="1">
      <alignment horizontal="center" vertical="center"/>
      <protection locked="0"/>
    </xf>
    <xf numFmtId="2" fontId="6" fillId="0" borderId="7" xfId="0" applyNumberFormat="1" applyFont="1" applyBorder="1" applyAlignment="1">
      <alignment horizontal="center" vertical="center"/>
    </xf>
    <xf numFmtId="2" fontId="6" fillId="0" borderId="8" xfId="0" applyNumberFormat="1" applyFont="1" applyBorder="1" applyAlignment="1">
      <alignment horizontal="center" vertical="center"/>
    </xf>
    <xf numFmtId="2" fontId="6" fillId="0" borderId="41" xfId="0" applyNumberFormat="1" applyFont="1" applyBorder="1" applyAlignment="1" applyProtection="1">
      <alignment horizontal="center" vertical="center"/>
      <protection locked="0"/>
    </xf>
    <xf numFmtId="2" fontId="6" fillId="0" borderId="17" xfId="0" applyNumberFormat="1" applyFont="1" applyBorder="1" applyAlignment="1" applyProtection="1">
      <alignment horizontal="center" vertical="center"/>
      <protection locked="0"/>
    </xf>
    <xf numFmtId="0" fontId="8" fillId="5" borderId="20" xfId="0" applyFont="1" applyFill="1" applyBorder="1" applyAlignment="1" applyProtection="1">
      <alignment horizontal="center" vertical="center"/>
      <protection locked="0"/>
    </xf>
    <xf numFmtId="0" fontId="8" fillId="5" borderId="42" xfId="0" applyFont="1" applyFill="1" applyBorder="1" applyAlignment="1" applyProtection="1">
      <alignment horizontal="center" vertical="center"/>
      <protection locked="0"/>
    </xf>
    <xf numFmtId="0" fontId="8" fillId="5" borderId="41" xfId="0" applyFont="1" applyFill="1" applyBorder="1" applyAlignment="1" applyProtection="1">
      <alignment horizontal="center" vertical="center"/>
      <protection locked="0"/>
    </xf>
    <xf numFmtId="0" fontId="8" fillId="5" borderId="71" xfId="0" applyFont="1" applyFill="1" applyBorder="1" applyAlignment="1" applyProtection="1">
      <alignment horizontal="center" vertical="center"/>
      <protection locked="0"/>
    </xf>
    <xf numFmtId="0" fontId="12" fillId="0" borderId="1" xfId="0" applyFont="1" applyBorder="1" applyAlignment="1" applyProtection="1">
      <alignment horizontal="center" vertical="center"/>
      <protection locked="0"/>
    </xf>
    <xf numFmtId="168" fontId="8" fillId="4" borderId="1" xfId="1" applyNumberFormat="1" applyFont="1" applyFill="1" applyBorder="1" applyAlignment="1" applyProtection="1">
      <alignment horizontal="center" vertical="center"/>
      <protection locked="0"/>
    </xf>
    <xf numFmtId="0" fontId="67" fillId="0" borderId="0" xfId="0" applyFont="1" applyAlignment="1" applyProtection="1">
      <alignment horizontal="center" vertical="center"/>
      <protection locked="0"/>
    </xf>
    <xf numFmtId="0" fontId="11" fillId="0" borderId="1" xfId="0" applyFont="1" applyBorder="1" applyAlignment="1" applyProtection="1">
      <alignment horizontal="center" vertical="center"/>
      <protection locked="0"/>
    </xf>
    <xf numFmtId="0" fontId="67" fillId="2" borderId="0" xfId="0" applyFont="1" applyFill="1" applyAlignment="1" applyProtection="1">
      <alignment horizontal="center"/>
      <protection locked="0"/>
    </xf>
    <xf numFmtId="0" fontId="11" fillId="0" borderId="15" xfId="0" applyFont="1" applyBorder="1" applyAlignment="1" applyProtection="1">
      <alignment horizontal="center" vertical="center"/>
      <protection locked="0"/>
    </xf>
    <xf numFmtId="0" fontId="11" fillId="0" borderId="24" xfId="0" applyFont="1" applyBorder="1" applyAlignment="1" applyProtection="1">
      <alignment horizontal="center" vertical="center"/>
      <protection locked="0"/>
    </xf>
    <xf numFmtId="0" fontId="5" fillId="5" borderId="15" xfId="0" applyFont="1" applyFill="1" applyBorder="1" applyAlignment="1" applyProtection="1">
      <alignment horizontal="center" vertical="center"/>
      <protection locked="0"/>
    </xf>
    <xf numFmtId="0" fontId="5" fillId="5" borderId="24" xfId="0" applyFont="1" applyFill="1" applyBorder="1" applyAlignment="1" applyProtection="1">
      <alignment horizontal="center" vertical="center"/>
      <protection locked="0"/>
    </xf>
    <xf numFmtId="168" fontId="5" fillId="5" borderId="15" xfId="0" applyNumberFormat="1" applyFont="1" applyFill="1" applyBorder="1" applyAlignment="1" applyProtection="1">
      <alignment horizontal="center" vertical="center"/>
      <protection locked="0"/>
    </xf>
    <xf numFmtId="0" fontId="6" fillId="0" borderId="17" xfId="0" applyFont="1" applyBorder="1" applyAlignment="1" applyProtection="1">
      <alignment vertical="center"/>
      <protection locked="0"/>
    </xf>
    <xf numFmtId="0" fontId="6" fillId="0" borderId="71" xfId="0" applyFont="1" applyBorder="1" applyAlignment="1" applyProtection="1">
      <alignment vertical="center"/>
      <protection locked="0"/>
    </xf>
    <xf numFmtId="0" fontId="6" fillId="0" borderId="16" xfId="0" applyFont="1" applyBorder="1" applyAlignment="1" applyProtection="1">
      <alignment horizontal="center" vertical="center"/>
      <protection locked="0"/>
    </xf>
    <xf numFmtId="14" fontId="8" fillId="5" borderId="1" xfId="0" applyNumberFormat="1" applyFont="1" applyFill="1" applyBorder="1" applyAlignment="1" applyProtection="1">
      <alignment horizontal="center" vertical="center"/>
      <protection locked="0"/>
    </xf>
    <xf numFmtId="0" fontId="54" fillId="0" borderId="0" xfId="0" applyFont="1" applyAlignment="1">
      <alignment horizontal="left" vertical="center" wrapText="1"/>
    </xf>
    <xf numFmtId="0" fontId="25" fillId="0" borderId="29" xfId="0" applyFont="1" applyBorder="1" applyAlignment="1">
      <alignment horizontal="left"/>
    </xf>
    <xf numFmtId="0" fontId="25" fillId="0" borderId="18" xfId="0" applyFont="1" applyBorder="1" applyAlignment="1">
      <alignment horizontal="left"/>
    </xf>
    <xf numFmtId="0" fontId="25" fillId="0" borderId="24" xfId="0" applyFont="1" applyBorder="1" applyAlignment="1">
      <alignment horizontal="left"/>
    </xf>
    <xf numFmtId="0" fontId="8" fillId="5" borderId="15" xfId="0" applyFont="1" applyFill="1" applyBorder="1" applyAlignment="1">
      <alignment horizontal="left" vertical="center"/>
    </xf>
    <xf numFmtId="0" fontId="8" fillId="5" borderId="18" xfId="0" applyFont="1" applyFill="1" applyBorder="1" applyAlignment="1">
      <alignment horizontal="left" vertical="center"/>
    </xf>
    <xf numFmtId="0" fontId="8" fillId="5" borderId="24" xfId="0" applyFont="1" applyFill="1" applyBorder="1" applyAlignment="1">
      <alignment horizontal="left" vertical="center"/>
    </xf>
    <xf numFmtId="0" fontId="25" fillId="0" borderId="1" xfId="0" applyFont="1" applyBorder="1" applyAlignment="1">
      <alignment horizontal="left"/>
    </xf>
    <xf numFmtId="0" fontId="25" fillId="0" borderId="1" xfId="0" applyFont="1" applyBorder="1" applyAlignment="1"/>
    <xf numFmtId="0" fontId="25" fillId="0" borderId="25" xfId="0" applyFont="1" applyBorder="1" applyAlignment="1"/>
    <xf numFmtId="0" fontId="5" fillId="5" borderId="1" xfId="0" applyFont="1" applyFill="1" applyBorder="1" applyAlignment="1">
      <alignment horizontal="left" vertical="center"/>
    </xf>
    <xf numFmtId="0" fontId="18" fillId="2" borderId="15" xfId="0" applyFont="1" applyFill="1" applyBorder="1" applyAlignment="1">
      <alignment horizontal="center" vertical="top"/>
    </xf>
    <xf numFmtId="0" fontId="18" fillId="2" borderId="18" xfId="0" applyFont="1" applyFill="1" applyBorder="1" applyAlignment="1">
      <alignment horizontal="center" vertical="top"/>
    </xf>
    <xf numFmtId="0" fontId="18" fillId="2" borderId="24" xfId="0" applyFont="1" applyFill="1" applyBorder="1" applyAlignment="1">
      <alignment horizontal="center" vertical="top"/>
    </xf>
    <xf numFmtId="0" fontId="5" fillId="5" borderId="15" xfId="0" applyFont="1" applyFill="1" applyBorder="1" applyAlignment="1">
      <alignment horizontal="left" vertical="center"/>
    </xf>
    <xf numFmtId="0" fontId="5" fillId="5" borderId="18" xfId="0" applyFont="1" applyFill="1" applyBorder="1" applyAlignment="1">
      <alignment horizontal="left" vertical="center"/>
    </xf>
    <xf numFmtId="0" fontId="5" fillId="5" borderId="24" xfId="0" applyFont="1" applyFill="1" applyBorder="1" applyAlignment="1">
      <alignment horizontal="left" vertical="center"/>
    </xf>
    <xf numFmtId="0" fontId="38" fillId="0" borderId="1" xfId="0" applyFont="1" applyBorder="1" applyAlignment="1">
      <alignment horizontal="center" vertical="top"/>
    </xf>
    <xf numFmtId="0" fontId="38" fillId="0" borderId="15" xfId="0" applyFont="1" applyBorder="1" applyAlignment="1">
      <alignment horizontal="center" vertical="top"/>
    </xf>
    <xf numFmtId="0" fontId="38" fillId="0" borderId="18" xfId="0" applyFont="1" applyBorder="1" applyAlignment="1">
      <alignment horizontal="center" vertical="top"/>
    </xf>
    <xf numFmtId="0" fontId="5" fillId="5" borderId="18" xfId="0" applyFont="1" applyFill="1" applyBorder="1" applyAlignment="1">
      <alignment horizontal="center" vertical="center"/>
    </xf>
    <xf numFmtId="0" fontId="5" fillId="5" borderId="24" xfId="0" applyFont="1" applyFill="1" applyBorder="1" applyAlignment="1">
      <alignment horizontal="center" vertical="center"/>
    </xf>
    <xf numFmtId="0" fontId="38" fillId="0" borderId="24" xfId="0" applyFont="1" applyBorder="1" applyAlignment="1">
      <alignment horizontal="center" vertical="top"/>
    </xf>
  </cellXfs>
  <cellStyles count="9">
    <cellStyle name="Comma" xfId="1" builtinId="3"/>
    <cellStyle name="Comma 2" xfId="6" xr:uid="{00000000-0005-0000-0000-000001000000}"/>
    <cellStyle name="Comma 2 2" xfId="7" xr:uid="{18EAC934-0872-4E8B-AED0-7F56AAC07F53}"/>
    <cellStyle name="Comma 7" xfId="4" xr:uid="{00000000-0005-0000-0000-000002000000}"/>
    <cellStyle name="Currency" xfId="5" builtinId="4"/>
    <cellStyle name="Normal" xfId="0" builtinId="0"/>
    <cellStyle name="Normal 2" xfId="3" xr:uid="{00000000-0005-0000-0000-000005000000}"/>
    <cellStyle name="Normal 4 2" xfId="8" xr:uid="{7852F738-B56E-4AA1-BB09-F74A73DC44D6}"/>
    <cellStyle name="Percent" xfId="2" builtinId="5"/>
  </cellStyles>
  <dxfs count="0"/>
  <tableStyles count="0" defaultTableStyle="TableStyleMedium2" defaultPivotStyle="PivotStyleLight16"/>
  <colors>
    <mruColors>
      <color rgb="FFCCCC00"/>
      <color rgb="FF996633"/>
      <color rgb="FFFFD9CD"/>
      <color rgb="FF9900CC"/>
      <color rgb="FFFFF3EF"/>
      <color rgb="FFFF612F"/>
      <color rgb="FFFF9393"/>
      <color rgb="FFFF9675"/>
      <color rgb="FFF23A00"/>
      <color rgb="FFCC3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externalLink" Target="externalLinks/externalLink8.xml"/><Relationship Id="rId21" Type="http://schemas.openxmlformats.org/officeDocument/2006/relationships/worksheet" Target="worksheets/sheet21.xml"/><Relationship Id="rId34" Type="http://schemas.openxmlformats.org/officeDocument/2006/relationships/externalLink" Target="externalLinks/externalLink3.xml"/><Relationship Id="rId42" Type="http://schemas.openxmlformats.org/officeDocument/2006/relationships/externalLink" Target="externalLinks/externalLink11.xml"/><Relationship Id="rId47" Type="http://schemas.openxmlformats.org/officeDocument/2006/relationships/externalLink" Target="externalLinks/externalLink16.xml"/><Relationship Id="rId50" Type="http://schemas.openxmlformats.org/officeDocument/2006/relationships/externalLink" Target="externalLinks/externalLink19.xml"/><Relationship Id="rId55"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externalLink" Target="externalLinks/externalLink1.xml"/><Relationship Id="rId37" Type="http://schemas.openxmlformats.org/officeDocument/2006/relationships/externalLink" Target="externalLinks/externalLink6.xml"/><Relationship Id="rId40" Type="http://schemas.openxmlformats.org/officeDocument/2006/relationships/externalLink" Target="externalLinks/externalLink9.xml"/><Relationship Id="rId45" Type="http://schemas.openxmlformats.org/officeDocument/2006/relationships/externalLink" Target="externalLinks/externalLink14.xml"/><Relationship Id="rId53" Type="http://schemas.openxmlformats.org/officeDocument/2006/relationships/externalLink" Target="externalLinks/externalLink22.xml"/><Relationship Id="rId58" Type="http://schemas.openxmlformats.org/officeDocument/2006/relationships/calcChain" Target="calcChain.xml"/><Relationship Id="rId5" Type="http://schemas.openxmlformats.org/officeDocument/2006/relationships/worksheet" Target="worksheets/sheet5.xml"/><Relationship Id="rId61" Type="http://schemas.openxmlformats.org/officeDocument/2006/relationships/customXml" Target="../customXml/item3.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externalLink" Target="externalLinks/externalLink4.xml"/><Relationship Id="rId43" Type="http://schemas.openxmlformats.org/officeDocument/2006/relationships/externalLink" Target="externalLinks/externalLink12.xml"/><Relationship Id="rId48" Type="http://schemas.openxmlformats.org/officeDocument/2006/relationships/externalLink" Target="externalLinks/externalLink17.xml"/><Relationship Id="rId56"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externalLink" Target="externalLinks/externalLink20.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externalLink" Target="externalLinks/externalLink2.xml"/><Relationship Id="rId38" Type="http://schemas.openxmlformats.org/officeDocument/2006/relationships/externalLink" Target="externalLinks/externalLink7.xml"/><Relationship Id="rId46" Type="http://schemas.openxmlformats.org/officeDocument/2006/relationships/externalLink" Target="externalLinks/externalLink15.xml"/><Relationship Id="rId59" Type="http://schemas.openxmlformats.org/officeDocument/2006/relationships/customXml" Target="../customXml/item1.xml"/><Relationship Id="rId20" Type="http://schemas.openxmlformats.org/officeDocument/2006/relationships/worksheet" Target="worksheets/sheet20.xml"/><Relationship Id="rId41" Type="http://schemas.openxmlformats.org/officeDocument/2006/relationships/externalLink" Target="externalLinks/externalLink10.xml"/><Relationship Id="rId54" Type="http://schemas.openxmlformats.org/officeDocument/2006/relationships/externalLink" Target="externalLinks/externalLink23.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5.xml"/><Relationship Id="rId49" Type="http://schemas.openxmlformats.org/officeDocument/2006/relationships/externalLink" Target="externalLinks/externalLink18.xml"/><Relationship Id="rId57" Type="http://schemas.openxmlformats.org/officeDocument/2006/relationships/sharedStrings" Target="sharedString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externalLink" Target="externalLinks/externalLink13.xml"/><Relationship Id="rId52" Type="http://schemas.openxmlformats.org/officeDocument/2006/relationships/externalLink" Target="externalLinks/externalLink21.xml"/><Relationship Id="rId6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checked="Checked"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checked="Checked"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checked="Checked"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checked="Checked"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checked="Checked"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checked="Checked"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checked="Checked"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checked="Checked"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checked="Checked" lockText="1" noThreeD="1"/>
</file>

<file path=xl/ctrlProps/ctrlProp117.xml><?xml version="1.0" encoding="utf-8"?>
<formControlPr xmlns="http://schemas.microsoft.com/office/spreadsheetml/2009/9/main" objectType="CheckBox"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lockText="1" noThreeD="1"/>
</file>

<file path=xl/ctrlProps/ctrlProp121.xml><?xml version="1.0" encoding="utf-8"?>
<formControlPr xmlns="http://schemas.microsoft.com/office/spreadsheetml/2009/9/main" objectType="CheckBox"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lockText="1" noThreeD="1"/>
</file>

<file path=xl/ctrlProps/ctrlProp124.xml><?xml version="1.0" encoding="utf-8"?>
<formControlPr xmlns="http://schemas.microsoft.com/office/spreadsheetml/2009/9/main" objectType="CheckBox" lockText="1" noThreeD="1"/>
</file>

<file path=xl/ctrlProps/ctrlProp125.xml><?xml version="1.0" encoding="utf-8"?>
<formControlPr xmlns="http://schemas.microsoft.com/office/spreadsheetml/2009/9/main" objectType="CheckBox"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lockText="1" noThreeD="1"/>
</file>

<file path=xl/ctrlProps/ctrlProp130.xml><?xml version="1.0" encoding="utf-8"?>
<formControlPr xmlns="http://schemas.microsoft.com/office/spreadsheetml/2009/9/main" objectType="CheckBox" lockText="1" noThreeD="1"/>
</file>

<file path=xl/ctrlProps/ctrlProp131.xml><?xml version="1.0" encoding="utf-8"?>
<formControlPr xmlns="http://schemas.microsoft.com/office/spreadsheetml/2009/9/main" objectType="CheckBox"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lockText="1" noThreeD="1"/>
</file>

<file path=xl/ctrlProps/ctrlProp134.xml><?xml version="1.0" encoding="utf-8"?>
<formControlPr xmlns="http://schemas.microsoft.com/office/spreadsheetml/2009/9/main" objectType="CheckBox" checked="Checked" lockText="1" noThreeD="1"/>
</file>

<file path=xl/ctrlProps/ctrlProp135.xml><?xml version="1.0" encoding="utf-8"?>
<formControlPr xmlns="http://schemas.microsoft.com/office/spreadsheetml/2009/9/main" objectType="CheckBox"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lockText="1" noThreeD="1"/>
</file>

<file path=xl/ctrlProps/ctrlProp138.xml><?xml version="1.0" encoding="utf-8"?>
<formControlPr xmlns="http://schemas.microsoft.com/office/spreadsheetml/2009/9/main" objectType="CheckBox"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checked="Checked"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lockText="1" noThreeD="1"/>
</file>

<file path=xl/ctrlProps/ctrlProp145.xml><?xml version="1.0" encoding="utf-8"?>
<formControlPr xmlns="http://schemas.microsoft.com/office/spreadsheetml/2009/9/main" objectType="CheckBox" lockText="1" noThreeD="1"/>
</file>

<file path=xl/ctrlProps/ctrlProp146.xml><?xml version="1.0" encoding="utf-8"?>
<formControlPr xmlns="http://schemas.microsoft.com/office/spreadsheetml/2009/9/main" objectType="CheckBox" lockText="1" noThreeD="1"/>
</file>

<file path=xl/ctrlProps/ctrlProp147.xml><?xml version="1.0" encoding="utf-8"?>
<formControlPr xmlns="http://schemas.microsoft.com/office/spreadsheetml/2009/9/main" objectType="CheckBox" lockText="1" noThreeD="1"/>
</file>

<file path=xl/ctrlProps/ctrlProp148.xml><?xml version="1.0" encoding="utf-8"?>
<formControlPr xmlns="http://schemas.microsoft.com/office/spreadsheetml/2009/9/main" objectType="CheckBox" lockText="1" noThreeD="1"/>
</file>

<file path=xl/ctrlProps/ctrlProp149.xml><?xml version="1.0" encoding="utf-8"?>
<formControlPr xmlns="http://schemas.microsoft.com/office/spreadsheetml/2009/9/main" objectType="CheckBox" lockText="1" noThreeD="1"/>
</file>

<file path=xl/ctrlProps/ctrlProp150.xml><?xml version="1.0" encoding="utf-8"?>
<formControlPr xmlns="http://schemas.microsoft.com/office/spreadsheetml/2009/9/main" objectType="CheckBox" lockText="1" noThreeD="1"/>
</file>

<file path=xl/ctrlProps/ctrlProp151.xml><?xml version="1.0" encoding="utf-8"?>
<formControlPr xmlns="http://schemas.microsoft.com/office/spreadsheetml/2009/9/main" objectType="CheckBox" lockText="1" noThreeD="1"/>
</file>

<file path=xl/ctrlProps/ctrlProp152.xml><?xml version="1.0" encoding="utf-8"?>
<formControlPr xmlns="http://schemas.microsoft.com/office/spreadsheetml/2009/9/main" objectType="CheckBox" lockText="1" noThreeD="1"/>
</file>

<file path=xl/ctrlProps/ctrlProp153.xml><?xml version="1.0" encoding="utf-8"?>
<formControlPr xmlns="http://schemas.microsoft.com/office/spreadsheetml/2009/9/main" objectType="CheckBox" lockText="1" noThreeD="1"/>
</file>

<file path=xl/ctrlProps/ctrlProp154.xml><?xml version="1.0" encoding="utf-8"?>
<formControlPr xmlns="http://schemas.microsoft.com/office/spreadsheetml/2009/9/main" objectType="CheckBox" lockText="1" noThreeD="1"/>
</file>

<file path=xl/ctrlProps/ctrlProp155.xml><?xml version="1.0" encoding="utf-8"?>
<formControlPr xmlns="http://schemas.microsoft.com/office/spreadsheetml/2009/9/main" objectType="CheckBox" lockText="1" noThreeD="1"/>
</file>

<file path=xl/ctrlProps/ctrlProp156.xml><?xml version="1.0" encoding="utf-8"?>
<formControlPr xmlns="http://schemas.microsoft.com/office/spreadsheetml/2009/9/main" objectType="CheckBox" lockText="1" noThreeD="1"/>
</file>

<file path=xl/ctrlProps/ctrlProp157.xml><?xml version="1.0" encoding="utf-8"?>
<formControlPr xmlns="http://schemas.microsoft.com/office/spreadsheetml/2009/9/main" objectType="CheckBox" lockText="1" noThreeD="1"/>
</file>

<file path=xl/ctrlProps/ctrlProp158.xml><?xml version="1.0" encoding="utf-8"?>
<formControlPr xmlns="http://schemas.microsoft.com/office/spreadsheetml/2009/9/main" objectType="CheckBox" lockText="1" noThreeD="1"/>
</file>

<file path=xl/ctrlProps/ctrlProp159.xml><?xml version="1.0" encoding="utf-8"?>
<formControlPr xmlns="http://schemas.microsoft.com/office/spreadsheetml/2009/9/main" objectType="CheckBox" checked="Checked" lockText="1" noThreeD="1"/>
</file>

<file path=xl/ctrlProps/ctrlProp160.xml><?xml version="1.0" encoding="utf-8"?>
<formControlPr xmlns="http://schemas.microsoft.com/office/spreadsheetml/2009/9/main" objectType="CheckBox" lockText="1" noThreeD="1"/>
</file>

<file path=xl/ctrlProps/ctrlProp161.xml><?xml version="1.0" encoding="utf-8"?>
<formControlPr xmlns="http://schemas.microsoft.com/office/spreadsheetml/2009/9/main" objectType="CheckBox" lockText="1" noThreeD="1"/>
</file>

<file path=xl/ctrlProps/ctrlProp162.xml><?xml version="1.0" encoding="utf-8"?>
<formControlPr xmlns="http://schemas.microsoft.com/office/spreadsheetml/2009/9/main" objectType="CheckBox" lockText="1" noThreeD="1"/>
</file>

<file path=xl/ctrlProps/ctrlProp163.xml><?xml version="1.0" encoding="utf-8"?>
<formControlPr xmlns="http://schemas.microsoft.com/office/spreadsheetml/2009/9/main" objectType="CheckBox" lockText="1" noThreeD="1"/>
</file>

<file path=xl/ctrlProps/ctrlProp164.xml><?xml version="1.0" encoding="utf-8"?>
<formControlPr xmlns="http://schemas.microsoft.com/office/spreadsheetml/2009/9/main" objectType="CheckBox" lockText="1" noThreeD="1"/>
</file>

<file path=xl/ctrlProps/ctrlProp165.xml><?xml version="1.0" encoding="utf-8"?>
<formControlPr xmlns="http://schemas.microsoft.com/office/spreadsheetml/2009/9/main" objectType="CheckBox" lockText="1" noThreeD="1"/>
</file>

<file path=xl/ctrlProps/ctrlProp166.xml><?xml version="1.0" encoding="utf-8"?>
<formControlPr xmlns="http://schemas.microsoft.com/office/spreadsheetml/2009/9/main" objectType="CheckBox" checked="Checked" lockText="1" noThreeD="1"/>
</file>

<file path=xl/ctrlProps/ctrlProp167.xml><?xml version="1.0" encoding="utf-8"?>
<formControlPr xmlns="http://schemas.microsoft.com/office/spreadsheetml/2009/9/main" objectType="CheckBox" lockText="1" noThreeD="1"/>
</file>

<file path=xl/ctrlProps/ctrlProp168.xml><?xml version="1.0" encoding="utf-8"?>
<formControlPr xmlns="http://schemas.microsoft.com/office/spreadsheetml/2009/9/main" objectType="CheckBox" lockText="1" noThreeD="1"/>
</file>

<file path=xl/ctrlProps/ctrlProp169.xml><?xml version="1.0" encoding="utf-8"?>
<formControlPr xmlns="http://schemas.microsoft.com/office/spreadsheetml/2009/9/main" objectType="CheckBox" lockText="1" noThreeD="1"/>
</file>

<file path=xl/ctrlProps/ctrlProp170.xml><?xml version="1.0" encoding="utf-8"?>
<formControlPr xmlns="http://schemas.microsoft.com/office/spreadsheetml/2009/9/main" objectType="CheckBox" lockText="1" noThreeD="1"/>
</file>

<file path=xl/ctrlProps/ctrlProp171.xml><?xml version="1.0" encoding="utf-8"?>
<formControlPr xmlns="http://schemas.microsoft.com/office/spreadsheetml/2009/9/main" objectType="CheckBox" lockText="1" noThreeD="1"/>
</file>

<file path=xl/ctrlProps/ctrlProp172.xml><?xml version="1.0" encoding="utf-8"?>
<formControlPr xmlns="http://schemas.microsoft.com/office/spreadsheetml/2009/9/main" objectType="CheckBox" lockText="1" noThreeD="1"/>
</file>

<file path=xl/ctrlProps/ctrlProp173.xml><?xml version="1.0" encoding="utf-8"?>
<formControlPr xmlns="http://schemas.microsoft.com/office/spreadsheetml/2009/9/main" objectType="CheckBox" lockText="1" noThreeD="1"/>
</file>

<file path=xl/ctrlProps/ctrlProp174.xml><?xml version="1.0" encoding="utf-8"?>
<formControlPr xmlns="http://schemas.microsoft.com/office/spreadsheetml/2009/9/main" objectType="CheckBox" checked="Checked" lockText="1" noThreeD="1"/>
</file>

<file path=xl/ctrlProps/ctrlProp175.xml><?xml version="1.0" encoding="utf-8"?>
<formControlPr xmlns="http://schemas.microsoft.com/office/spreadsheetml/2009/9/main" objectType="CheckBox" lockText="1" noThreeD="1"/>
</file>

<file path=xl/ctrlProps/ctrlProp176.xml><?xml version="1.0" encoding="utf-8"?>
<formControlPr xmlns="http://schemas.microsoft.com/office/spreadsheetml/2009/9/main" objectType="CheckBox" lockText="1" noThreeD="1"/>
</file>

<file path=xl/ctrlProps/ctrlProp177.xml><?xml version="1.0" encoding="utf-8"?>
<formControlPr xmlns="http://schemas.microsoft.com/office/spreadsheetml/2009/9/main" objectType="CheckBox" lockText="1" noThreeD="1"/>
</file>

<file path=xl/ctrlProps/ctrlProp178.xml><?xml version="1.0" encoding="utf-8"?>
<formControlPr xmlns="http://schemas.microsoft.com/office/spreadsheetml/2009/9/main" objectType="CheckBox" lockText="1" noThreeD="1"/>
</file>

<file path=xl/ctrlProps/ctrlProp179.xml><?xml version="1.0" encoding="utf-8"?>
<formControlPr xmlns="http://schemas.microsoft.com/office/spreadsheetml/2009/9/main" objectType="CheckBox" lockText="1" noThreeD="1"/>
</file>

<file path=xl/ctrlProps/ctrlProp180.xml><?xml version="1.0" encoding="utf-8"?>
<formControlPr xmlns="http://schemas.microsoft.com/office/spreadsheetml/2009/9/main" objectType="CheckBox" lockText="1" noThreeD="1"/>
</file>

<file path=xl/ctrlProps/ctrlProp181.xml><?xml version="1.0" encoding="utf-8"?>
<formControlPr xmlns="http://schemas.microsoft.com/office/spreadsheetml/2009/9/main" objectType="CheckBox" lockText="1" noThreeD="1"/>
</file>

<file path=xl/ctrlProps/ctrlProp182.xml><?xml version="1.0" encoding="utf-8"?>
<formControlPr xmlns="http://schemas.microsoft.com/office/spreadsheetml/2009/9/main" objectType="CheckBox" lockText="1" noThreeD="1"/>
</file>

<file path=xl/ctrlProps/ctrlProp183.xml><?xml version="1.0" encoding="utf-8"?>
<formControlPr xmlns="http://schemas.microsoft.com/office/spreadsheetml/2009/9/main" objectType="CheckBox" lockText="1" noThreeD="1"/>
</file>

<file path=xl/ctrlProps/ctrlProp184.xml><?xml version="1.0" encoding="utf-8"?>
<formControlPr xmlns="http://schemas.microsoft.com/office/spreadsheetml/2009/9/main" objectType="CheckBox" lockText="1" noThreeD="1"/>
</file>

<file path=xl/ctrlProps/ctrlProp185.xml><?xml version="1.0" encoding="utf-8"?>
<formControlPr xmlns="http://schemas.microsoft.com/office/spreadsheetml/2009/9/main" objectType="CheckBox" lockText="1" noThreeD="1"/>
</file>

<file path=xl/ctrlProps/ctrlProp186.xml><?xml version="1.0" encoding="utf-8"?>
<formControlPr xmlns="http://schemas.microsoft.com/office/spreadsheetml/2009/9/main" objectType="CheckBox" lockText="1" noThreeD="1"/>
</file>

<file path=xl/ctrlProps/ctrlProp187.xml><?xml version="1.0" encoding="utf-8"?>
<formControlPr xmlns="http://schemas.microsoft.com/office/spreadsheetml/2009/9/main" objectType="CheckBox" lockText="1" noThreeD="1"/>
</file>

<file path=xl/ctrlProps/ctrlProp188.xml><?xml version="1.0" encoding="utf-8"?>
<formControlPr xmlns="http://schemas.microsoft.com/office/spreadsheetml/2009/9/main" objectType="CheckBox" checked="Checked" lockText="1" noThreeD="1"/>
</file>

<file path=xl/ctrlProps/ctrlProp189.xml><?xml version="1.0" encoding="utf-8"?>
<formControlPr xmlns="http://schemas.microsoft.com/office/spreadsheetml/2009/9/main" objectType="CheckBox" lockText="1" noThreeD="1"/>
</file>

<file path=xl/ctrlProps/ctrlProp190.xml><?xml version="1.0" encoding="utf-8"?>
<formControlPr xmlns="http://schemas.microsoft.com/office/spreadsheetml/2009/9/main" objectType="CheckBox" lockText="1" noThreeD="1"/>
</file>

<file path=xl/ctrlProps/ctrlProp191.xml><?xml version="1.0" encoding="utf-8"?>
<formControlPr xmlns="http://schemas.microsoft.com/office/spreadsheetml/2009/9/main" objectType="CheckBox" lockText="1" noThreeD="1"/>
</file>

<file path=xl/ctrlProps/ctrlProp192.xml><?xml version="1.0" encoding="utf-8"?>
<formControlPr xmlns="http://schemas.microsoft.com/office/spreadsheetml/2009/9/main" objectType="CheckBox" lockText="1" noThreeD="1"/>
</file>

<file path=xl/ctrlProps/ctrlProp193.xml><?xml version="1.0" encoding="utf-8"?>
<formControlPr xmlns="http://schemas.microsoft.com/office/spreadsheetml/2009/9/main" objectType="CheckBox" lockText="1" noThreeD="1"/>
</file>

<file path=xl/ctrlProps/ctrlProp194.xml><?xml version="1.0" encoding="utf-8"?>
<formControlPr xmlns="http://schemas.microsoft.com/office/spreadsheetml/2009/9/main" objectType="CheckBox" lockText="1" noThreeD="1"/>
</file>

<file path=xl/ctrlProps/ctrlProp195.xml><?xml version="1.0" encoding="utf-8"?>
<formControlPr xmlns="http://schemas.microsoft.com/office/spreadsheetml/2009/9/main" objectType="CheckBox" checked="Checked" lockText="1" noThreeD="1"/>
</file>

<file path=xl/ctrlProps/ctrlProp196.xml><?xml version="1.0" encoding="utf-8"?>
<formControlPr xmlns="http://schemas.microsoft.com/office/spreadsheetml/2009/9/main" objectType="CheckBox" lockText="1" noThreeD="1"/>
</file>

<file path=xl/ctrlProps/ctrlProp197.xml><?xml version="1.0" encoding="utf-8"?>
<formControlPr xmlns="http://schemas.microsoft.com/office/spreadsheetml/2009/9/main" objectType="CheckBox" lockText="1" noThreeD="1"/>
</file>

<file path=xl/ctrlProps/ctrlProp198.xml><?xml version="1.0" encoding="utf-8"?>
<formControlPr xmlns="http://schemas.microsoft.com/office/spreadsheetml/2009/9/main" objectType="CheckBox" lockText="1" noThreeD="1"/>
</file>

<file path=xl/ctrlProps/ctrlProp199.xml><?xml version="1.0" encoding="utf-8"?>
<formControlPr xmlns="http://schemas.microsoft.com/office/spreadsheetml/2009/9/main" objectType="CheckBox" lockText="1" noThreeD="1"/>
</file>

<file path=xl/ctrlProps/ctrlProp200.xml><?xml version="1.0" encoding="utf-8"?>
<formControlPr xmlns="http://schemas.microsoft.com/office/spreadsheetml/2009/9/main" objectType="CheckBox" lockText="1" noThreeD="1"/>
</file>

<file path=xl/ctrlProps/ctrlProp201.xml><?xml version="1.0" encoding="utf-8"?>
<formControlPr xmlns="http://schemas.microsoft.com/office/spreadsheetml/2009/9/main" objectType="CheckBox" lockText="1" noThreeD="1"/>
</file>

<file path=xl/ctrlProps/ctrlProp202.xml><?xml version="1.0" encoding="utf-8"?>
<formControlPr xmlns="http://schemas.microsoft.com/office/spreadsheetml/2009/9/main" objectType="CheckBox" lockText="1" noThreeD="1"/>
</file>

<file path=xl/ctrlProps/ctrlProp203.xml><?xml version="1.0" encoding="utf-8"?>
<formControlPr xmlns="http://schemas.microsoft.com/office/spreadsheetml/2009/9/main" objectType="CheckBox" lockText="1" noThreeD="1"/>
</file>

<file path=xl/ctrlProps/ctrlProp204.xml><?xml version="1.0" encoding="utf-8"?>
<formControlPr xmlns="http://schemas.microsoft.com/office/spreadsheetml/2009/9/main" objectType="CheckBox" lockText="1" noThreeD="1"/>
</file>

<file path=xl/ctrlProps/ctrlProp205.xml><?xml version="1.0" encoding="utf-8"?>
<formControlPr xmlns="http://schemas.microsoft.com/office/spreadsheetml/2009/9/main" objectType="CheckBox" lockText="1" noThreeD="1"/>
</file>

<file path=xl/ctrlProps/ctrlProp206.xml><?xml version="1.0" encoding="utf-8"?>
<formControlPr xmlns="http://schemas.microsoft.com/office/spreadsheetml/2009/9/main" objectType="CheckBox" lockText="1" noThreeD="1"/>
</file>

<file path=xl/ctrlProps/ctrlProp207.xml><?xml version="1.0" encoding="utf-8"?>
<formControlPr xmlns="http://schemas.microsoft.com/office/spreadsheetml/2009/9/main" objectType="CheckBox" lockText="1" noThreeD="1"/>
</file>

<file path=xl/ctrlProps/ctrlProp208.xml><?xml version="1.0" encoding="utf-8"?>
<formControlPr xmlns="http://schemas.microsoft.com/office/spreadsheetml/2009/9/main" objectType="CheckBox" lockText="1" noThreeD="1"/>
</file>

<file path=xl/ctrlProps/ctrlProp209.xml><?xml version="1.0" encoding="utf-8"?>
<formControlPr xmlns="http://schemas.microsoft.com/office/spreadsheetml/2009/9/main" objectType="CheckBox" lockText="1" noThreeD="1"/>
</file>

<file path=xl/ctrlProps/ctrlProp210.xml><?xml version="1.0" encoding="utf-8"?>
<formControlPr xmlns="http://schemas.microsoft.com/office/spreadsheetml/2009/9/main" objectType="CheckBox" lockText="1" noThreeD="1"/>
</file>

<file path=xl/ctrlProps/ctrlProp211.xml><?xml version="1.0" encoding="utf-8"?>
<formControlPr xmlns="http://schemas.microsoft.com/office/spreadsheetml/2009/9/main" objectType="CheckBox" lockText="1" noThreeD="1"/>
</file>

<file path=xl/ctrlProps/ctrlProp212.xml><?xml version="1.0" encoding="utf-8"?>
<formControlPr xmlns="http://schemas.microsoft.com/office/spreadsheetml/2009/9/main" objectType="CheckBox" lockText="1" noThreeD="1"/>
</file>

<file path=xl/ctrlProps/ctrlProp213.xml><?xml version="1.0" encoding="utf-8"?>
<formControlPr xmlns="http://schemas.microsoft.com/office/spreadsheetml/2009/9/main" objectType="CheckBox" lockText="1" noThreeD="1"/>
</file>

<file path=xl/ctrlProps/ctrlProp214.xml><?xml version="1.0" encoding="utf-8"?>
<formControlPr xmlns="http://schemas.microsoft.com/office/spreadsheetml/2009/9/main" objectType="CheckBox" lockText="1" noThreeD="1"/>
</file>

<file path=xl/ctrlProps/ctrlProp215.xml><?xml version="1.0" encoding="utf-8"?>
<formControlPr xmlns="http://schemas.microsoft.com/office/spreadsheetml/2009/9/main" objectType="CheckBox" lockText="1" noThreeD="1"/>
</file>

<file path=xl/ctrlProps/ctrlProp216.xml><?xml version="1.0" encoding="utf-8"?>
<formControlPr xmlns="http://schemas.microsoft.com/office/spreadsheetml/2009/9/main" objectType="CheckBox" lockText="1" noThreeD="1"/>
</file>

<file path=xl/ctrlProps/ctrlProp217.xml><?xml version="1.0" encoding="utf-8"?>
<formControlPr xmlns="http://schemas.microsoft.com/office/spreadsheetml/2009/9/main" objectType="CheckBox" lockText="1" noThreeD="1"/>
</file>

<file path=xl/ctrlProps/ctrlProp218.xml><?xml version="1.0" encoding="utf-8"?>
<formControlPr xmlns="http://schemas.microsoft.com/office/spreadsheetml/2009/9/main" objectType="CheckBox" lockText="1" noThreeD="1"/>
</file>

<file path=xl/ctrlProps/ctrlProp219.xml><?xml version="1.0" encoding="utf-8"?>
<formControlPr xmlns="http://schemas.microsoft.com/office/spreadsheetml/2009/9/main" objectType="CheckBox" lockText="1" noThreeD="1"/>
</file>

<file path=xl/ctrlProps/ctrlProp220.xml><?xml version="1.0" encoding="utf-8"?>
<formControlPr xmlns="http://schemas.microsoft.com/office/spreadsheetml/2009/9/main" objectType="CheckBox" lockText="1" noThreeD="1"/>
</file>

<file path=xl/ctrlProps/ctrlProp221.xml><?xml version="1.0" encoding="utf-8"?>
<formControlPr xmlns="http://schemas.microsoft.com/office/spreadsheetml/2009/9/main" objectType="CheckBox" lockText="1" noThreeD="1"/>
</file>

<file path=xl/ctrlProps/ctrlProp222.xml><?xml version="1.0" encoding="utf-8"?>
<formControlPr xmlns="http://schemas.microsoft.com/office/spreadsheetml/2009/9/main" objectType="CheckBox" lockText="1" noThreeD="1"/>
</file>

<file path=xl/ctrlProps/ctrlProp223.xml><?xml version="1.0" encoding="utf-8"?>
<formControlPr xmlns="http://schemas.microsoft.com/office/spreadsheetml/2009/9/main" objectType="CheckBox" lockText="1" noThreeD="1"/>
</file>

<file path=xl/ctrlProps/ctrlProp224.xml><?xml version="1.0" encoding="utf-8"?>
<formControlPr xmlns="http://schemas.microsoft.com/office/spreadsheetml/2009/9/main" objectType="CheckBox" lockText="1" noThreeD="1"/>
</file>

<file path=xl/ctrlProps/ctrlProp225.xml><?xml version="1.0" encoding="utf-8"?>
<formControlPr xmlns="http://schemas.microsoft.com/office/spreadsheetml/2009/9/main" objectType="CheckBox" lockText="1" noThreeD="1"/>
</file>

<file path=xl/ctrlProps/ctrlProp226.xml><?xml version="1.0" encoding="utf-8"?>
<formControlPr xmlns="http://schemas.microsoft.com/office/spreadsheetml/2009/9/main" objectType="CheckBox" lockText="1" noThreeD="1"/>
</file>

<file path=xl/ctrlProps/ctrlProp227.xml><?xml version="1.0" encoding="utf-8"?>
<formControlPr xmlns="http://schemas.microsoft.com/office/spreadsheetml/2009/9/main" objectType="CheckBox" lockText="1" noThreeD="1"/>
</file>

<file path=xl/ctrlProps/ctrlProp228.xml><?xml version="1.0" encoding="utf-8"?>
<formControlPr xmlns="http://schemas.microsoft.com/office/spreadsheetml/2009/9/main" objectType="CheckBox" lockText="1" noThreeD="1"/>
</file>

<file path=xl/ctrlProps/ctrlProp229.xml><?xml version="1.0" encoding="utf-8"?>
<formControlPr xmlns="http://schemas.microsoft.com/office/spreadsheetml/2009/9/main" objectType="CheckBox" lockText="1" noThreeD="1"/>
</file>

<file path=xl/ctrlProps/ctrlProp230.xml><?xml version="1.0" encoding="utf-8"?>
<formControlPr xmlns="http://schemas.microsoft.com/office/spreadsheetml/2009/9/main" objectType="CheckBox" lockText="1" noThreeD="1"/>
</file>

<file path=xl/ctrlProps/ctrlProp231.xml><?xml version="1.0" encoding="utf-8"?>
<formControlPr xmlns="http://schemas.microsoft.com/office/spreadsheetml/2009/9/main" objectType="CheckBox" lockText="1" noThreeD="1"/>
</file>

<file path=xl/ctrlProps/ctrlProp232.xml><?xml version="1.0" encoding="utf-8"?>
<formControlPr xmlns="http://schemas.microsoft.com/office/spreadsheetml/2009/9/main" objectType="CheckBox" lockText="1" noThreeD="1"/>
</file>

<file path=xl/ctrlProps/ctrlProp233.xml><?xml version="1.0" encoding="utf-8"?>
<formControlPr xmlns="http://schemas.microsoft.com/office/spreadsheetml/2009/9/main" objectType="CheckBox" lockText="1" noThreeD="1"/>
</file>

<file path=xl/ctrlProps/ctrlProp234.xml><?xml version="1.0" encoding="utf-8"?>
<formControlPr xmlns="http://schemas.microsoft.com/office/spreadsheetml/2009/9/main" objectType="CheckBox" lockText="1" noThreeD="1"/>
</file>

<file path=xl/ctrlProps/ctrlProp235.xml><?xml version="1.0" encoding="utf-8"?>
<formControlPr xmlns="http://schemas.microsoft.com/office/spreadsheetml/2009/9/main" objectType="CheckBox" lockText="1" noThreeD="1"/>
</file>

<file path=xl/ctrlProps/ctrlProp236.xml><?xml version="1.0" encoding="utf-8"?>
<formControlPr xmlns="http://schemas.microsoft.com/office/spreadsheetml/2009/9/main" objectType="CheckBox" lockText="1" noThreeD="1"/>
</file>

<file path=xl/ctrlProps/ctrlProp237.xml><?xml version="1.0" encoding="utf-8"?>
<formControlPr xmlns="http://schemas.microsoft.com/office/spreadsheetml/2009/9/main" objectType="CheckBox" lockText="1" noThreeD="1"/>
</file>

<file path=xl/ctrlProps/ctrlProp238.xml><?xml version="1.0" encoding="utf-8"?>
<formControlPr xmlns="http://schemas.microsoft.com/office/spreadsheetml/2009/9/main" objectType="CheckBox" lockText="1" noThreeD="1"/>
</file>

<file path=xl/ctrlProps/ctrlProp239.xml><?xml version="1.0" encoding="utf-8"?>
<formControlPr xmlns="http://schemas.microsoft.com/office/spreadsheetml/2009/9/main" objectType="CheckBox" lockText="1" noThreeD="1"/>
</file>

<file path=xl/ctrlProps/ctrlProp240.xml><?xml version="1.0" encoding="utf-8"?>
<formControlPr xmlns="http://schemas.microsoft.com/office/spreadsheetml/2009/9/main" objectType="CheckBox" lockText="1" noThreeD="1"/>
</file>

<file path=xl/ctrlProps/ctrlProp241.xml><?xml version="1.0" encoding="utf-8"?>
<formControlPr xmlns="http://schemas.microsoft.com/office/spreadsheetml/2009/9/main" objectType="CheckBox" lockText="1" noThreeD="1"/>
</file>

<file path=xl/ctrlProps/ctrlProp242.xml><?xml version="1.0" encoding="utf-8"?>
<formControlPr xmlns="http://schemas.microsoft.com/office/spreadsheetml/2009/9/main" objectType="CheckBox" lockText="1" noThreeD="1"/>
</file>

<file path=xl/ctrlProps/ctrlProp243.xml><?xml version="1.0" encoding="utf-8"?>
<formControlPr xmlns="http://schemas.microsoft.com/office/spreadsheetml/2009/9/main" objectType="CheckBox" lockText="1" noThreeD="1"/>
</file>

<file path=xl/ctrlProps/ctrlProp244.xml><?xml version="1.0" encoding="utf-8"?>
<formControlPr xmlns="http://schemas.microsoft.com/office/spreadsheetml/2009/9/main" objectType="CheckBox" lockText="1" noThreeD="1"/>
</file>

<file path=xl/ctrlProps/ctrlProp245.xml><?xml version="1.0" encoding="utf-8"?>
<formControlPr xmlns="http://schemas.microsoft.com/office/spreadsheetml/2009/9/main" objectType="CheckBox" lockText="1" noThreeD="1"/>
</file>

<file path=xl/ctrlProps/ctrlProp246.xml><?xml version="1.0" encoding="utf-8"?>
<formControlPr xmlns="http://schemas.microsoft.com/office/spreadsheetml/2009/9/main" objectType="CheckBox" lockText="1" noThreeD="1"/>
</file>

<file path=xl/ctrlProps/ctrlProp247.xml><?xml version="1.0" encoding="utf-8"?>
<formControlPr xmlns="http://schemas.microsoft.com/office/spreadsheetml/2009/9/main" objectType="CheckBox" lockText="1" noThreeD="1"/>
</file>

<file path=xl/ctrlProps/ctrlProp248.xml><?xml version="1.0" encoding="utf-8"?>
<formControlPr xmlns="http://schemas.microsoft.com/office/spreadsheetml/2009/9/main" objectType="CheckBox" lockText="1" noThreeD="1"/>
</file>

<file path=xl/ctrlProps/ctrlProp249.xml><?xml version="1.0" encoding="utf-8"?>
<formControlPr xmlns="http://schemas.microsoft.com/office/spreadsheetml/2009/9/main" objectType="CheckBox" lockText="1" noThreeD="1"/>
</file>

<file path=xl/ctrlProps/ctrlProp250.xml><?xml version="1.0" encoding="utf-8"?>
<formControlPr xmlns="http://schemas.microsoft.com/office/spreadsheetml/2009/9/main" objectType="CheckBox" lockText="1" noThreeD="1"/>
</file>

<file path=xl/ctrlProps/ctrlProp251.xml><?xml version="1.0" encoding="utf-8"?>
<formControlPr xmlns="http://schemas.microsoft.com/office/spreadsheetml/2009/9/main" objectType="CheckBox" lockText="1" noThreeD="1"/>
</file>

<file path=xl/ctrlProps/ctrlProp252.xml><?xml version="1.0" encoding="utf-8"?>
<formControlPr xmlns="http://schemas.microsoft.com/office/spreadsheetml/2009/9/main" objectType="CheckBox" lockText="1" noThreeD="1"/>
</file>

<file path=xl/ctrlProps/ctrlProp253.xml><?xml version="1.0" encoding="utf-8"?>
<formControlPr xmlns="http://schemas.microsoft.com/office/spreadsheetml/2009/9/main" objectType="CheckBox" lockText="1" noThreeD="1"/>
</file>

<file path=xl/ctrlProps/ctrlProp254.xml><?xml version="1.0" encoding="utf-8"?>
<formControlPr xmlns="http://schemas.microsoft.com/office/spreadsheetml/2009/9/main" objectType="CheckBox" lockText="1" noThreeD="1"/>
</file>

<file path=xl/ctrlProps/ctrlProp255.xml><?xml version="1.0" encoding="utf-8"?>
<formControlPr xmlns="http://schemas.microsoft.com/office/spreadsheetml/2009/9/main" objectType="CheckBox" lockText="1" noThreeD="1"/>
</file>

<file path=xl/ctrlProps/ctrlProp256.xml><?xml version="1.0" encoding="utf-8"?>
<formControlPr xmlns="http://schemas.microsoft.com/office/spreadsheetml/2009/9/main" objectType="CheckBox" lockText="1" noThreeD="1"/>
</file>

<file path=xl/ctrlProps/ctrlProp257.xml><?xml version="1.0" encoding="utf-8"?>
<formControlPr xmlns="http://schemas.microsoft.com/office/spreadsheetml/2009/9/main" objectType="CheckBox" lockText="1" noThreeD="1"/>
</file>

<file path=xl/ctrlProps/ctrlProp258.xml><?xml version="1.0" encoding="utf-8"?>
<formControlPr xmlns="http://schemas.microsoft.com/office/spreadsheetml/2009/9/main" objectType="CheckBox" lockText="1" noThreeD="1"/>
</file>

<file path=xl/ctrlProps/ctrlProp259.xml><?xml version="1.0" encoding="utf-8"?>
<formControlPr xmlns="http://schemas.microsoft.com/office/spreadsheetml/2009/9/main" objectType="CheckBox" lockText="1" noThreeD="1"/>
</file>

<file path=xl/ctrlProps/ctrlProp260.xml><?xml version="1.0" encoding="utf-8"?>
<formControlPr xmlns="http://schemas.microsoft.com/office/spreadsheetml/2009/9/main" objectType="CheckBox" lockText="1" noThreeD="1"/>
</file>

<file path=xl/ctrlProps/ctrlProp261.xml><?xml version="1.0" encoding="utf-8"?>
<formControlPr xmlns="http://schemas.microsoft.com/office/spreadsheetml/2009/9/main" objectType="CheckBox" lockText="1" noThreeD="1"/>
</file>

<file path=xl/ctrlProps/ctrlProp262.xml><?xml version="1.0" encoding="utf-8"?>
<formControlPr xmlns="http://schemas.microsoft.com/office/spreadsheetml/2009/9/main" objectType="CheckBox" lockText="1" noThreeD="1"/>
</file>

<file path=xl/ctrlProps/ctrlProp263.xml><?xml version="1.0" encoding="utf-8"?>
<formControlPr xmlns="http://schemas.microsoft.com/office/spreadsheetml/2009/9/main" objectType="CheckBox" lockText="1" noThreeD="1"/>
</file>

<file path=xl/ctrlProps/ctrlProp264.xml><?xml version="1.0" encoding="utf-8"?>
<formControlPr xmlns="http://schemas.microsoft.com/office/spreadsheetml/2009/9/main" objectType="CheckBox" lockText="1" noThreeD="1"/>
</file>

<file path=xl/ctrlProps/ctrlProp265.xml><?xml version="1.0" encoding="utf-8"?>
<formControlPr xmlns="http://schemas.microsoft.com/office/spreadsheetml/2009/9/main" objectType="CheckBox" lockText="1" noThreeD="1"/>
</file>

<file path=xl/ctrlProps/ctrlProp266.xml><?xml version="1.0" encoding="utf-8"?>
<formControlPr xmlns="http://schemas.microsoft.com/office/spreadsheetml/2009/9/main" objectType="CheckBox" lockText="1" noThreeD="1"/>
</file>

<file path=xl/ctrlProps/ctrlProp267.xml><?xml version="1.0" encoding="utf-8"?>
<formControlPr xmlns="http://schemas.microsoft.com/office/spreadsheetml/2009/9/main" objectType="CheckBox" lockText="1" noThreeD="1"/>
</file>

<file path=xl/ctrlProps/ctrlProp268.xml><?xml version="1.0" encoding="utf-8"?>
<formControlPr xmlns="http://schemas.microsoft.com/office/spreadsheetml/2009/9/main" objectType="CheckBox" lockText="1" noThreeD="1"/>
</file>

<file path=xl/ctrlProps/ctrlProp269.xml><?xml version="1.0" encoding="utf-8"?>
<formControlPr xmlns="http://schemas.microsoft.com/office/spreadsheetml/2009/9/main" objectType="CheckBox" lockText="1" noThreeD="1"/>
</file>

<file path=xl/ctrlProps/ctrlProp270.xml><?xml version="1.0" encoding="utf-8"?>
<formControlPr xmlns="http://schemas.microsoft.com/office/spreadsheetml/2009/9/main" objectType="CheckBox" lockText="1" noThreeD="1"/>
</file>

<file path=xl/ctrlProps/ctrlProp271.xml><?xml version="1.0" encoding="utf-8"?>
<formControlPr xmlns="http://schemas.microsoft.com/office/spreadsheetml/2009/9/main" objectType="CheckBox" lockText="1" noThreeD="1"/>
</file>

<file path=xl/ctrlProps/ctrlProp272.xml><?xml version="1.0" encoding="utf-8"?>
<formControlPr xmlns="http://schemas.microsoft.com/office/spreadsheetml/2009/9/main" objectType="CheckBox" lockText="1" noThreeD="1"/>
</file>

<file path=xl/ctrlProps/ctrlProp273.xml><?xml version="1.0" encoding="utf-8"?>
<formControlPr xmlns="http://schemas.microsoft.com/office/spreadsheetml/2009/9/main" objectType="CheckBox" lockText="1" noThreeD="1"/>
</file>

<file path=xl/ctrlProps/ctrlProp274.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7</xdr:col>
      <xdr:colOff>471008</xdr:colOff>
      <xdr:row>8</xdr:row>
      <xdr:rowOff>11430</xdr:rowOff>
    </xdr:to>
    <xdr:pic>
      <xdr:nvPicPr>
        <xdr:cNvPr id="2" name="Picture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152400"/>
          <a:ext cx="1819748" cy="115443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5</xdr:col>
      <xdr:colOff>549087</xdr:colOff>
      <xdr:row>20</xdr:row>
      <xdr:rowOff>89646</xdr:rowOff>
    </xdr:from>
    <xdr:to>
      <xdr:col>7</xdr:col>
      <xdr:colOff>285749</xdr:colOff>
      <xdr:row>20</xdr:row>
      <xdr:rowOff>285749</xdr:rowOff>
    </xdr:to>
    <xdr:sp macro="" textlink="">
      <xdr:nvSpPr>
        <xdr:cNvPr id="12" name="TextBox 11">
          <a:extLst>
            <a:ext uri="{FF2B5EF4-FFF2-40B4-BE49-F238E27FC236}">
              <a16:creationId xmlns:a16="http://schemas.microsoft.com/office/drawing/2014/main" id="{00000000-0008-0000-0500-00000C000000}"/>
            </a:ext>
          </a:extLst>
        </xdr:cNvPr>
        <xdr:cNvSpPr txBox="1"/>
      </xdr:nvSpPr>
      <xdr:spPr>
        <a:xfrm rot="10800000" flipV="1">
          <a:off x="3025587" y="1983440"/>
          <a:ext cx="1182221" cy="19610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PH" sz="1100" i="1">
              <a:solidFill>
                <a:srgbClr val="FF0000"/>
              </a:solidFill>
            </a:rPr>
            <a:t>dd/mm/yy</a:t>
          </a:r>
        </a:p>
      </xdr:txBody>
    </xdr:sp>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11</xdr:col>
          <xdr:colOff>304800</xdr:colOff>
          <xdr:row>7</xdr:row>
          <xdr:rowOff>209550</xdr:rowOff>
        </xdr:from>
        <xdr:to>
          <xdr:col>14</xdr:col>
          <xdr:colOff>171450</xdr:colOff>
          <xdr:row>9</xdr:row>
          <xdr:rowOff>0</xdr:rowOff>
        </xdr:to>
        <xdr:sp macro="" textlink="">
          <xdr:nvSpPr>
            <xdr:cNvPr id="90113" name="Check Box 1" hidden="1">
              <a:extLst>
                <a:ext uri="{63B3BB69-23CF-44E3-9099-C40C66FF867C}">
                  <a14:compatExt spid="_x0000_s90113"/>
                </a:ext>
                <a:ext uri="{FF2B5EF4-FFF2-40B4-BE49-F238E27FC236}">
                  <a16:creationId xmlns:a16="http://schemas.microsoft.com/office/drawing/2014/main" id="{00000000-0008-0000-0700-0000016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PH" sz="800" b="0" i="0" u="none" strike="noStrike" baseline="0">
                  <a:solidFill>
                    <a:srgbClr val="000000"/>
                  </a:solidFill>
                  <a:latin typeface="Segoe UI"/>
                  <a:cs typeface="Segoe UI"/>
                </a:rPr>
                <a:t>Townhouse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304800</xdr:colOff>
          <xdr:row>9</xdr:row>
          <xdr:rowOff>0</xdr:rowOff>
        </xdr:from>
        <xdr:to>
          <xdr:col>14</xdr:col>
          <xdr:colOff>171450</xdr:colOff>
          <xdr:row>10</xdr:row>
          <xdr:rowOff>0</xdr:rowOff>
        </xdr:to>
        <xdr:sp macro="" textlink="">
          <xdr:nvSpPr>
            <xdr:cNvPr id="90114" name="Check Box 2" hidden="1">
              <a:extLst>
                <a:ext uri="{63B3BB69-23CF-44E3-9099-C40C66FF867C}">
                  <a14:compatExt spid="_x0000_s90114"/>
                </a:ext>
                <a:ext uri="{FF2B5EF4-FFF2-40B4-BE49-F238E27FC236}">
                  <a16:creationId xmlns:a16="http://schemas.microsoft.com/office/drawing/2014/main" id="{00000000-0008-0000-0700-0000026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PH" sz="800" b="0" i="0" u="none" strike="noStrike" baseline="0">
                  <a:solidFill>
                    <a:srgbClr val="000000"/>
                  </a:solidFill>
                  <a:latin typeface="Segoe UI"/>
                  <a:cs typeface="Segoe UI"/>
                </a:rPr>
                <a:t>Commercial / Office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57150</xdr:colOff>
          <xdr:row>8</xdr:row>
          <xdr:rowOff>19050</xdr:rowOff>
        </xdr:from>
        <xdr:to>
          <xdr:col>8</xdr:col>
          <xdr:colOff>285750</xdr:colOff>
          <xdr:row>9</xdr:row>
          <xdr:rowOff>19050</xdr:rowOff>
        </xdr:to>
        <xdr:sp macro="" textlink="">
          <xdr:nvSpPr>
            <xdr:cNvPr id="90115" name="Check Box 3" hidden="1">
              <a:extLst>
                <a:ext uri="{63B3BB69-23CF-44E3-9099-C40C66FF867C}">
                  <a14:compatExt spid="_x0000_s90115"/>
                </a:ext>
                <a:ext uri="{FF2B5EF4-FFF2-40B4-BE49-F238E27FC236}">
                  <a16:creationId xmlns:a16="http://schemas.microsoft.com/office/drawing/2014/main" id="{00000000-0008-0000-0700-0000036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PH" sz="800" b="0" i="0" u="none" strike="noStrike" baseline="0">
                  <a:solidFill>
                    <a:srgbClr val="000000"/>
                  </a:solidFill>
                  <a:latin typeface="Segoe UI"/>
                  <a:cs typeface="Segoe UI"/>
                </a:rPr>
                <a:t>Residential Condominium</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57150</xdr:colOff>
          <xdr:row>8</xdr:row>
          <xdr:rowOff>209550</xdr:rowOff>
        </xdr:from>
        <xdr:to>
          <xdr:col>8</xdr:col>
          <xdr:colOff>285750</xdr:colOff>
          <xdr:row>10</xdr:row>
          <xdr:rowOff>0</xdr:rowOff>
        </xdr:to>
        <xdr:sp macro="" textlink="">
          <xdr:nvSpPr>
            <xdr:cNvPr id="90116" name="Check Box 4" hidden="1">
              <a:extLst>
                <a:ext uri="{63B3BB69-23CF-44E3-9099-C40C66FF867C}">
                  <a14:compatExt spid="_x0000_s90116"/>
                </a:ext>
                <a:ext uri="{FF2B5EF4-FFF2-40B4-BE49-F238E27FC236}">
                  <a16:creationId xmlns:a16="http://schemas.microsoft.com/office/drawing/2014/main" id="{00000000-0008-0000-0700-0000046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PH" sz="800" b="0" i="0" u="none" strike="noStrike" baseline="0">
                  <a:solidFill>
                    <a:srgbClr val="000000"/>
                  </a:solidFill>
                  <a:latin typeface="Segoe UI"/>
                  <a:cs typeface="Segoe UI"/>
                </a:rPr>
                <a:t>House and Lot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476250</xdr:colOff>
          <xdr:row>8</xdr:row>
          <xdr:rowOff>0</xdr:rowOff>
        </xdr:from>
        <xdr:to>
          <xdr:col>19</xdr:col>
          <xdr:colOff>180975</xdr:colOff>
          <xdr:row>9</xdr:row>
          <xdr:rowOff>0</xdr:rowOff>
        </xdr:to>
        <xdr:sp macro="" textlink="">
          <xdr:nvSpPr>
            <xdr:cNvPr id="90117" name="Check Box 5" hidden="1">
              <a:extLst>
                <a:ext uri="{63B3BB69-23CF-44E3-9099-C40C66FF867C}">
                  <a14:compatExt spid="_x0000_s90117"/>
                </a:ext>
                <a:ext uri="{FF2B5EF4-FFF2-40B4-BE49-F238E27FC236}">
                  <a16:creationId xmlns:a16="http://schemas.microsoft.com/office/drawing/2014/main" id="{00000000-0008-0000-0700-0000056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PH" sz="800" b="0" i="0" u="none" strike="noStrike" baseline="0">
                  <a:solidFill>
                    <a:srgbClr val="000000"/>
                  </a:solidFill>
                  <a:latin typeface="Segoe UI"/>
                  <a:cs typeface="Segoe UI"/>
                </a:rPr>
                <a:t>Parking Slot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476250</xdr:colOff>
          <xdr:row>9</xdr:row>
          <xdr:rowOff>0</xdr:rowOff>
        </xdr:from>
        <xdr:to>
          <xdr:col>19</xdr:col>
          <xdr:colOff>180975</xdr:colOff>
          <xdr:row>10</xdr:row>
          <xdr:rowOff>0</xdr:rowOff>
        </xdr:to>
        <xdr:sp macro="" textlink="">
          <xdr:nvSpPr>
            <xdr:cNvPr id="90118" name="Check Box 6" hidden="1">
              <a:extLst>
                <a:ext uri="{63B3BB69-23CF-44E3-9099-C40C66FF867C}">
                  <a14:compatExt spid="_x0000_s90118"/>
                </a:ext>
                <a:ext uri="{FF2B5EF4-FFF2-40B4-BE49-F238E27FC236}">
                  <a16:creationId xmlns:a16="http://schemas.microsoft.com/office/drawing/2014/main" id="{00000000-0008-0000-0700-0000066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PH" sz="800" b="0" i="0" u="none" strike="noStrike" baseline="0">
                  <a:solidFill>
                    <a:srgbClr val="000000"/>
                  </a:solidFill>
                  <a:latin typeface="Segoe UI"/>
                  <a:cs typeface="Segoe UI"/>
                </a:rPr>
                <a:t>Lot only</a:t>
              </a:r>
            </a:p>
          </xdr:txBody>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38100</xdr:colOff>
          <xdr:row>36</xdr:row>
          <xdr:rowOff>0</xdr:rowOff>
        </xdr:from>
        <xdr:to>
          <xdr:col>2</xdr:col>
          <xdr:colOff>285750</xdr:colOff>
          <xdr:row>37</xdr:row>
          <xdr:rowOff>19050</xdr:rowOff>
        </xdr:to>
        <xdr:sp macro="" textlink="">
          <xdr:nvSpPr>
            <xdr:cNvPr id="6148" name="Check Box 4" hidden="1">
              <a:extLst>
                <a:ext uri="{63B3BB69-23CF-44E3-9099-C40C66FF867C}">
                  <a14:compatExt spid="_x0000_s6148"/>
                </a:ext>
                <a:ext uri="{FF2B5EF4-FFF2-40B4-BE49-F238E27FC236}">
                  <a16:creationId xmlns:a16="http://schemas.microsoft.com/office/drawing/2014/main" id="{00000000-0008-0000-0800-000004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219075</xdr:colOff>
          <xdr:row>36</xdr:row>
          <xdr:rowOff>0</xdr:rowOff>
        </xdr:from>
        <xdr:to>
          <xdr:col>10</xdr:col>
          <xdr:colOff>209550</xdr:colOff>
          <xdr:row>37</xdr:row>
          <xdr:rowOff>19050</xdr:rowOff>
        </xdr:to>
        <xdr:sp macro="" textlink="">
          <xdr:nvSpPr>
            <xdr:cNvPr id="6150" name="Check Box 6" hidden="1">
              <a:extLst>
                <a:ext uri="{63B3BB69-23CF-44E3-9099-C40C66FF867C}">
                  <a14:compatExt spid="_x0000_s6150"/>
                </a:ext>
                <a:ext uri="{FF2B5EF4-FFF2-40B4-BE49-F238E27FC236}">
                  <a16:creationId xmlns:a16="http://schemas.microsoft.com/office/drawing/2014/main" id="{00000000-0008-0000-0800-000006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257175</xdr:colOff>
          <xdr:row>17</xdr:row>
          <xdr:rowOff>0</xdr:rowOff>
        </xdr:from>
        <xdr:to>
          <xdr:col>3</xdr:col>
          <xdr:colOff>171450</xdr:colOff>
          <xdr:row>18</xdr:row>
          <xdr:rowOff>19050</xdr:rowOff>
        </xdr:to>
        <xdr:sp macro="" textlink="">
          <xdr:nvSpPr>
            <xdr:cNvPr id="6152" name="Check Box 8" hidden="1">
              <a:extLst>
                <a:ext uri="{63B3BB69-23CF-44E3-9099-C40C66FF867C}">
                  <a14:compatExt spid="_x0000_s6152"/>
                </a:ext>
                <a:ext uri="{FF2B5EF4-FFF2-40B4-BE49-F238E27FC236}">
                  <a16:creationId xmlns:a16="http://schemas.microsoft.com/office/drawing/2014/main" id="{00000000-0008-0000-0800-000008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257175</xdr:colOff>
          <xdr:row>16</xdr:row>
          <xdr:rowOff>19050</xdr:rowOff>
        </xdr:from>
        <xdr:to>
          <xdr:col>3</xdr:col>
          <xdr:colOff>171450</xdr:colOff>
          <xdr:row>17</xdr:row>
          <xdr:rowOff>19050</xdr:rowOff>
        </xdr:to>
        <xdr:sp macro="" textlink="">
          <xdr:nvSpPr>
            <xdr:cNvPr id="6153" name="Check Box 9" hidden="1">
              <a:extLst>
                <a:ext uri="{63B3BB69-23CF-44E3-9099-C40C66FF867C}">
                  <a14:compatExt spid="_x0000_s6153"/>
                </a:ext>
                <a:ext uri="{FF2B5EF4-FFF2-40B4-BE49-F238E27FC236}">
                  <a16:creationId xmlns:a16="http://schemas.microsoft.com/office/drawing/2014/main" id="{00000000-0008-0000-0800-000009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133350</xdr:colOff>
          <xdr:row>16</xdr:row>
          <xdr:rowOff>209550</xdr:rowOff>
        </xdr:from>
        <xdr:to>
          <xdr:col>11</xdr:col>
          <xdr:colOff>28575</xdr:colOff>
          <xdr:row>18</xdr:row>
          <xdr:rowOff>0</xdr:rowOff>
        </xdr:to>
        <xdr:sp macro="" textlink="">
          <xdr:nvSpPr>
            <xdr:cNvPr id="6154" name="Check Box 10" hidden="1">
              <a:extLst>
                <a:ext uri="{63B3BB69-23CF-44E3-9099-C40C66FF867C}">
                  <a14:compatExt spid="_x0000_s6154"/>
                </a:ext>
                <a:ext uri="{FF2B5EF4-FFF2-40B4-BE49-F238E27FC236}">
                  <a16:creationId xmlns:a16="http://schemas.microsoft.com/office/drawing/2014/main" id="{00000000-0008-0000-0800-00000A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133350</xdr:colOff>
          <xdr:row>16</xdr:row>
          <xdr:rowOff>0</xdr:rowOff>
        </xdr:from>
        <xdr:to>
          <xdr:col>11</xdr:col>
          <xdr:colOff>28575</xdr:colOff>
          <xdr:row>17</xdr:row>
          <xdr:rowOff>19050</xdr:rowOff>
        </xdr:to>
        <xdr:sp macro="" textlink="">
          <xdr:nvSpPr>
            <xdr:cNvPr id="6155" name="Check Box 11" hidden="1">
              <a:extLst>
                <a:ext uri="{63B3BB69-23CF-44E3-9099-C40C66FF867C}">
                  <a14:compatExt spid="_x0000_s6155"/>
                </a:ext>
                <a:ext uri="{FF2B5EF4-FFF2-40B4-BE49-F238E27FC236}">
                  <a16:creationId xmlns:a16="http://schemas.microsoft.com/office/drawing/2014/main" id="{00000000-0008-0000-0800-00000B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xdr:colOff>
          <xdr:row>16</xdr:row>
          <xdr:rowOff>0</xdr:rowOff>
        </xdr:from>
        <xdr:to>
          <xdr:col>19</xdr:col>
          <xdr:colOff>19050</xdr:colOff>
          <xdr:row>17</xdr:row>
          <xdr:rowOff>19050</xdr:rowOff>
        </xdr:to>
        <xdr:sp macro="" textlink="">
          <xdr:nvSpPr>
            <xdr:cNvPr id="6157" name="Check Box 13" hidden="1">
              <a:extLst>
                <a:ext uri="{63B3BB69-23CF-44E3-9099-C40C66FF867C}">
                  <a14:compatExt spid="_x0000_s6157"/>
                </a:ext>
                <a:ext uri="{FF2B5EF4-FFF2-40B4-BE49-F238E27FC236}">
                  <a16:creationId xmlns:a16="http://schemas.microsoft.com/office/drawing/2014/main" id="{00000000-0008-0000-0800-00000D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95250</xdr:colOff>
          <xdr:row>87</xdr:row>
          <xdr:rowOff>66675</xdr:rowOff>
        </xdr:from>
        <xdr:to>
          <xdr:col>2</xdr:col>
          <xdr:colOff>19050</xdr:colOff>
          <xdr:row>89</xdr:row>
          <xdr:rowOff>0</xdr:rowOff>
        </xdr:to>
        <xdr:sp macro="" textlink="">
          <xdr:nvSpPr>
            <xdr:cNvPr id="6158" name="Check Box 14" hidden="1">
              <a:extLst>
                <a:ext uri="{63B3BB69-23CF-44E3-9099-C40C66FF867C}">
                  <a14:compatExt spid="_x0000_s6158"/>
                </a:ext>
                <a:ext uri="{FF2B5EF4-FFF2-40B4-BE49-F238E27FC236}">
                  <a16:creationId xmlns:a16="http://schemas.microsoft.com/office/drawing/2014/main" id="{00000000-0008-0000-0800-00000E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88</xdr:row>
          <xdr:rowOff>0</xdr:rowOff>
        </xdr:from>
        <xdr:to>
          <xdr:col>10</xdr:col>
          <xdr:colOff>19050</xdr:colOff>
          <xdr:row>89</xdr:row>
          <xdr:rowOff>19050</xdr:rowOff>
        </xdr:to>
        <xdr:sp macro="" textlink="">
          <xdr:nvSpPr>
            <xdr:cNvPr id="6159" name="Check Box 15" hidden="1">
              <a:extLst>
                <a:ext uri="{63B3BB69-23CF-44E3-9099-C40C66FF867C}">
                  <a14:compatExt spid="_x0000_s6159"/>
                </a:ext>
                <a:ext uri="{FF2B5EF4-FFF2-40B4-BE49-F238E27FC236}">
                  <a16:creationId xmlns:a16="http://schemas.microsoft.com/office/drawing/2014/main" id="{00000000-0008-0000-0800-00000F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152400</xdr:colOff>
          <xdr:row>88</xdr:row>
          <xdr:rowOff>0</xdr:rowOff>
        </xdr:from>
        <xdr:to>
          <xdr:col>17</xdr:col>
          <xdr:colOff>0</xdr:colOff>
          <xdr:row>89</xdr:row>
          <xdr:rowOff>19050</xdr:rowOff>
        </xdr:to>
        <xdr:sp macro="" textlink="">
          <xdr:nvSpPr>
            <xdr:cNvPr id="6160" name="Check Box 16" hidden="1">
              <a:extLst>
                <a:ext uri="{63B3BB69-23CF-44E3-9099-C40C66FF867C}">
                  <a14:compatExt spid="_x0000_s6160"/>
                </a:ext>
                <a:ext uri="{FF2B5EF4-FFF2-40B4-BE49-F238E27FC236}">
                  <a16:creationId xmlns:a16="http://schemas.microsoft.com/office/drawing/2014/main" id="{00000000-0008-0000-0800-000010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xdr:colOff>
          <xdr:row>16</xdr:row>
          <xdr:rowOff>190500</xdr:rowOff>
        </xdr:from>
        <xdr:to>
          <xdr:col>19</xdr:col>
          <xdr:colOff>19050</xdr:colOff>
          <xdr:row>18</xdr:row>
          <xdr:rowOff>0</xdr:rowOff>
        </xdr:to>
        <xdr:sp macro="" textlink="">
          <xdr:nvSpPr>
            <xdr:cNvPr id="6161" name="Check Box 17" hidden="1">
              <a:extLst>
                <a:ext uri="{63B3BB69-23CF-44E3-9099-C40C66FF867C}">
                  <a14:compatExt spid="_x0000_s6161"/>
                </a:ext>
                <a:ext uri="{FF2B5EF4-FFF2-40B4-BE49-F238E27FC236}">
                  <a16:creationId xmlns:a16="http://schemas.microsoft.com/office/drawing/2014/main" id="{00000000-0008-0000-0800-000011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781050</xdr:colOff>
          <xdr:row>36</xdr:row>
          <xdr:rowOff>0</xdr:rowOff>
        </xdr:from>
        <xdr:to>
          <xdr:col>18</xdr:col>
          <xdr:colOff>133350</xdr:colOff>
          <xdr:row>37</xdr:row>
          <xdr:rowOff>19050</xdr:rowOff>
        </xdr:to>
        <xdr:sp macro="" textlink="">
          <xdr:nvSpPr>
            <xdr:cNvPr id="6165" name="Check Box 21" hidden="1">
              <a:extLst>
                <a:ext uri="{63B3BB69-23CF-44E3-9099-C40C66FF867C}">
                  <a14:compatExt spid="_x0000_s6165"/>
                </a:ext>
                <a:ext uri="{FF2B5EF4-FFF2-40B4-BE49-F238E27FC236}">
                  <a16:creationId xmlns:a16="http://schemas.microsoft.com/office/drawing/2014/main" id="{00000000-0008-0000-0800-000015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0</xdr:col>
      <xdr:colOff>0</xdr:colOff>
      <xdr:row>40</xdr:row>
      <xdr:rowOff>142875</xdr:rowOff>
    </xdr:from>
    <xdr:ext cx="7724775" cy="7277100"/>
    <xdr:sp macro="" textlink="">
      <xdr:nvSpPr>
        <xdr:cNvPr id="15" name="TextBox 14">
          <a:extLst>
            <a:ext uri="{FF2B5EF4-FFF2-40B4-BE49-F238E27FC236}">
              <a16:creationId xmlns:a16="http://schemas.microsoft.com/office/drawing/2014/main" id="{00000000-0008-0000-0800-00000F000000}"/>
            </a:ext>
          </a:extLst>
        </xdr:cNvPr>
        <xdr:cNvSpPr txBox="1"/>
      </xdr:nvSpPr>
      <xdr:spPr>
        <a:xfrm>
          <a:off x="0" y="7867650"/>
          <a:ext cx="7724775" cy="72771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marL="230400" lvl="0" indent="0" algn="just">
            <a:buFontTx/>
            <a:buNone/>
          </a:pPr>
          <a:r>
            <a:rPr lang="en-PH" sz="750">
              <a:solidFill>
                <a:schemeClr val="dk1"/>
              </a:solidFill>
              <a:effectLst/>
              <a:latin typeface="Century Gothic" panose="020B0502020202020204" pitchFamily="34" charset="0"/>
              <a:ea typeface="+mn-ea"/>
              <a:cs typeface="+mn-cs"/>
            </a:rPr>
            <a:t>Reservation Fee, exclusive of VAT, in order to reserve the Property for our intended purchase which shall be effective for a period of thirty (30) days from payment of the Reservation Fee. I understand and acknowledge that the Reservation fee is non-refundable. Should I decide to cancel my reservation; fail to submit all the documentary requirements, including this Reservation Agreement, under the attached Annex B; or fail to pay the amounts due on the due dates prescribed under the attached Annex A, for any reasons whatsoever, I agree that my reservation shall lapse and my Reservation Fee shall be forfeited in favor of the Company. I will hold the company free and harmless for thereafter releasing and offering the Property to other interested buyers.</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2"/>
          </a:pPr>
          <a:r>
            <a:rPr lang="en-PH" sz="750">
              <a:solidFill>
                <a:schemeClr val="dk1"/>
              </a:solidFill>
              <a:effectLst/>
              <a:latin typeface="Century Gothic" panose="020B0502020202020204" pitchFamily="34" charset="0"/>
              <a:ea typeface="+mn-ea"/>
              <a:cs typeface="+mn-cs"/>
            </a:rPr>
            <a:t>I acknowledge that the Company reserves the right to accept or deny this request for reservation and is non- transferable.  </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acknowledge that in the event my application to purchase the Property is accepted, the Reservation Fee shall automatically form part of the required down payment. Upon being notified of the acceptance of my offer to purchase the Property, I shall remit, within the period required by the company, the down payment and/or balance, and the complete post-dated cheques, in accordance with the Schedule of Payment (inclusive of VAT and other charges), without need of further demand. Any and all payments made to any individual, realtor, broker, employee or to a party other than the Company for safekeeping in favor of or for transmittal to the Company shall be at my sole and exclusive risk and responsibility, and shall not bind nor make the former answerable in any way thereof unless and until actually received, receipted and validated by the Company’s Cashier or officer duly authorized by the Company. All payments shall be made ONLY through crossed-checks payable to the Company under the corporate name: </a:t>
          </a:r>
          <a:r>
            <a:rPr lang="en-PH" sz="750" b="1" u="none">
              <a:solidFill>
                <a:schemeClr val="dk1"/>
              </a:solidFill>
              <a:effectLst/>
              <a:latin typeface="Century Gothic" panose="020B0502020202020204" pitchFamily="34" charset="0"/>
              <a:ea typeface="+mn-ea"/>
              <a:cs typeface="+mn-cs"/>
            </a:rPr>
            <a:t>WEE COMMUNITY DEVELOPERS, INC.</a:t>
          </a:r>
          <a:r>
            <a:rPr lang="en-PH" sz="750">
              <a:solidFill>
                <a:schemeClr val="dk1"/>
              </a:solidFill>
              <a:effectLst/>
              <a:latin typeface="Century Gothic" panose="020B0502020202020204" pitchFamily="34" charset="0"/>
              <a:ea typeface="+mn-ea"/>
              <a:cs typeface="+mn-cs"/>
            </a:rPr>
            <a:t> or cash payable only directly to the Credit and Collection Department of the Company in its Head Office.</a:t>
          </a: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further acknowledge that all payments in relation to this Reservation Agreement shall be made on or before their due dates, without the necessity of any prior notice or demand and whether or not the Contract to Sell has been signed and sent back to the Developer/Company. All overdue payments shall be subject to a penalty equivalent to a rate of 0.001 or 1/1000 of past due amount per day of delay, without prejudice to the right of the Developer/Company to cancel this Reservation Agreement.</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Unless otherwise provided, my Contract to Sell for the Property shall be prepared only after I have submitted to the Company all necessary documents and postdated checks in such amounts and on such dates as are in accordance with the Schedule of Payment. The Contract to Sell shall be executed and signed by me within thirty (30) days from date of receipt of the Contract to Sell. Should I fail to submit the duly signed Contract to Sell within the said period, this Reservation Agreement shall be cancelled.</a:t>
          </a: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understand and agree that this Agreement only gives me the right to purchase the Property subject to the fulfillment of the conditions herein stated. No other right, title, or ownership is vested upon me by the execution of this Agreement. The Company retains title and ownership of the Property until I shall have fully </a:t>
          </a: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0" lvl="0" indent="0" algn="just">
            <a:buFontTx/>
            <a:buNone/>
          </a:pPr>
          <a:r>
            <a:rPr lang="en-PH" sz="750">
              <a:solidFill>
                <a:schemeClr val="dk1"/>
              </a:solidFill>
              <a:effectLst/>
              <a:latin typeface="Century Gothic" panose="020B0502020202020204" pitchFamily="34" charset="0"/>
              <a:ea typeface="+mn-ea"/>
              <a:cs typeface="+mn-cs"/>
            </a:rPr>
            <a:t>        paid all amounts due to the Company for the purchase of the Property.</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In the event that I/we avail ourselves of bank financing to finance the purchase of the subject property, I/we hereby authorize the Company to submit on my/our behalf all available income documents in its possession and my/our personal information to the banks and/or credit investigators (CMAP) for the purpose of loan application pre-assessment. </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further understand that the Total Contract Price indicated herein may vary from the Total Contract Price indicated in the Deed of Absolute Sale due to promos and discounts that may be given to me. In such event, I understand that the Total Contract stated in the Deed of Absolute Sale shall prevail.</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confirm that I have personally inspected the plans and specifications of the Property, studied and verified the Project site and its proximate location and layout of my requested Property and I find the same to be acceptable and satisfactory. I acknowledge that I have independently ascertained and evaluated all materials, facts and technical information related to the purchase of the Property and that I am satisfied with what has been explained to me by the Property Specialist/Broker who assisted me. I further understand that the sizes and/or numbering of the condominium units and parking spaces are subject to adjustments in accordance with the approved building plan or amendments thereon and I agree that the Developer reserves the right to revise architectural and floor plans without my consent.</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hereby authorize the Developer of the Project to organize the Project’s governing homeowner’s association or Condominium Corporation, as applicable.</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CANCELLATION OF RESERVATION. I /We, hereby agree that </a:t>
          </a:r>
          <a:r>
            <a:rPr lang="en-PH" sz="750" b="1">
              <a:solidFill>
                <a:schemeClr val="dk1"/>
              </a:solidFill>
              <a:effectLst/>
              <a:latin typeface="Century Gothic" panose="020B0502020202020204" pitchFamily="34" charset="0"/>
              <a:ea typeface="+mn-ea"/>
              <a:cs typeface="+mn-cs"/>
            </a:rPr>
            <a:t>WEE COMMUNITY DEVELOPERS, INC.</a:t>
          </a:r>
          <a:r>
            <a:rPr lang="en-PH" sz="750">
              <a:solidFill>
                <a:schemeClr val="dk1"/>
              </a:solidFill>
              <a:effectLst/>
              <a:latin typeface="Century Gothic" panose="020B0502020202020204" pitchFamily="34" charset="0"/>
              <a:ea typeface="+mn-ea"/>
              <a:cs typeface="+mn-cs"/>
            </a:rPr>
            <a:t> shall have the right to automatically cancel my/our reservation without further notice and without need of judicial rescission and to forfeit as liquidated damages my/our reservation fee and whatever other payments I/We have made, with any and all rights to the unit(s) considered waived by me/us in favor </a:t>
          </a:r>
          <a:r>
            <a:rPr lang="en-PH" sz="750" b="1">
              <a:solidFill>
                <a:schemeClr val="dk1"/>
              </a:solidFill>
              <a:effectLst/>
              <a:latin typeface="Century Gothic" panose="020B0502020202020204" pitchFamily="34" charset="0"/>
              <a:ea typeface="+mn-ea"/>
              <a:cs typeface="+mn-cs"/>
            </a:rPr>
            <a:t>of WEE COMMUNITY DEVELOPERS, INC.</a:t>
          </a:r>
          <a:r>
            <a:rPr lang="en-PH" sz="750">
              <a:solidFill>
                <a:schemeClr val="dk1"/>
              </a:solidFill>
              <a:effectLst/>
              <a:latin typeface="Century Gothic" panose="020B0502020202020204" pitchFamily="34" charset="0"/>
              <a:ea typeface="+mn-ea"/>
              <a:cs typeface="+mn-cs"/>
            </a:rPr>
            <a:t>, in the event of any of the following:</a:t>
          </a:r>
        </a:p>
        <a:p>
          <a:pPr algn="just"/>
          <a:r>
            <a:rPr lang="en-PH" sz="750">
              <a:solidFill>
                <a:schemeClr val="dk1"/>
              </a:solidFill>
              <a:effectLst/>
              <a:latin typeface="Century Gothic" panose="020B0502020202020204" pitchFamily="34" charset="0"/>
              <a:ea typeface="+mn-ea"/>
              <a:cs typeface="+mn-cs"/>
            </a:rPr>
            <a:t> </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undergo Counseling within Fifteen (15) days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submit complete documentary requirements under Annex B within Thirty (30) days for the locally employed and Sixty (60) days for OFW’s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pay the first equity payment within thirty (30) days from payment of Reservation Fee;</a:t>
          </a:r>
        </a:p>
        <a:p>
          <a:pPr algn="just"/>
          <a:endParaRPr lang="en-PH" sz="750">
            <a:latin typeface="Century Gothic" panose="020B0502020202020204" pitchFamily="34" charset="0"/>
          </a:endParaRPr>
        </a:p>
      </xdr:txBody>
    </xdr:sp>
    <xdr:clientData/>
  </xdr:oneCellAnchor>
  <mc:AlternateContent xmlns:mc="http://schemas.openxmlformats.org/markup-compatibility/2006">
    <mc:Choice xmlns:a14="http://schemas.microsoft.com/office/drawing/2010/main" Requires="a14">
      <xdr:twoCellAnchor editAs="oneCell">
        <xdr:from>
          <xdr:col>0</xdr:col>
          <xdr:colOff>114300</xdr:colOff>
          <xdr:row>89</xdr:row>
          <xdr:rowOff>19050</xdr:rowOff>
        </xdr:from>
        <xdr:to>
          <xdr:col>2</xdr:col>
          <xdr:colOff>57150</xdr:colOff>
          <xdr:row>90</xdr:row>
          <xdr:rowOff>28575</xdr:rowOff>
        </xdr:to>
        <xdr:sp macro="" textlink="">
          <xdr:nvSpPr>
            <xdr:cNvPr id="6166" name="Check Box 22" hidden="1">
              <a:extLst>
                <a:ext uri="{63B3BB69-23CF-44E3-9099-C40C66FF867C}">
                  <a14:compatExt spid="_x0000_s6166"/>
                </a:ext>
                <a:ext uri="{FF2B5EF4-FFF2-40B4-BE49-F238E27FC236}">
                  <a16:creationId xmlns:a16="http://schemas.microsoft.com/office/drawing/2014/main" id="{00000000-0008-0000-0800-000016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114300</xdr:colOff>
          <xdr:row>89</xdr:row>
          <xdr:rowOff>209550</xdr:rowOff>
        </xdr:from>
        <xdr:to>
          <xdr:col>2</xdr:col>
          <xdr:colOff>57150</xdr:colOff>
          <xdr:row>91</xdr:row>
          <xdr:rowOff>19050</xdr:rowOff>
        </xdr:to>
        <xdr:sp macro="" textlink="">
          <xdr:nvSpPr>
            <xdr:cNvPr id="6167" name="Check Box 23" hidden="1">
              <a:extLst>
                <a:ext uri="{63B3BB69-23CF-44E3-9099-C40C66FF867C}">
                  <a14:compatExt spid="_x0000_s6167"/>
                </a:ext>
                <a:ext uri="{FF2B5EF4-FFF2-40B4-BE49-F238E27FC236}">
                  <a16:creationId xmlns:a16="http://schemas.microsoft.com/office/drawing/2014/main" id="{00000000-0008-0000-0800-000017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89</xdr:row>
          <xdr:rowOff>0</xdr:rowOff>
        </xdr:from>
        <xdr:to>
          <xdr:col>10</xdr:col>
          <xdr:colOff>38100</xdr:colOff>
          <xdr:row>90</xdr:row>
          <xdr:rowOff>19050</xdr:rowOff>
        </xdr:to>
        <xdr:sp macro="" textlink="">
          <xdr:nvSpPr>
            <xdr:cNvPr id="6168" name="Check Box 24" hidden="1">
              <a:extLst>
                <a:ext uri="{63B3BB69-23CF-44E3-9099-C40C66FF867C}">
                  <a14:compatExt spid="_x0000_s6168"/>
                </a:ext>
                <a:ext uri="{FF2B5EF4-FFF2-40B4-BE49-F238E27FC236}">
                  <a16:creationId xmlns:a16="http://schemas.microsoft.com/office/drawing/2014/main" id="{00000000-0008-0000-0800-000018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89</xdr:row>
          <xdr:rowOff>190500</xdr:rowOff>
        </xdr:from>
        <xdr:to>
          <xdr:col>10</xdr:col>
          <xdr:colOff>38100</xdr:colOff>
          <xdr:row>91</xdr:row>
          <xdr:rowOff>0</xdr:rowOff>
        </xdr:to>
        <xdr:sp macro="" textlink="">
          <xdr:nvSpPr>
            <xdr:cNvPr id="6169" name="Check Box 25" hidden="1">
              <a:extLst>
                <a:ext uri="{63B3BB69-23CF-44E3-9099-C40C66FF867C}">
                  <a14:compatExt spid="_x0000_s6169"/>
                </a:ext>
                <a:ext uri="{FF2B5EF4-FFF2-40B4-BE49-F238E27FC236}">
                  <a16:creationId xmlns:a16="http://schemas.microsoft.com/office/drawing/2014/main" id="{00000000-0008-0000-0800-000019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171450</xdr:colOff>
          <xdr:row>89</xdr:row>
          <xdr:rowOff>0</xdr:rowOff>
        </xdr:from>
        <xdr:to>
          <xdr:col>17</xdr:col>
          <xdr:colOff>28575</xdr:colOff>
          <xdr:row>90</xdr:row>
          <xdr:rowOff>19050</xdr:rowOff>
        </xdr:to>
        <xdr:sp macro="" textlink="">
          <xdr:nvSpPr>
            <xdr:cNvPr id="6170" name="Check Box 26" hidden="1">
              <a:extLst>
                <a:ext uri="{63B3BB69-23CF-44E3-9099-C40C66FF867C}">
                  <a14:compatExt spid="_x0000_s6170"/>
                </a:ext>
                <a:ext uri="{FF2B5EF4-FFF2-40B4-BE49-F238E27FC236}">
                  <a16:creationId xmlns:a16="http://schemas.microsoft.com/office/drawing/2014/main" id="{00000000-0008-0000-0800-00001A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171450</xdr:colOff>
          <xdr:row>89</xdr:row>
          <xdr:rowOff>190500</xdr:rowOff>
        </xdr:from>
        <xdr:to>
          <xdr:col>17</xdr:col>
          <xdr:colOff>28575</xdr:colOff>
          <xdr:row>91</xdr:row>
          <xdr:rowOff>0</xdr:rowOff>
        </xdr:to>
        <xdr:sp macro="" textlink="">
          <xdr:nvSpPr>
            <xdr:cNvPr id="6171" name="Check Box 27" hidden="1">
              <a:extLst>
                <a:ext uri="{63B3BB69-23CF-44E3-9099-C40C66FF867C}">
                  <a14:compatExt spid="_x0000_s6171"/>
                </a:ext>
                <a:ext uri="{FF2B5EF4-FFF2-40B4-BE49-F238E27FC236}">
                  <a16:creationId xmlns:a16="http://schemas.microsoft.com/office/drawing/2014/main" id="{00000000-0008-0000-0800-00001B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171450</xdr:colOff>
          <xdr:row>91</xdr:row>
          <xdr:rowOff>0</xdr:rowOff>
        </xdr:from>
        <xdr:to>
          <xdr:col>17</xdr:col>
          <xdr:colOff>28575</xdr:colOff>
          <xdr:row>92</xdr:row>
          <xdr:rowOff>19050</xdr:rowOff>
        </xdr:to>
        <xdr:sp macro="" textlink="">
          <xdr:nvSpPr>
            <xdr:cNvPr id="6172" name="Check Box 28" hidden="1">
              <a:extLst>
                <a:ext uri="{63B3BB69-23CF-44E3-9099-C40C66FF867C}">
                  <a14:compatExt spid="_x0000_s6172"/>
                </a:ext>
                <a:ext uri="{FF2B5EF4-FFF2-40B4-BE49-F238E27FC236}">
                  <a16:creationId xmlns:a16="http://schemas.microsoft.com/office/drawing/2014/main" id="{00000000-0008-0000-0800-00001C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0</xdr:colOff>
      <xdr:row>103</xdr:row>
      <xdr:rowOff>0</xdr:rowOff>
    </xdr:from>
    <xdr:to>
      <xdr:col>20</xdr:col>
      <xdr:colOff>110573</xdr:colOff>
      <xdr:row>112</xdr:row>
      <xdr:rowOff>0</xdr:rowOff>
    </xdr:to>
    <xdr:sp macro="" textlink="">
      <xdr:nvSpPr>
        <xdr:cNvPr id="23" name="TextBox 22">
          <a:extLst>
            <a:ext uri="{FF2B5EF4-FFF2-40B4-BE49-F238E27FC236}">
              <a16:creationId xmlns:a16="http://schemas.microsoft.com/office/drawing/2014/main" id="{00000000-0008-0000-0800-000017000000}"/>
            </a:ext>
          </a:extLst>
        </xdr:cNvPr>
        <xdr:cNvSpPr txBox="1"/>
      </xdr:nvSpPr>
      <xdr:spPr>
        <a:xfrm>
          <a:off x="0" y="18611022"/>
          <a:ext cx="7705725" cy="186358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PH" sz="750">
              <a:solidFill>
                <a:schemeClr val="dk1"/>
              </a:solidFill>
              <a:effectLst/>
              <a:latin typeface="Century Gothic" panose="020B0502020202020204" pitchFamily="34" charset="0"/>
              <a:ea typeface="+mn-ea"/>
              <a:cs typeface="+mn-cs"/>
            </a:rPr>
            <a:t>By signing this Reservation Agreement, I hereby consent to the collection, processing, disclosure and storage of my personal data and information in compliance with the Data Privacy Act of 2012, and its Implementing Rules and Regulations (IRR), by </a:t>
          </a:r>
          <a:r>
            <a:rPr lang="en-PH" sz="750" b="1">
              <a:solidFill>
                <a:schemeClr val="dk1"/>
              </a:solidFill>
              <a:effectLst/>
              <a:latin typeface="Century Gothic" panose="020B0502020202020204" pitchFamily="34" charset="0"/>
              <a:ea typeface="+mn-ea"/>
              <a:cs typeface="+mn-cs"/>
            </a:rPr>
            <a:t>WEE COMMUNITY DEVELOPERS, INC</a:t>
          </a:r>
          <a:r>
            <a:rPr lang="en-PH" sz="750">
              <a:solidFill>
                <a:schemeClr val="dk1"/>
              </a:solidFill>
              <a:effectLst/>
              <a:latin typeface="Century Gothic" panose="020B0502020202020204" pitchFamily="34" charset="0"/>
              <a:ea typeface="+mn-ea"/>
              <a:cs typeface="+mn-cs"/>
            </a:rPr>
            <a:t>. (the “Company”).</a:t>
          </a:r>
        </a:p>
        <a:p>
          <a:pPr algn="just"/>
          <a:endParaRPr lang="en-PH" sz="750">
            <a:solidFill>
              <a:schemeClr val="dk1"/>
            </a:solidFill>
            <a:effectLst/>
            <a:latin typeface="Century Gothic" panose="020B0502020202020204" pitchFamily="34" charset="0"/>
            <a:ea typeface="+mn-ea"/>
            <a:cs typeface="+mn-cs"/>
          </a:endParaRPr>
        </a:p>
        <a:p>
          <a:pPr algn="just"/>
          <a:r>
            <a:rPr lang="en-PH" sz="750">
              <a:solidFill>
                <a:schemeClr val="dk1"/>
              </a:solidFill>
              <a:effectLst/>
              <a:latin typeface="Century Gothic" panose="020B0502020202020204" pitchFamily="34" charset="0"/>
              <a:ea typeface="+mn-ea"/>
              <a:cs typeface="+mn-cs"/>
            </a:rPr>
            <a:t>As such, I hereby authorize the Company to: </a:t>
          </a:r>
          <a:r>
            <a:rPr lang="en-PH" sz="750" b="1">
              <a:solidFill>
                <a:schemeClr val="dk1"/>
              </a:solidFill>
              <a:effectLst/>
              <a:latin typeface="Century Gothic" panose="020B0502020202020204" pitchFamily="34" charset="0"/>
              <a:ea typeface="+mn-ea"/>
              <a:cs typeface="+mn-cs"/>
            </a:rPr>
            <a:t>(1)</a:t>
          </a:r>
          <a:r>
            <a:rPr lang="en-PH" sz="750">
              <a:solidFill>
                <a:schemeClr val="dk1"/>
              </a:solidFill>
              <a:effectLst/>
              <a:latin typeface="Century Gothic" panose="020B0502020202020204" pitchFamily="34" charset="0"/>
              <a:ea typeface="+mn-ea"/>
              <a:cs typeface="+mn-cs"/>
            </a:rPr>
            <a:t> use my personal information in all documents and forms requiring such information in relation to all transactions for which this Agreement is entered into; </a:t>
          </a:r>
          <a:r>
            <a:rPr lang="en-PH" sz="750" b="1">
              <a:solidFill>
                <a:schemeClr val="dk1"/>
              </a:solidFill>
              <a:effectLst/>
              <a:latin typeface="Century Gothic" panose="020B0502020202020204" pitchFamily="34" charset="0"/>
              <a:ea typeface="+mn-ea"/>
              <a:cs typeface="+mn-cs"/>
            </a:rPr>
            <a:t>(2)</a:t>
          </a:r>
          <a:r>
            <a:rPr lang="en-PH" sz="750">
              <a:solidFill>
                <a:schemeClr val="dk1"/>
              </a:solidFill>
              <a:effectLst/>
              <a:latin typeface="Century Gothic" panose="020B0502020202020204" pitchFamily="34" charset="0"/>
              <a:ea typeface="+mn-ea"/>
              <a:cs typeface="+mn-cs"/>
            </a:rPr>
            <a:t> share/disclose my personal information, subject to such limitations as may be provided for by law, to the extent necessary to enforce this Agreement or for other legitimate business purpose; and </a:t>
          </a:r>
          <a:r>
            <a:rPr lang="en-PH" sz="750" b="1">
              <a:solidFill>
                <a:schemeClr val="dk1"/>
              </a:solidFill>
              <a:effectLst/>
              <a:latin typeface="Century Gothic" panose="020B0502020202020204" pitchFamily="34" charset="0"/>
              <a:ea typeface="+mn-ea"/>
              <a:cs typeface="+mn-cs"/>
            </a:rPr>
            <a:t>(3)</a:t>
          </a:r>
          <a:r>
            <a:rPr lang="en-PH" sz="750">
              <a:solidFill>
                <a:schemeClr val="dk1"/>
              </a:solidFill>
              <a:effectLst/>
              <a:latin typeface="Century Gothic" panose="020B0502020202020204" pitchFamily="34" charset="0"/>
              <a:ea typeface="+mn-ea"/>
              <a:cs typeface="+mn-cs"/>
            </a:rPr>
            <a:t> retain my information for a reasonable period of time from the date all transactions relating to this Agreement have been either consummated or terminated for any reason whatsoever, subject to all my rights guaranteed under Section 16 of the Data Privacy Act of 2012. Pursuant to Republic Act No. 9160 otherwise known as the Anti-Money Laundering Act of 2001 dated 20 September 2001 as amended by Republic Act No. 11521 dated 29 January 2021, upon my signing of this Agreement, I agree and thereby expressly give my consent to the Company’s procedural</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reporting of pertinent details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the AMLA Committee should the provisions of the law require them</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disclose any of the information I provided herein, by virtue of the Company’s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exercise of due diligence required of them by law. I shall not hold the Company liable and shall be protected against Republic Act No. 10173 or the Data Privacy Act of 2012 dated 12 July 2012 by doing so.</a:t>
          </a:r>
        </a:p>
        <a:p>
          <a:pPr algn="just"/>
          <a:endParaRPr lang="en-PH" sz="750">
            <a:effectLst/>
            <a:latin typeface="Century Gothic" panose="020B0502020202020204" pitchFamily="34" charset="0"/>
          </a:endParaRPr>
        </a:p>
        <a:p>
          <a:pPr algn="just"/>
          <a:r>
            <a:rPr lang="en-PH" sz="750">
              <a:solidFill>
                <a:schemeClr val="dk1"/>
              </a:solidFill>
              <a:effectLst/>
              <a:latin typeface="Century Gothic" panose="020B0502020202020204" pitchFamily="34" charset="0"/>
              <a:ea typeface="+mn-ea"/>
              <a:cs typeface="+mn-cs"/>
            </a:rPr>
            <a:t>In view of the foregoing, I further certify that all information I have provided to the Company are, to the best of my knowledge, true and correct, and hold the Company free and harmless from any action or claim for damages in relation to the consent hereby given.</a:t>
          </a:r>
        </a:p>
        <a:p>
          <a:pPr algn="just"/>
          <a:endParaRPr lang="en-PH" sz="1100"/>
        </a:p>
      </xdr:txBody>
    </xdr:sp>
    <xdr:clientData/>
  </xdr:twoCellAnchor>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21</xdr:col>
          <xdr:colOff>76200</xdr:colOff>
          <xdr:row>17</xdr:row>
          <xdr:rowOff>0</xdr:rowOff>
        </xdr:from>
        <xdr:to>
          <xdr:col>21</xdr:col>
          <xdr:colOff>295275</xdr:colOff>
          <xdr:row>18</xdr:row>
          <xdr:rowOff>38100</xdr:rowOff>
        </xdr:to>
        <xdr:sp macro="" textlink="">
          <xdr:nvSpPr>
            <xdr:cNvPr id="59405" name="Check Box 13" hidden="1">
              <a:extLst>
                <a:ext uri="{63B3BB69-23CF-44E3-9099-C40C66FF867C}">
                  <a14:compatExt spid="_x0000_s59405"/>
                </a:ext>
                <a:ext uri="{FF2B5EF4-FFF2-40B4-BE49-F238E27FC236}">
                  <a16:creationId xmlns:a16="http://schemas.microsoft.com/office/drawing/2014/main" id="{00000000-0008-0000-0900-00000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76200</xdr:colOff>
          <xdr:row>18</xdr:row>
          <xdr:rowOff>190500</xdr:rowOff>
        </xdr:from>
        <xdr:to>
          <xdr:col>21</xdr:col>
          <xdr:colOff>295275</xdr:colOff>
          <xdr:row>20</xdr:row>
          <xdr:rowOff>19050</xdr:rowOff>
        </xdr:to>
        <xdr:sp macro="" textlink="">
          <xdr:nvSpPr>
            <xdr:cNvPr id="59406" name="Check Box 14" hidden="1">
              <a:extLst>
                <a:ext uri="{63B3BB69-23CF-44E3-9099-C40C66FF867C}">
                  <a14:compatExt spid="_x0000_s59406"/>
                </a:ext>
                <a:ext uri="{FF2B5EF4-FFF2-40B4-BE49-F238E27FC236}">
                  <a16:creationId xmlns:a16="http://schemas.microsoft.com/office/drawing/2014/main" id="{00000000-0008-0000-0900-00000E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76200</xdr:colOff>
          <xdr:row>23</xdr:row>
          <xdr:rowOff>0</xdr:rowOff>
        </xdr:from>
        <xdr:to>
          <xdr:col>21</xdr:col>
          <xdr:colOff>285750</xdr:colOff>
          <xdr:row>24</xdr:row>
          <xdr:rowOff>38100</xdr:rowOff>
        </xdr:to>
        <xdr:sp macro="" textlink="">
          <xdr:nvSpPr>
            <xdr:cNvPr id="59407" name="Check Box 15" hidden="1">
              <a:extLst>
                <a:ext uri="{63B3BB69-23CF-44E3-9099-C40C66FF867C}">
                  <a14:compatExt spid="_x0000_s59407"/>
                </a:ext>
                <a:ext uri="{FF2B5EF4-FFF2-40B4-BE49-F238E27FC236}">
                  <a16:creationId xmlns:a16="http://schemas.microsoft.com/office/drawing/2014/main" id="{00000000-0008-0000-0900-00000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66675</xdr:colOff>
          <xdr:row>24</xdr:row>
          <xdr:rowOff>190500</xdr:rowOff>
        </xdr:from>
        <xdr:to>
          <xdr:col>21</xdr:col>
          <xdr:colOff>285750</xdr:colOff>
          <xdr:row>26</xdr:row>
          <xdr:rowOff>19050</xdr:rowOff>
        </xdr:to>
        <xdr:sp macro="" textlink="">
          <xdr:nvSpPr>
            <xdr:cNvPr id="59408" name="Check Box 16" hidden="1">
              <a:extLst>
                <a:ext uri="{63B3BB69-23CF-44E3-9099-C40C66FF867C}">
                  <a14:compatExt spid="_x0000_s59408"/>
                </a:ext>
                <a:ext uri="{FF2B5EF4-FFF2-40B4-BE49-F238E27FC236}">
                  <a16:creationId xmlns:a16="http://schemas.microsoft.com/office/drawing/2014/main" id="{00000000-0008-0000-0900-000010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76200</xdr:colOff>
          <xdr:row>29</xdr:row>
          <xdr:rowOff>0</xdr:rowOff>
        </xdr:from>
        <xdr:to>
          <xdr:col>21</xdr:col>
          <xdr:colOff>285750</xdr:colOff>
          <xdr:row>30</xdr:row>
          <xdr:rowOff>38100</xdr:rowOff>
        </xdr:to>
        <xdr:sp macro="" textlink="">
          <xdr:nvSpPr>
            <xdr:cNvPr id="59409" name="Check Box 17" hidden="1">
              <a:extLst>
                <a:ext uri="{63B3BB69-23CF-44E3-9099-C40C66FF867C}">
                  <a14:compatExt spid="_x0000_s59409"/>
                </a:ext>
                <a:ext uri="{FF2B5EF4-FFF2-40B4-BE49-F238E27FC236}">
                  <a16:creationId xmlns:a16="http://schemas.microsoft.com/office/drawing/2014/main" id="{00000000-0008-0000-0900-000011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66675</xdr:colOff>
          <xdr:row>30</xdr:row>
          <xdr:rowOff>190500</xdr:rowOff>
        </xdr:from>
        <xdr:to>
          <xdr:col>21</xdr:col>
          <xdr:colOff>285750</xdr:colOff>
          <xdr:row>32</xdr:row>
          <xdr:rowOff>19050</xdr:rowOff>
        </xdr:to>
        <xdr:sp macro="" textlink="">
          <xdr:nvSpPr>
            <xdr:cNvPr id="59410" name="Check Box 18" hidden="1">
              <a:extLst>
                <a:ext uri="{63B3BB69-23CF-44E3-9099-C40C66FF867C}">
                  <a14:compatExt spid="_x0000_s59410"/>
                </a:ext>
                <a:ext uri="{FF2B5EF4-FFF2-40B4-BE49-F238E27FC236}">
                  <a16:creationId xmlns:a16="http://schemas.microsoft.com/office/drawing/2014/main" id="{00000000-0008-0000-0900-000012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11</xdr:col>
          <xdr:colOff>304800</xdr:colOff>
          <xdr:row>7</xdr:row>
          <xdr:rowOff>209550</xdr:rowOff>
        </xdr:from>
        <xdr:to>
          <xdr:col>14</xdr:col>
          <xdr:colOff>171450</xdr:colOff>
          <xdr:row>9</xdr:row>
          <xdr:rowOff>0</xdr:rowOff>
        </xdr:to>
        <xdr:sp macro="" textlink="">
          <xdr:nvSpPr>
            <xdr:cNvPr id="76801" name="Check Box 1" hidden="1">
              <a:extLst>
                <a:ext uri="{63B3BB69-23CF-44E3-9099-C40C66FF867C}">
                  <a14:compatExt spid="_x0000_s76801"/>
                </a:ext>
                <a:ext uri="{FF2B5EF4-FFF2-40B4-BE49-F238E27FC236}">
                  <a16:creationId xmlns:a16="http://schemas.microsoft.com/office/drawing/2014/main" id="{00000000-0008-0000-0A00-0000012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PH" sz="800" b="0" i="0" u="none" strike="noStrike" baseline="0">
                  <a:solidFill>
                    <a:srgbClr val="000000"/>
                  </a:solidFill>
                  <a:latin typeface="Segoe UI"/>
                  <a:cs typeface="Segoe UI"/>
                </a:rPr>
                <a:t>Townhouse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304800</xdr:colOff>
          <xdr:row>9</xdr:row>
          <xdr:rowOff>0</xdr:rowOff>
        </xdr:from>
        <xdr:to>
          <xdr:col>14</xdr:col>
          <xdr:colOff>171450</xdr:colOff>
          <xdr:row>10</xdr:row>
          <xdr:rowOff>0</xdr:rowOff>
        </xdr:to>
        <xdr:sp macro="" textlink="">
          <xdr:nvSpPr>
            <xdr:cNvPr id="76802" name="Check Box 2" hidden="1">
              <a:extLst>
                <a:ext uri="{63B3BB69-23CF-44E3-9099-C40C66FF867C}">
                  <a14:compatExt spid="_x0000_s76802"/>
                </a:ext>
                <a:ext uri="{FF2B5EF4-FFF2-40B4-BE49-F238E27FC236}">
                  <a16:creationId xmlns:a16="http://schemas.microsoft.com/office/drawing/2014/main" id="{00000000-0008-0000-0A00-0000022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PH" sz="800" b="0" i="0" u="none" strike="noStrike" baseline="0">
                  <a:solidFill>
                    <a:srgbClr val="000000"/>
                  </a:solidFill>
                  <a:latin typeface="Segoe UI"/>
                  <a:cs typeface="Segoe UI"/>
                </a:rPr>
                <a:t>Commercial / Office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57150</xdr:colOff>
          <xdr:row>8</xdr:row>
          <xdr:rowOff>19050</xdr:rowOff>
        </xdr:from>
        <xdr:to>
          <xdr:col>8</xdr:col>
          <xdr:colOff>285750</xdr:colOff>
          <xdr:row>9</xdr:row>
          <xdr:rowOff>19050</xdr:rowOff>
        </xdr:to>
        <xdr:sp macro="" textlink="">
          <xdr:nvSpPr>
            <xdr:cNvPr id="76803" name="Check Box 3" hidden="1">
              <a:extLst>
                <a:ext uri="{63B3BB69-23CF-44E3-9099-C40C66FF867C}">
                  <a14:compatExt spid="_x0000_s76803"/>
                </a:ext>
                <a:ext uri="{FF2B5EF4-FFF2-40B4-BE49-F238E27FC236}">
                  <a16:creationId xmlns:a16="http://schemas.microsoft.com/office/drawing/2014/main" id="{00000000-0008-0000-0A00-0000032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PH" sz="800" b="0" i="0" u="none" strike="noStrike" baseline="0">
                  <a:solidFill>
                    <a:srgbClr val="000000"/>
                  </a:solidFill>
                  <a:latin typeface="Segoe UI"/>
                  <a:cs typeface="Segoe UI"/>
                </a:rPr>
                <a:t>Residential Condominium</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57150</xdr:colOff>
          <xdr:row>8</xdr:row>
          <xdr:rowOff>209550</xdr:rowOff>
        </xdr:from>
        <xdr:to>
          <xdr:col>8</xdr:col>
          <xdr:colOff>285750</xdr:colOff>
          <xdr:row>10</xdr:row>
          <xdr:rowOff>0</xdr:rowOff>
        </xdr:to>
        <xdr:sp macro="" textlink="">
          <xdr:nvSpPr>
            <xdr:cNvPr id="76804" name="Check Box 4" hidden="1">
              <a:extLst>
                <a:ext uri="{63B3BB69-23CF-44E3-9099-C40C66FF867C}">
                  <a14:compatExt spid="_x0000_s76804"/>
                </a:ext>
                <a:ext uri="{FF2B5EF4-FFF2-40B4-BE49-F238E27FC236}">
                  <a16:creationId xmlns:a16="http://schemas.microsoft.com/office/drawing/2014/main" id="{00000000-0008-0000-0A00-0000042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PH" sz="800" b="0" i="0" u="none" strike="noStrike" baseline="0">
                  <a:solidFill>
                    <a:srgbClr val="000000"/>
                  </a:solidFill>
                  <a:latin typeface="Segoe UI"/>
                  <a:cs typeface="Segoe UI"/>
                </a:rPr>
                <a:t>House and Lot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476250</xdr:colOff>
          <xdr:row>8</xdr:row>
          <xdr:rowOff>0</xdr:rowOff>
        </xdr:from>
        <xdr:to>
          <xdr:col>19</xdr:col>
          <xdr:colOff>180975</xdr:colOff>
          <xdr:row>9</xdr:row>
          <xdr:rowOff>0</xdr:rowOff>
        </xdr:to>
        <xdr:sp macro="" textlink="">
          <xdr:nvSpPr>
            <xdr:cNvPr id="76805" name="Check Box 5" hidden="1">
              <a:extLst>
                <a:ext uri="{63B3BB69-23CF-44E3-9099-C40C66FF867C}">
                  <a14:compatExt spid="_x0000_s76805"/>
                </a:ext>
                <a:ext uri="{FF2B5EF4-FFF2-40B4-BE49-F238E27FC236}">
                  <a16:creationId xmlns:a16="http://schemas.microsoft.com/office/drawing/2014/main" id="{00000000-0008-0000-0A00-0000052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PH" sz="800" b="0" i="0" u="none" strike="noStrike" baseline="0">
                  <a:solidFill>
                    <a:srgbClr val="000000"/>
                  </a:solidFill>
                  <a:latin typeface="Segoe UI"/>
                  <a:cs typeface="Segoe UI"/>
                </a:rPr>
                <a:t>Parking Slot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476250</xdr:colOff>
          <xdr:row>9</xdr:row>
          <xdr:rowOff>0</xdr:rowOff>
        </xdr:from>
        <xdr:to>
          <xdr:col>19</xdr:col>
          <xdr:colOff>180975</xdr:colOff>
          <xdr:row>10</xdr:row>
          <xdr:rowOff>0</xdr:rowOff>
        </xdr:to>
        <xdr:sp macro="" textlink="">
          <xdr:nvSpPr>
            <xdr:cNvPr id="76806" name="Check Box 6" hidden="1">
              <a:extLst>
                <a:ext uri="{63B3BB69-23CF-44E3-9099-C40C66FF867C}">
                  <a14:compatExt spid="_x0000_s76806"/>
                </a:ext>
                <a:ext uri="{FF2B5EF4-FFF2-40B4-BE49-F238E27FC236}">
                  <a16:creationId xmlns:a16="http://schemas.microsoft.com/office/drawing/2014/main" id="{00000000-0008-0000-0A00-0000062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PH" sz="800" b="0" i="0" u="none" strike="noStrike" baseline="0">
                  <a:solidFill>
                    <a:srgbClr val="000000"/>
                  </a:solidFill>
                  <a:latin typeface="Segoe UI"/>
                  <a:cs typeface="Segoe UI"/>
                </a:rPr>
                <a:t>Lot only</a:t>
              </a:r>
            </a:p>
          </xdr:txBody>
        </xdr:sp>
        <xdr:clientData/>
      </xdr:twoCellAnchor>
    </mc:Choice>
    <mc:Fallback/>
  </mc:AlternateContent>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38100</xdr:colOff>
          <xdr:row>36</xdr:row>
          <xdr:rowOff>0</xdr:rowOff>
        </xdr:from>
        <xdr:to>
          <xdr:col>2</xdr:col>
          <xdr:colOff>285750</xdr:colOff>
          <xdr:row>37</xdr:row>
          <xdr:rowOff>19050</xdr:rowOff>
        </xdr:to>
        <xdr:sp macro="" textlink="">
          <xdr:nvSpPr>
            <xdr:cNvPr id="66561" name="Check Box 1" hidden="1">
              <a:extLst>
                <a:ext uri="{63B3BB69-23CF-44E3-9099-C40C66FF867C}">
                  <a14:compatExt spid="_x0000_s66561"/>
                </a:ext>
                <a:ext uri="{FF2B5EF4-FFF2-40B4-BE49-F238E27FC236}">
                  <a16:creationId xmlns:a16="http://schemas.microsoft.com/office/drawing/2014/main" id="{00000000-0008-0000-0B00-0000010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219075</xdr:colOff>
          <xdr:row>36</xdr:row>
          <xdr:rowOff>0</xdr:rowOff>
        </xdr:from>
        <xdr:to>
          <xdr:col>10</xdr:col>
          <xdr:colOff>209550</xdr:colOff>
          <xdr:row>37</xdr:row>
          <xdr:rowOff>19050</xdr:rowOff>
        </xdr:to>
        <xdr:sp macro="" textlink="">
          <xdr:nvSpPr>
            <xdr:cNvPr id="66562" name="Check Box 2" hidden="1">
              <a:extLst>
                <a:ext uri="{63B3BB69-23CF-44E3-9099-C40C66FF867C}">
                  <a14:compatExt spid="_x0000_s66562"/>
                </a:ext>
                <a:ext uri="{FF2B5EF4-FFF2-40B4-BE49-F238E27FC236}">
                  <a16:creationId xmlns:a16="http://schemas.microsoft.com/office/drawing/2014/main" id="{00000000-0008-0000-0B00-0000020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257175</xdr:colOff>
          <xdr:row>17</xdr:row>
          <xdr:rowOff>0</xdr:rowOff>
        </xdr:from>
        <xdr:to>
          <xdr:col>3</xdr:col>
          <xdr:colOff>171450</xdr:colOff>
          <xdr:row>18</xdr:row>
          <xdr:rowOff>19050</xdr:rowOff>
        </xdr:to>
        <xdr:sp macro="" textlink="">
          <xdr:nvSpPr>
            <xdr:cNvPr id="66563" name="Check Box 3" hidden="1">
              <a:extLst>
                <a:ext uri="{63B3BB69-23CF-44E3-9099-C40C66FF867C}">
                  <a14:compatExt spid="_x0000_s66563"/>
                </a:ext>
                <a:ext uri="{FF2B5EF4-FFF2-40B4-BE49-F238E27FC236}">
                  <a16:creationId xmlns:a16="http://schemas.microsoft.com/office/drawing/2014/main" id="{00000000-0008-0000-0B00-0000030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257175</xdr:colOff>
          <xdr:row>16</xdr:row>
          <xdr:rowOff>19050</xdr:rowOff>
        </xdr:from>
        <xdr:to>
          <xdr:col>3</xdr:col>
          <xdr:colOff>171450</xdr:colOff>
          <xdr:row>17</xdr:row>
          <xdr:rowOff>19050</xdr:rowOff>
        </xdr:to>
        <xdr:sp macro="" textlink="">
          <xdr:nvSpPr>
            <xdr:cNvPr id="66564" name="Check Box 4" hidden="1">
              <a:extLst>
                <a:ext uri="{63B3BB69-23CF-44E3-9099-C40C66FF867C}">
                  <a14:compatExt spid="_x0000_s66564"/>
                </a:ext>
                <a:ext uri="{FF2B5EF4-FFF2-40B4-BE49-F238E27FC236}">
                  <a16:creationId xmlns:a16="http://schemas.microsoft.com/office/drawing/2014/main" id="{00000000-0008-0000-0B00-0000040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133350</xdr:colOff>
          <xdr:row>16</xdr:row>
          <xdr:rowOff>209550</xdr:rowOff>
        </xdr:from>
        <xdr:to>
          <xdr:col>11</xdr:col>
          <xdr:colOff>28575</xdr:colOff>
          <xdr:row>18</xdr:row>
          <xdr:rowOff>0</xdr:rowOff>
        </xdr:to>
        <xdr:sp macro="" textlink="">
          <xdr:nvSpPr>
            <xdr:cNvPr id="66565" name="Check Box 5" hidden="1">
              <a:extLst>
                <a:ext uri="{63B3BB69-23CF-44E3-9099-C40C66FF867C}">
                  <a14:compatExt spid="_x0000_s66565"/>
                </a:ext>
                <a:ext uri="{FF2B5EF4-FFF2-40B4-BE49-F238E27FC236}">
                  <a16:creationId xmlns:a16="http://schemas.microsoft.com/office/drawing/2014/main" id="{00000000-0008-0000-0B00-0000050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133350</xdr:colOff>
          <xdr:row>16</xdr:row>
          <xdr:rowOff>0</xdr:rowOff>
        </xdr:from>
        <xdr:to>
          <xdr:col>11</xdr:col>
          <xdr:colOff>28575</xdr:colOff>
          <xdr:row>17</xdr:row>
          <xdr:rowOff>19050</xdr:rowOff>
        </xdr:to>
        <xdr:sp macro="" textlink="">
          <xdr:nvSpPr>
            <xdr:cNvPr id="66566" name="Check Box 6" hidden="1">
              <a:extLst>
                <a:ext uri="{63B3BB69-23CF-44E3-9099-C40C66FF867C}">
                  <a14:compatExt spid="_x0000_s66566"/>
                </a:ext>
                <a:ext uri="{FF2B5EF4-FFF2-40B4-BE49-F238E27FC236}">
                  <a16:creationId xmlns:a16="http://schemas.microsoft.com/office/drawing/2014/main" id="{00000000-0008-0000-0B00-0000060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xdr:colOff>
          <xdr:row>16</xdr:row>
          <xdr:rowOff>0</xdr:rowOff>
        </xdr:from>
        <xdr:to>
          <xdr:col>19</xdr:col>
          <xdr:colOff>19050</xdr:colOff>
          <xdr:row>17</xdr:row>
          <xdr:rowOff>19050</xdr:rowOff>
        </xdr:to>
        <xdr:sp macro="" textlink="">
          <xdr:nvSpPr>
            <xdr:cNvPr id="66567" name="Check Box 7" hidden="1">
              <a:extLst>
                <a:ext uri="{63B3BB69-23CF-44E3-9099-C40C66FF867C}">
                  <a14:compatExt spid="_x0000_s66567"/>
                </a:ext>
                <a:ext uri="{FF2B5EF4-FFF2-40B4-BE49-F238E27FC236}">
                  <a16:creationId xmlns:a16="http://schemas.microsoft.com/office/drawing/2014/main" id="{00000000-0008-0000-0B00-0000070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95250</xdr:colOff>
          <xdr:row>87</xdr:row>
          <xdr:rowOff>66675</xdr:rowOff>
        </xdr:from>
        <xdr:to>
          <xdr:col>2</xdr:col>
          <xdr:colOff>19050</xdr:colOff>
          <xdr:row>89</xdr:row>
          <xdr:rowOff>0</xdr:rowOff>
        </xdr:to>
        <xdr:sp macro="" textlink="">
          <xdr:nvSpPr>
            <xdr:cNvPr id="66568" name="Check Box 8" hidden="1">
              <a:extLst>
                <a:ext uri="{63B3BB69-23CF-44E3-9099-C40C66FF867C}">
                  <a14:compatExt spid="_x0000_s66568"/>
                </a:ext>
                <a:ext uri="{FF2B5EF4-FFF2-40B4-BE49-F238E27FC236}">
                  <a16:creationId xmlns:a16="http://schemas.microsoft.com/office/drawing/2014/main" id="{00000000-0008-0000-0B00-0000080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88</xdr:row>
          <xdr:rowOff>0</xdr:rowOff>
        </xdr:from>
        <xdr:to>
          <xdr:col>10</xdr:col>
          <xdr:colOff>19050</xdr:colOff>
          <xdr:row>89</xdr:row>
          <xdr:rowOff>19050</xdr:rowOff>
        </xdr:to>
        <xdr:sp macro="" textlink="">
          <xdr:nvSpPr>
            <xdr:cNvPr id="66569" name="Check Box 9" hidden="1">
              <a:extLst>
                <a:ext uri="{63B3BB69-23CF-44E3-9099-C40C66FF867C}">
                  <a14:compatExt spid="_x0000_s66569"/>
                </a:ext>
                <a:ext uri="{FF2B5EF4-FFF2-40B4-BE49-F238E27FC236}">
                  <a16:creationId xmlns:a16="http://schemas.microsoft.com/office/drawing/2014/main" id="{00000000-0008-0000-0B00-0000090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152400</xdr:colOff>
          <xdr:row>88</xdr:row>
          <xdr:rowOff>0</xdr:rowOff>
        </xdr:from>
        <xdr:to>
          <xdr:col>17</xdr:col>
          <xdr:colOff>0</xdr:colOff>
          <xdr:row>89</xdr:row>
          <xdr:rowOff>19050</xdr:rowOff>
        </xdr:to>
        <xdr:sp macro="" textlink="">
          <xdr:nvSpPr>
            <xdr:cNvPr id="66570" name="Check Box 10" hidden="1">
              <a:extLst>
                <a:ext uri="{63B3BB69-23CF-44E3-9099-C40C66FF867C}">
                  <a14:compatExt spid="_x0000_s66570"/>
                </a:ext>
                <a:ext uri="{FF2B5EF4-FFF2-40B4-BE49-F238E27FC236}">
                  <a16:creationId xmlns:a16="http://schemas.microsoft.com/office/drawing/2014/main" id="{00000000-0008-0000-0B00-00000A0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xdr:colOff>
          <xdr:row>16</xdr:row>
          <xdr:rowOff>190500</xdr:rowOff>
        </xdr:from>
        <xdr:to>
          <xdr:col>19</xdr:col>
          <xdr:colOff>19050</xdr:colOff>
          <xdr:row>18</xdr:row>
          <xdr:rowOff>0</xdr:rowOff>
        </xdr:to>
        <xdr:sp macro="" textlink="">
          <xdr:nvSpPr>
            <xdr:cNvPr id="66571" name="Check Box 11" hidden="1">
              <a:extLst>
                <a:ext uri="{63B3BB69-23CF-44E3-9099-C40C66FF867C}">
                  <a14:compatExt spid="_x0000_s66571"/>
                </a:ext>
                <a:ext uri="{FF2B5EF4-FFF2-40B4-BE49-F238E27FC236}">
                  <a16:creationId xmlns:a16="http://schemas.microsoft.com/office/drawing/2014/main" id="{00000000-0008-0000-0B00-00000B0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781050</xdr:colOff>
          <xdr:row>36</xdr:row>
          <xdr:rowOff>0</xdr:rowOff>
        </xdr:from>
        <xdr:to>
          <xdr:col>18</xdr:col>
          <xdr:colOff>0</xdr:colOff>
          <xdr:row>37</xdr:row>
          <xdr:rowOff>19050</xdr:rowOff>
        </xdr:to>
        <xdr:sp macro="" textlink="">
          <xdr:nvSpPr>
            <xdr:cNvPr id="66572" name="Check Box 12" hidden="1">
              <a:extLst>
                <a:ext uri="{63B3BB69-23CF-44E3-9099-C40C66FF867C}">
                  <a14:compatExt spid="_x0000_s66572"/>
                </a:ext>
                <a:ext uri="{FF2B5EF4-FFF2-40B4-BE49-F238E27FC236}">
                  <a16:creationId xmlns:a16="http://schemas.microsoft.com/office/drawing/2014/main" id="{00000000-0008-0000-0B00-00000C0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0</xdr:col>
      <xdr:colOff>0</xdr:colOff>
      <xdr:row>40</xdr:row>
      <xdr:rowOff>142875</xdr:rowOff>
    </xdr:from>
    <xdr:ext cx="7724775" cy="7277100"/>
    <xdr:sp macro="" textlink="">
      <xdr:nvSpPr>
        <xdr:cNvPr id="14" name="TextBox 13">
          <a:extLst>
            <a:ext uri="{FF2B5EF4-FFF2-40B4-BE49-F238E27FC236}">
              <a16:creationId xmlns:a16="http://schemas.microsoft.com/office/drawing/2014/main" id="{00000000-0008-0000-0B00-00000E000000}"/>
            </a:ext>
          </a:extLst>
        </xdr:cNvPr>
        <xdr:cNvSpPr txBox="1"/>
      </xdr:nvSpPr>
      <xdr:spPr>
        <a:xfrm>
          <a:off x="0" y="7658100"/>
          <a:ext cx="7724775" cy="72771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marL="230400" lvl="0" indent="0" algn="just">
            <a:buFontTx/>
            <a:buNone/>
          </a:pPr>
          <a:r>
            <a:rPr lang="en-PH" sz="750">
              <a:solidFill>
                <a:schemeClr val="dk1"/>
              </a:solidFill>
              <a:effectLst/>
              <a:latin typeface="Century Gothic" panose="020B0502020202020204" pitchFamily="34" charset="0"/>
              <a:ea typeface="+mn-ea"/>
              <a:cs typeface="+mn-cs"/>
            </a:rPr>
            <a:t>Reservation Fee, exclusive of VAT, in order to reserve the Property for our intended purchase which shall be effective for a period of thirty (30) days from payment of the Reservation Fee. I understand and acknowledge that the Reservation fee is non-refundable. Should I decide to cancel my reservation; fail to submit all the documentary requirements, including this Reservation Agreement, under the attached Annex B; or fail to pay the amounts due on the due dates prescribed under the attached Annex A, for any reasons whatsoever, I agree that my reservation shall lapse and my Reservation Fee shall be forfeited in favor of the Company. I will hold the company free and harmless for thereafter releasing and offering the Property to other interested buyers.</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2"/>
          </a:pPr>
          <a:r>
            <a:rPr lang="en-PH" sz="750">
              <a:solidFill>
                <a:schemeClr val="dk1"/>
              </a:solidFill>
              <a:effectLst/>
              <a:latin typeface="Century Gothic" panose="020B0502020202020204" pitchFamily="34" charset="0"/>
              <a:ea typeface="+mn-ea"/>
              <a:cs typeface="+mn-cs"/>
            </a:rPr>
            <a:t>I acknowledge that the Company reserves the right to accept or deny this request for reservation and is non- transferable.  </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acknowledge that in the event my application to purchase the Property is accepted, the Reservation Fee shall automatically form part of the required down payment. Upon being notified of the acceptance of my offer to purchase the Property, I shall remit, within the period required by the company, the down payment and/or balance, and the complete post-dated cheques, in accordance with the Schedule of Payment (inclusive of VAT and other charges), without need of further demand. Any and all payments made to any individual, realtor, broker, employee or to a party other than the Company for safekeeping in favor of or for transmittal to the Company shall be at my sole and exclusive risk and responsibility, and shall not bind nor make the former answerable in any way thereof unless and until actually received, receipted and validated by the Company’s Cashier or officer duly authorized by the Company. All payments shall be made ONLY through crossed-checks payable to the Company under the corporate name: </a:t>
          </a:r>
          <a:r>
            <a:rPr lang="en-PH" sz="750" b="1" u="none">
              <a:solidFill>
                <a:schemeClr val="dk1"/>
              </a:solidFill>
              <a:effectLst/>
              <a:latin typeface="Century Gothic" panose="020B0502020202020204" pitchFamily="34" charset="0"/>
              <a:ea typeface="+mn-ea"/>
              <a:cs typeface="+mn-cs"/>
            </a:rPr>
            <a:t>WEE COMMUNITY DEVELOPERS, INC.</a:t>
          </a:r>
          <a:r>
            <a:rPr lang="en-PH" sz="750">
              <a:solidFill>
                <a:schemeClr val="dk1"/>
              </a:solidFill>
              <a:effectLst/>
              <a:latin typeface="Century Gothic" panose="020B0502020202020204" pitchFamily="34" charset="0"/>
              <a:ea typeface="+mn-ea"/>
              <a:cs typeface="+mn-cs"/>
            </a:rPr>
            <a:t> or cash payable only directly to the Credit and Collection Department of the Company in its Head Office.</a:t>
          </a: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further acknowledge that all payments in relation to this Reservation Agreement shall be made on or before their due dates, without the necessity of any prior notice or demand and whether or not the Contract to Sell has been signed and sent back to the Developer/Company. All overdue payments shall be subject to a penalty equivalent to a rate of 0.001 or 1/1000 of past due amount per day of delay, without prejudice to the right of the Developer/Company to cancel this Reservation Agreement.</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Unless otherwise provided, my Contract to Sell for the Property shall be prepared only after I have submitted to the Company all necessary documents and postdated checks in such amounts and on such dates as are in accordance with the Schedule of Payment. The Contract to Sell shall be executed and signed by me within thirty (30) days from date of receipt of the Contract to Sell. Should I fail to submit the duly signed Contract to Sell within the said period, this Reservation Agreement shall be cancelled.</a:t>
          </a: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understand and agree that this Agreement only gives me the right to purchase the Property subject to the fulfillment of the conditions herein stated. No other right, title, or ownership is vested upon me by the execution of this Agreement. The Company retains title and ownership of the Property until I shall have fully </a:t>
          </a: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0" lvl="0" indent="0" algn="just">
            <a:buFontTx/>
            <a:buNone/>
          </a:pPr>
          <a:r>
            <a:rPr lang="en-PH" sz="750">
              <a:solidFill>
                <a:schemeClr val="dk1"/>
              </a:solidFill>
              <a:effectLst/>
              <a:latin typeface="Century Gothic" panose="020B0502020202020204" pitchFamily="34" charset="0"/>
              <a:ea typeface="+mn-ea"/>
              <a:cs typeface="+mn-cs"/>
            </a:rPr>
            <a:t>        paid all amounts due to the Company for the purchase of the Property.</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In the event that I/we avail ourselves of bank financing to finance the purchase of the subject property, I/we hereby authorize the Company to submit on my/our behalf all available income documents in its possession and my/our personal information to the banks and/or credit investigators (CMAP) for the purpose of loan application pre-assessment. </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further understand that the Total Contract Price indicated herein may vary from the Total Contract Price indicated in the Deed of Absolute Sale due to promos and discounts that may be given to me. In such event, I understand that the Total Contract stated in the Deed of Absolute Sale shall prevail.</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confirm that I have personally inspected the plans and specifications of the Property, studied and verified the Project site and its proximate location and layout of my requested Property and I find the same to be acceptable and satisfactory. I acknowledge that I have independently ascertained and evaluated all materials, facts and technical information related to the purchase of the Property and that I am satisfied with what has been explained to me by the Property Specialist/Broker who assisted me. I further understand that the sizes and/or numbering of the condominium units and parking spaces are subject to adjustments in accordance with the approved building plan or amendments thereon and I agree that the Developer reserves the right to revise architectural and floor plans without my consent.</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hereby authorize the Developer of the Project to organize the Project’s governing homeowner’s association or Condominium Corporation, as applicable.</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CANCELLATION OF RESERVATION. I /We, hereby agree that </a:t>
          </a:r>
          <a:r>
            <a:rPr lang="en-PH" sz="750" b="1">
              <a:solidFill>
                <a:schemeClr val="dk1"/>
              </a:solidFill>
              <a:effectLst/>
              <a:latin typeface="Century Gothic" panose="020B0502020202020204" pitchFamily="34" charset="0"/>
              <a:ea typeface="+mn-ea"/>
              <a:cs typeface="+mn-cs"/>
            </a:rPr>
            <a:t>WEE COMMUNITY DEVELOPERS, INC.</a:t>
          </a:r>
          <a:r>
            <a:rPr lang="en-PH" sz="750">
              <a:solidFill>
                <a:schemeClr val="dk1"/>
              </a:solidFill>
              <a:effectLst/>
              <a:latin typeface="Century Gothic" panose="020B0502020202020204" pitchFamily="34" charset="0"/>
              <a:ea typeface="+mn-ea"/>
              <a:cs typeface="+mn-cs"/>
            </a:rPr>
            <a:t> shall have the right to automatically cancel my/our reservation without further notice and without need of judicial rescission and to forfeit as liquidated damages my/our reservation fee and whatever other payments I/We have made, with any and all rights to the unit(s) considered waived by me/us in favor </a:t>
          </a:r>
          <a:r>
            <a:rPr lang="en-PH" sz="750" b="1">
              <a:solidFill>
                <a:schemeClr val="dk1"/>
              </a:solidFill>
              <a:effectLst/>
              <a:latin typeface="Century Gothic" panose="020B0502020202020204" pitchFamily="34" charset="0"/>
              <a:ea typeface="+mn-ea"/>
              <a:cs typeface="+mn-cs"/>
            </a:rPr>
            <a:t>of WEE COMMUNITY DEVELOPERS, INC.</a:t>
          </a:r>
          <a:r>
            <a:rPr lang="en-PH" sz="750">
              <a:solidFill>
                <a:schemeClr val="dk1"/>
              </a:solidFill>
              <a:effectLst/>
              <a:latin typeface="Century Gothic" panose="020B0502020202020204" pitchFamily="34" charset="0"/>
              <a:ea typeface="+mn-ea"/>
              <a:cs typeface="+mn-cs"/>
            </a:rPr>
            <a:t>, in the event of any of the following:</a:t>
          </a:r>
        </a:p>
        <a:p>
          <a:pPr algn="just"/>
          <a:r>
            <a:rPr lang="en-PH" sz="750">
              <a:solidFill>
                <a:schemeClr val="dk1"/>
              </a:solidFill>
              <a:effectLst/>
              <a:latin typeface="Century Gothic" panose="020B0502020202020204" pitchFamily="34" charset="0"/>
              <a:ea typeface="+mn-ea"/>
              <a:cs typeface="+mn-cs"/>
            </a:rPr>
            <a:t> </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undergo Counseling within Fifteen (15) days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submit complete documentary requirements under Annex B within Thirty (30) days for the locally employed and Sixty (60) days for OFW’s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pay the first equity payment within thirty (30) days from payment of Reservation Fee;</a:t>
          </a:r>
        </a:p>
        <a:p>
          <a:pPr algn="just"/>
          <a:endParaRPr lang="en-PH" sz="750">
            <a:latin typeface="Century Gothic" panose="020B0502020202020204" pitchFamily="34" charset="0"/>
          </a:endParaRPr>
        </a:p>
      </xdr:txBody>
    </xdr:sp>
    <xdr:clientData/>
  </xdr:oneCellAnchor>
  <mc:AlternateContent xmlns:mc="http://schemas.openxmlformats.org/markup-compatibility/2006">
    <mc:Choice xmlns:a14="http://schemas.microsoft.com/office/drawing/2010/main" Requires="a14">
      <xdr:twoCellAnchor editAs="oneCell">
        <xdr:from>
          <xdr:col>0</xdr:col>
          <xdr:colOff>114300</xdr:colOff>
          <xdr:row>89</xdr:row>
          <xdr:rowOff>19050</xdr:rowOff>
        </xdr:from>
        <xdr:to>
          <xdr:col>2</xdr:col>
          <xdr:colOff>57150</xdr:colOff>
          <xdr:row>90</xdr:row>
          <xdr:rowOff>28575</xdr:rowOff>
        </xdr:to>
        <xdr:sp macro="" textlink="">
          <xdr:nvSpPr>
            <xdr:cNvPr id="66573" name="Check Box 13" hidden="1">
              <a:extLst>
                <a:ext uri="{63B3BB69-23CF-44E3-9099-C40C66FF867C}">
                  <a14:compatExt spid="_x0000_s66573"/>
                </a:ext>
                <a:ext uri="{FF2B5EF4-FFF2-40B4-BE49-F238E27FC236}">
                  <a16:creationId xmlns:a16="http://schemas.microsoft.com/office/drawing/2014/main" id="{00000000-0008-0000-0B00-00000D0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114300</xdr:colOff>
          <xdr:row>89</xdr:row>
          <xdr:rowOff>209550</xdr:rowOff>
        </xdr:from>
        <xdr:to>
          <xdr:col>2</xdr:col>
          <xdr:colOff>57150</xdr:colOff>
          <xdr:row>91</xdr:row>
          <xdr:rowOff>19050</xdr:rowOff>
        </xdr:to>
        <xdr:sp macro="" textlink="">
          <xdr:nvSpPr>
            <xdr:cNvPr id="66574" name="Check Box 14" hidden="1">
              <a:extLst>
                <a:ext uri="{63B3BB69-23CF-44E3-9099-C40C66FF867C}">
                  <a14:compatExt spid="_x0000_s66574"/>
                </a:ext>
                <a:ext uri="{FF2B5EF4-FFF2-40B4-BE49-F238E27FC236}">
                  <a16:creationId xmlns:a16="http://schemas.microsoft.com/office/drawing/2014/main" id="{00000000-0008-0000-0B00-00000E0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89</xdr:row>
          <xdr:rowOff>0</xdr:rowOff>
        </xdr:from>
        <xdr:to>
          <xdr:col>10</xdr:col>
          <xdr:colOff>38100</xdr:colOff>
          <xdr:row>90</xdr:row>
          <xdr:rowOff>19050</xdr:rowOff>
        </xdr:to>
        <xdr:sp macro="" textlink="">
          <xdr:nvSpPr>
            <xdr:cNvPr id="66575" name="Check Box 15" hidden="1">
              <a:extLst>
                <a:ext uri="{63B3BB69-23CF-44E3-9099-C40C66FF867C}">
                  <a14:compatExt spid="_x0000_s66575"/>
                </a:ext>
                <a:ext uri="{FF2B5EF4-FFF2-40B4-BE49-F238E27FC236}">
                  <a16:creationId xmlns:a16="http://schemas.microsoft.com/office/drawing/2014/main" id="{00000000-0008-0000-0B00-00000F0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89</xdr:row>
          <xdr:rowOff>190500</xdr:rowOff>
        </xdr:from>
        <xdr:to>
          <xdr:col>10</xdr:col>
          <xdr:colOff>38100</xdr:colOff>
          <xdr:row>91</xdr:row>
          <xdr:rowOff>0</xdr:rowOff>
        </xdr:to>
        <xdr:sp macro="" textlink="">
          <xdr:nvSpPr>
            <xdr:cNvPr id="66576" name="Check Box 16" hidden="1">
              <a:extLst>
                <a:ext uri="{63B3BB69-23CF-44E3-9099-C40C66FF867C}">
                  <a14:compatExt spid="_x0000_s66576"/>
                </a:ext>
                <a:ext uri="{FF2B5EF4-FFF2-40B4-BE49-F238E27FC236}">
                  <a16:creationId xmlns:a16="http://schemas.microsoft.com/office/drawing/2014/main" id="{00000000-0008-0000-0B00-0000100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171450</xdr:colOff>
          <xdr:row>89</xdr:row>
          <xdr:rowOff>0</xdr:rowOff>
        </xdr:from>
        <xdr:to>
          <xdr:col>17</xdr:col>
          <xdr:colOff>28575</xdr:colOff>
          <xdr:row>90</xdr:row>
          <xdr:rowOff>19050</xdr:rowOff>
        </xdr:to>
        <xdr:sp macro="" textlink="">
          <xdr:nvSpPr>
            <xdr:cNvPr id="66577" name="Check Box 17" hidden="1">
              <a:extLst>
                <a:ext uri="{63B3BB69-23CF-44E3-9099-C40C66FF867C}">
                  <a14:compatExt spid="_x0000_s66577"/>
                </a:ext>
                <a:ext uri="{FF2B5EF4-FFF2-40B4-BE49-F238E27FC236}">
                  <a16:creationId xmlns:a16="http://schemas.microsoft.com/office/drawing/2014/main" id="{00000000-0008-0000-0B00-0000110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171450</xdr:colOff>
          <xdr:row>89</xdr:row>
          <xdr:rowOff>190500</xdr:rowOff>
        </xdr:from>
        <xdr:to>
          <xdr:col>17</xdr:col>
          <xdr:colOff>28575</xdr:colOff>
          <xdr:row>91</xdr:row>
          <xdr:rowOff>0</xdr:rowOff>
        </xdr:to>
        <xdr:sp macro="" textlink="">
          <xdr:nvSpPr>
            <xdr:cNvPr id="66578" name="Check Box 18" hidden="1">
              <a:extLst>
                <a:ext uri="{63B3BB69-23CF-44E3-9099-C40C66FF867C}">
                  <a14:compatExt spid="_x0000_s66578"/>
                </a:ext>
                <a:ext uri="{FF2B5EF4-FFF2-40B4-BE49-F238E27FC236}">
                  <a16:creationId xmlns:a16="http://schemas.microsoft.com/office/drawing/2014/main" id="{00000000-0008-0000-0B00-0000120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171450</xdr:colOff>
          <xdr:row>91</xdr:row>
          <xdr:rowOff>0</xdr:rowOff>
        </xdr:from>
        <xdr:to>
          <xdr:col>17</xdr:col>
          <xdr:colOff>28575</xdr:colOff>
          <xdr:row>92</xdr:row>
          <xdr:rowOff>19050</xdr:rowOff>
        </xdr:to>
        <xdr:sp macro="" textlink="">
          <xdr:nvSpPr>
            <xdr:cNvPr id="66579" name="Check Box 19" hidden="1">
              <a:extLst>
                <a:ext uri="{63B3BB69-23CF-44E3-9099-C40C66FF867C}">
                  <a14:compatExt spid="_x0000_s66579"/>
                </a:ext>
                <a:ext uri="{FF2B5EF4-FFF2-40B4-BE49-F238E27FC236}">
                  <a16:creationId xmlns:a16="http://schemas.microsoft.com/office/drawing/2014/main" id="{00000000-0008-0000-0B00-0000130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0</xdr:colOff>
      <xdr:row>103</xdr:row>
      <xdr:rowOff>0</xdr:rowOff>
    </xdr:from>
    <xdr:to>
      <xdr:col>20</xdr:col>
      <xdr:colOff>110573</xdr:colOff>
      <xdr:row>112</xdr:row>
      <xdr:rowOff>0</xdr:rowOff>
    </xdr:to>
    <xdr:sp macro="" textlink="">
      <xdr:nvSpPr>
        <xdr:cNvPr id="23" name="TextBox 22">
          <a:extLst>
            <a:ext uri="{FF2B5EF4-FFF2-40B4-BE49-F238E27FC236}">
              <a16:creationId xmlns:a16="http://schemas.microsoft.com/office/drawing/2014/main" id="{00000000-0008-0000-0B00-000017000000}"/>
            </a:ext>
          </a:extLst>
        </xdr:cNvPr>
        <xdr:cNvSpPr txBox="1"/>
      </xdr:nvSpPr>
      <xdr:spPr>
        <a:xfrm>
          <a:off x="0" y="18611022"/>
          <a:ext cx="7705725" cy="186358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PH" sz="750">
              <a:solidFill>
                <a:schemeClr val="dk1"/>
              </a:solidFill>
              <a:effectLst/>
              <a:latin typeface="Century Gothic" panose="020B0502020202020204" pitchFamily="34" charset="0"/>
              <a:ea typeface="+mn-ea"/>
              <a:cs typeface="+mn-cs"/>
            </a:rPr>
            <a:t>By signing this Reservation Agreement, I hereby consent to the collection, processing, disclosure and storage of my personal data and information in compliance with the Data Privacy Act of 2012, and its Implementing Rules and Regulations (IRR), by </a:t>
          </a:r>
          <a:r>
            <a:rPr lang="en-PH" sz="750" b="1">
              <a:solidFill>
                <a:schemeClr val="dk1"/>
              </a:solidFill>
              <a:effectLst/>
              <a:latin typeface="Century Gothic" panose="020B0502020202020204" pitchFamily="34" charset="0"/>
              <a:ea typeface="+mn-ea"/>
              <a:cs typeface="+mn-cs"/>
            </a:rPr>
            <a:t>WEE COMMUNITY DEVELOPERS, INC</a:t>
          </a:r>
          <a:r>
            <a:rPr lang="en-PH" sz="750">
              <a:solidFill>
                <a:schemeClr val="dk1"/>
              </a:solidFill>
              <a:effectLst/>
              <a:latin typeface="Century Gothic" panose="020B0502020202020204" pitchFamily="34" charset="0"/>
              <a:ea typeface="+mn-ea"/>
              <a:cs typeface="+mn-cs"/>
            </a:rPr>
            <a:t>. (the “Company”).</a:t>
          </a:r>
        </a:p>
        <a:p>
          <a:pPr algn="just"/>
          <a:endParaRPr lang="en-PH" sz="750">
            <a:solidFill>
              <a:schemeClr val="dk1"/>
            </a:solidFill>
            <a:effectLst/>
            <a:latin typeface="Century Gothic" panose="020B0502020202020204" pitchFamily="34" charset="0"/>
            <a:ea typeface="+mn-ea"/>
            <a:cs typeface="+mn-cs"/>
          </a:endParaRPr>
        </a:p>
        <a:p>
          <a:pPr algn="just"/>
          <a:r>
            <a:rPr lang="en-PH" sz="750">
              <a:solidFill>
                <a:schemeClr val="dk1"/>
              </a:solidFill>
              <a:effectLst/>
              <a:latin typeface="Century Gothic" panose="020B0502020202020204" pitchFamily="34" charset="0"/>
              <a:ea typeface="+mn-ea"/>
              <a:cs typeface="+mn-cs"/>
            </a:rPr>
            <a:t>As such, I hereby authorize the Company to: </a:t>
          </a:r>
          <a:r>
            <a:rPr lang="en-PH" sz="750" b="1">
              <a:solidFill>
                <a:schemeClr val="dk1"/>
              </a:solidFill>
              <a:effectLst/>
              <a:latin typeface="Century Gothic" panose="020B0502020202020204" pitchFamily="34" charset="0"/>
              <a:ea typeface="+mn-ea"/>
              <a:cs typeface="+mn-cs"/>
            </a:rPr>
            <a:t>(1)</a:t>
          </a:r>
          <a:r>
            <a:rPr lang="en-PH" sz="750">
              <a:solidFill>
                <a:schemeClr val="dk1"/>
              </a:solidFill>
              <a:effectLst/>
              <a:latin typeface="Century Gothic" panose="020B0502020202020204" pitchFamily="34" charset="0"/>
              <a:ea typeface="+mn-ea"/>
              <a:cs typeface="+mn-cs"/>
            </a:rPr>
            <a:t> use my personal information in all documents and forms requiring such information in relation to all transactions for which this Agreement is entered into; </a:t>
          </a:r>
          <a:r>
            <a:rPr lang="en-PH" sz="750" b="1">
              <a:solidFill>
                <a:schemeClr val="dk1"/>
              </a:solidFill>
              <a:effectLst/>
              <a:latin typeface="Century Gothic" panose="020B0502020202020204" pitchFamily="34" charset="0"/>
              <a:ea typeface="+mn-ea"/>
              <a:cs typeface="+mn-cs"/>
            </a:rPr>
            <a:t>(2)</a:t>
          </a:r>
          <a:r>
            <a:rPr lang="en-PH" sz="750">
              <a:solidFill>
                <a:schemeClr val="dk1"/>
              </a:solidFill>
              <a:effectLst/>
              <a:latin typeface="Century Gothic" panose="020B0502020202020204" pitchFamily="34" charset="0"/>
              <a:ea typeface="+mn-ea"/>
              <a:cs typeface="+mn-cs"/>
            </a:rPr>
            <a:t> share/disclose my personal information, subject to such limitations as may be provided for by law, to the extent necessary to enforce this Agreement or for other legitimate business purpose; and </a:t>
          </a:r>
          <a:r>
            <a:rPr lang="en-PH" sz="750" b="1">
              <a:solidFill>
                <a:schemeClr val="dk1"/>
              </a:solidFill>
              <a:effectLst/>
              <a:latin typeface="Century Gothic" panose="020B0502020202020204" pitchFamily="34" charset="0"/>
              <a:ea typeface="+mn-ea"/>
              <a:cs typeface="+mn-cs"/>
            </a:rPr>
            <a:t>(3)</a:t>
          </a:r>
          <a:r>
            <a:rPr lang="en-PH" sz="750">
              <a:solidFill>
                <a:schemeClr val="dk1"/>
              </a:solidFill>
              <a:effectLst/>
              <a:latin typeface="Century Gothic" panose="020B0502020202020204" pitchFamily="34" charset="0"/>
              <a:ea typeface="+mn-ea"/>
              <a:cs typeface="+mn-cs"/>
            </a:rPr>
            <a:t> retain my information for a reasonable period of time from the date all transactions relating to this Agreement have been either consummated or terminated for any reason whatsoever, subject to all my rights guaranteed under Section 16 of the Data Privacy Act of 2012. Pursuant to Republic Act No. 9160 otherwise known as the Anti-Money Laundering Act of 2001 dated 20 September 2001 as amended by Republic Act No. 11521 dated 29 January 2021, upon my signing of this Agreement, I agree and thereby expressly give my consent to the Company’s procedural</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reporting of pertinent details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the AMLA Committee should the provisions of the law require them</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disclose any of the information I provided herein, by virtue of the Company’s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exercise of due diligence required of them by law. I shall not hold the Company liable and shall be protected against Republic Act No. 10173 or the Data Privacy Act of 2012 dated 12 July 2012 by doing so.</a:t>
          </a:r>
        </a:p>
        <a:p>
          <a:pPr algn="just"/>
          <a:endParaRPr lang="en-PH" sz="750">
            <a:effectLst/>
            <a:latin typeface="Century Gothic" panose="020B0502020202020204" pitchFamily="34" charset="0"/>
          </a:endParaRPr>
        </a:p>
        <a:p>
          <a:pPr algn="just"/>
          <a:r>
            <a:rPr lang="en-PH" sz="750">
              <a:solidFill>
                <a:schemeClr val="dk1"/>
              </a:solidFill>
              <a:effectLst/>
              <a:latin typeface="Century Gothic" panose="020B0502020202020204" pitchFamily="34" charset="0"/>
              <a:ea typeface="+mn-ea"/>
              <a:cs typeface="+mn-cs"/>
            </a:rPr>
            <a:t>In view of the foregoing, I further certify that all information I have provided to the Company are, to the best of my knowledge, true and correct, and hold the Company free and harmless from any action or claim for damages in relation to the consent hereby given.</a:t>
          </a:r>
        </a:p>
        <a:p>
          <a:pPr algn="just"/>
          <a:endParaRPr lang="en-PH" sz="1100"/>
        </a:p>
      </xdr:txBody>
    </xdr:sp>
    <xdr:clientData/>
  </xdr:twoCellAnchor>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11</xdr:col>
          <xdr:colOff>304800</xdr:colOff>
          <xdr:row>7</xdr:row>
          <xdr:rowOff>209550</xdr:rowOff>
        </xdr:from>
        <xdr:to>
          <xdr:col>14</xdr:col>
          <xdr:colOff>171450</xdr:colOff>
          <xdr:row>9</xdr:row>
          <xdr:rowOff>0</xdr:rowOff>
        </xdr:to>
        <xdr:sp macro="" textlink="">
          <xdr:nvSpPr>
            <xdr:cNvPr id="91137" name="Check Box 1" hidden="1">
              <a:extLst>
                <a:ext uri="{63B3BB69-23CF-44E3-9099-C40C66FF867C}">
                  <a14:compatExt spid="_x0000_s91137"/>
                </a:ext>
                <a:ext uri="{FF2B5EF4-FFF2-40B4-BE49-F238E27FC236}">
                  <a16:creationId xmlns:a16="http://schemas.microsoft.com/office/drawing/2014/main" id="{00000000-0008-0000-0D00-0000016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PH" sz="800" b="0" i="0" u="none" strike="noStrike" baseline="0">
                  <a:solidFill>
                    <a:srgbClr val="000000"/>
                  </a:solidFill>
                  <a:latin typeface="Segoe UI"/>
                  <a:cs typeface="Segoe UI"/>
                </a:rPr>
                <a:t>Townhouse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304800</xdr:colOff>
          <xdr:row>9</xdr:row>
          <xdr:rowOff>0</xdr:rowOff>
        </xdr:from>
        <xdr:to>
          <xdr:col>14</xdr:col>
          <xdr:colOff>171450</xdr:colOff>
          <xdr:row>10</xdr:row>
          <xdr:rowOff>0</xdr:rowOff>
        </xdr:to>
        <xdr:sp macro="" textlink="">
          <xdr:nvSpPr>
            <xdr:cNvPr id="91138" name="Check Box 2" hidden="1">
              <a:extLst>
                <a:ext uri="{63B3BB69-23CF-44E3-9099-C40C66FF867C}">
                  <a14:compatExt spid="_x0000_s91138"/>
                </a:ext>
                <a:ext uri="{FF2B5EF4-FFF2-40B4-BE49-F238E27FC236}">
                  <a16:creationId xmlns:a16="http://schemas.microsoft.com/office/drawing/2014/main" id="{00000000-0008-0000-0D00-0000026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PH" sz="800" b="0" i="0" u="none" strike="noStrike" baseline="0">
                  <a:solidFill>
                    <a:srgbClr val="000000"/>
                  </a:solidFill>
                  <a:latin typeface="Segoe UI"/>
                  <a:cs typeface="Segoe UI"/>
                </a:rPr>
                <a:t>Commercial / Office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57150</xdr:colOff>
          <xdr:row>8</xdr:row>
          <xdr:rowOff>19050</xdr:rowOff>
        </xdr:from>
        <xdr:to>
          <xdr:col>8</xdr:col>
          <xdr:colOff>285750</xdr:colOff>
          <xdr:row>9</xdr:row>
          <xdr:rowOff>19050</xdr:rowOff>
        </xdr:to>
        <xdr:sp macro="" textlink="">
          <xdr:nvSpPr>
            <xdr:cNvPr id="91139" name="Check Box 3" hidden="1">
              <a:extLst>
                <a:ext uri="{63B3BB69-23CF-44E3-9099-C40C66FF867C}">
                  <a14:compatExt spid="_x0000_s91139"/>
                </a:ext>
                <a:ext uri="{FF2B5EF4-FFF2-40B4-BE49-F238E27FC236}">
                  <a16:creationId xmlns:a16="http://schemas.microsoft.com/office/drawing/2014/main" id="{00000000-0008-0000-0D00-0000036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PH" sz="800" b="0" i="0" u="none" strike="noStrike" baseline="0">
                  <a:solidFill>
                    <a:srgbClr val="000000"/>
                  </a:solidFill>
                  <a:latin typeface="Segoe UI"/>
                  <a:cs typeface="Segoe UI"/>
                </a:rPr>
                <a:t>Residential Condominium</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57150</xdr:colOff>
          <xdr:row>8</xdr:row>
          <xdr:rowOff>209550</xdr:rowOff>
        </xdr:from>
        <xdr:to>
          <xdr:col>8</xdr:col>
          <xdr:colOff>285750</xdr:colOff>
          <xdr:row>10</xdr:row>
          <xdr:rowOff>0</xdr:rowOff>
        </xdr:to>
        <xdr:sp macro="" textlink="">
          <xdr:nvSpPr>
            <xdr:cNvPr id="91140" name="Check Box 4" hidden="1">
              <a:extLst>
                <a:ext uri="{63B3BB69-23CF-44E3-9099-C40C66FF867C}">
                  <a14:compatExt spid="_x0000_s91140"/>
                </a:ext>
                <a:ext uri="{FF2B5EF4-FFF2-40B4-BE49-F238E27FC236}">
                  <a16:creationId xmlns:a16="http://schemas.microsoft.com/office/drawing/2014/main" id="{00000000-0008-0000-0D00-0000046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PH" sz="800" b="0" i="0" u="none" strike="noStrike" baseline="0">
                  <a:solidFill>
                    <a:srgbClr val="000000"/>
                  </a:solidFill>
                  <a:latin typeface="Segoe UI"/>
                  <a:cs typeface="Segoe UI"/>
                </a:rPr>
                <a:t>House and Lot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476250</xdr:colOff>
          <xdr:row>8</xdr:row>
          <xdr:rowOff>0</xdr:rowOff>
        </xdr:from>
        <xdr:to>
          <xdr:col>19</xdr:col>
          <xdr:colOff>180975</xdr:colOff>
          <xdr:row>9</xdr:row>
          <xdr:rowOff>0</xdr:rowOff>
        </xdr:to>
        <xdr:sp macro="" textlink="">
          <xdr:nvSpPr>
            <xdr:cNvPr id="91141" name="Check Box 5" hidden="1">
              <a:extLst>
                <a:ext uri="{63B3BB69-23CF-44E3-9099-C40C66FF867C}">
                  <a14:compatExt spid="_x0000_s91141"/>
                </a:ext>
                <a:ext uri="{FF2B5EF4-FFF2-40B4-BE49-F238E27FC236}">
                  <a16:creationId xmlns:a16="http://schemas.microsoft.com/office/drawing/2014/main" id="{00000000-0008-0000-0D00-0000056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PH" sz="800" b="0" i="0" u="none" strike="noStrike" baseline="0">
                  <a:solidFill>
                    <a:srgbClr val="000000"/>
                  </a:solidFill>
                  <a:latin typeface="Segoe UI"/>
                  <a:cs typeface="Segoe UI"/>
                </a:rPr>
                <a:t>Parking Slot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476250</xdr:colOff>
          <xdr:row>9</xdr:row>
          <xdr:rowOff>0</xdr:rowOff>
        </xdr:from>
        <xdr:to>
          <xdr:col>19</xdr:col>
          <xdr:colOff>180975</xdr:colOff>
          <xdr:row>10</xdr:row>
          <xdr:rowOff>0</xdr:rowOff>
        </xdr:to>
        <xdr:sp macro="" textlink="">
          <xdr:nvSpPr>
            <xdr:cNvPr id="91142" name="Check Box 6" hidden="1">
              <a:extLst>
                <a:ext uri="{63B3BB69-23CF-44E3-9099-C40C66FF867C}">
                  <a14:compatExt spid="_x0000_s91142"/>
                </a:ext>
                <a:ext uri="{FF2B5EF4-FFF2-40B4-BE49-F238E27FC236}">
                  <a16:creationId xmlns:a16="http://schemas.microsoft.com/office/drawing/2014/main" id="{00000000-0008-0000-0D00-0000066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PH" sz="800" b="0" i="0" u="none" strike="noStrike" baseline="0">
                  <a:solidFill>
                    <a:srgbClr val="000000"/>
                  </a:solidFill>
                  <a:latin typeface="Segoe UI"/>
                  <a:cs typeface="Segoe UI"/>
                </a:rPr>
                <a:t>Lot only</a:t>
              </a:r>
            </a:p>
          </xdr:txBody>
        </xdr:sp>
        <xdr:clientData/>
      </xdr:twoCellAnchor>
    </mc:Choice>
    <mc:Fallback/>
  </mc:AlternateContent>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38100</xdr:colOff>
          <xdr:row>36</xdr:row>
          <xdr:rowOff>19050</xdr:rowOff>
        </xdr:from>
        <xdr:to>
          <xdr:col>2</xdr:col>
          <xdr:colOff>285750</xdr:colOff>
          <xdr:row>37</xdr:row>
          <xdr:rowOff>19050</xdr:rowOff>
        </xdr:to>
        <xdr:sp macro="" textlink="">
          <xdr:nvSpPr>
            <xdr:cNvPr id="16397" name="Check Box 13" hidden="1">
              <a:extLst>
                <a:ext uri="{63B3BB69-23CF-44E3-9099-C40C66FF867C}">
                  <a14:compatExt spid="_x0000_s16397"/>
                </a:ext>
                <a:ext uri="{FF2B5EF4-FFF2-40B4-BE49-F238E27FC236}">
                  <a16:creationId xmlns:a16="http://schemas.microsoft.com/office/drawing/2014/main" id="{00000000-0008-0000-0E00-00000D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66675</xdr:colOff>
          <xdr:row>36</xdr:row>
          <xdr:rowOff>0</xdr:rowOff>
        </xdr:from>
        <xdr:to>
          <xdr:col>12</xdr:col>
          <xdr:colOff>0</xdr:colOff>
          <xdr:row>37</xdr:row>
          <xdr:rowOff>19050</xdr:rowOff>
        </xdr:to>
        <xdr:sp macro="" textlink="">
          <xdr:nvSpPr>
            <xdr:cNvPr id="16399" name="Check Box 15" hidden="1">
              <a:extLst>
                <a:ext uri="{63B3BB69-23CF-44E3-9099-C40C66FF867C}">
                  <a14:compatExt spid="_x0000_s16399"/>
                </a:ext>
                <a:ext uri="{FF2B5EF4-FFF2-40B4-BE49-F238E27FC236}">
                  <a16:creationId xmlns:a16="http://schemas.microsoft.com/office/drawing/2014/main" id="{00000000-0008-0000-0E00-00000F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257175</xdr:colOff>
          <xdr:row>17</xdr:row>
          <xdr:rowOff>0</xdr:rowOff>
        </xdr:from>
        <xdr:to>
          <xdr:col>3</xdr:col>
          <xdr:colOff>95250</xdr:colOff>
          <xdr:row>18</xdr:row>
          <xdr:rowOff>19050</xdr:rowOff>
        </xdr:to>
        <xdr:sp macro="" textlink="">
          <xdr:nvSpPr>
            <xdr:cNvPr id="16400" name="Check Box 16" hidden="1">
              <a:extLst>
                <a:ext uri="{63B3BB69-23CF-44E3-9099-C40C66FF867C}">
                  <a14:compatExt spid="_x0000_s16400"/>
                </a:ext>
                <a:ext uri="{FF2B5EF4-FFF2-40B4-BE49-F238E27FC236}">
                  <a16:creationId xmlns:a16="http://schemas.microsoft.com/office/drawing/2014/main" id="{00000000-0008-0000-0E00-000010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257175</xdr:colOff>
          <xdr:row>16</xdr:row>
          <xdr:rowOff>19050</xdr:rowOff>
        </xdr:from>
        <xdr:to>
          <xdr:col>3</xdr:col>
          <xdr:colOff>95250</xdr:colOff>
          <xdr:row>17</xdr:row>
          <xdr:rowOff>19050</xdr:rowOff>
        </xdr:to>
        <xdr:sp macro="" textlink="">
          <xdr:nvSpPr>
            <xdr:cNvPr id="16401" name="Check Box 17" hidden="1">
              <a:extLst>
                <a:ext uri="{63B3BB69-23CF-44E3-9099-C40C66FF867C}">
                  <a14:compatExt spid="_x0000_s16401"/>
                </a:ext>
                <a:ext uri="{FF2B5EF4-FFF2-40B4-BE49-F238E27FC236}">
                  <a16:creationId xmlns:a16="http://schemas.microsoft.com/office/drawing/2014/main" id="{00000000-0008-0000-0E00-000011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133350</xdr:colOff>
          <xdr:row>16</xdr:row>
          <xdr:rowOff>209550</xdr:rowOff>
        </xdr:from>
        <xdr:to>
          <xdr:col>11</xdr:col>
          <xdr:colOff>28575</xdr:colOff>
          <xdr:row>18</xdr:row>
          <xdr:rowOff>0</xdr:rowOff>
        </xdr:to>
        <xdr:sp macro="" textlink="">
          <xdr:nvSpPr>
            <xdr:cNvPr id="16402" name="Check Box 18" hidden="1">
              <a:extLst>
                <a:ext uri="{63B3BB69-23CF-44E3-9099-C40C66FF867C}">
                  <a14:compatExt spid="_x0000_s16402"/>
                </a:ext>
                <a:ext uri="{FF2B5EF4-FFF2-40B4-BE49-F238E27FC236}">
                  <a16:creationId xmlns:a16="http://schemas.microsoft.com/office/drawing/2014/main" id="{00000000-0008-0000-0E00-000012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133350</xdr:colOff>
          <xdr:row>16</xdr:row>
          <xdr:rowOff>0</xdr:rowOff>
        </xdr:from>
        <xdr:to>
          <xdr:col>11</xdr:col>
          <xdr:colOff>28575</xdr:colOff>
          <xdr:row>17</xdr:row>
          <xdr:rowOff>19050</xdr:rowOff>
        </xdr:to>
        <xdr:sp macro="" textlink="">
          <xdr:nvSpPr>
            <xdr:cNvPr id="16403" name="Check Box 19" hidden="1">
              <a:extLst>
                <a:ext uri="{63B3BB69-23CF-44E3-9099-C40C66FF867C}">
                  <a14:compatExt spid="_x0000_s16403"/>
                </a:ext>
                <a:ext uri="{FF2B5EF4-FFF2-40B4-BE49-F238E27FC236}">
                  <a16:creationId xmlns:a16="http://schemas.microsoft.com/office/drawing/2014/main" id="{00000000-0008-0000-0E00-000013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19050</xdr:rowOff>
        </xdr:from>
        <xdr:to>
          <xdr:col>19</xdr:col>
          <xdr:colOff>19050</xdr:colOff>
          <xdr:row>17</xdr:row>
          <xdr:rowOff>19050</xdr:rowOff>
        </xdr:to>
        <xdr:sp macro="" textlink="">
          <xdr:nvSpPr>
            <xdr:cNvPr id="16404" name="Check Box 20" hidden="1">
              <a:extLst>
                <a:ext uri="{63B3BB69-23CF-44E3-9099-C40C66FF867C}">
                  <a14:compatExt spid="_x0000_s16404"/>
                </a:ext>
                <a:ext uri="{FF2B5EF4-FFF2-40B4-BE49-F238E27FC236}">
                  <a16:creationId xmlns:a16="http://schemas.microsoft.com/office/drawing/2014/main" id="{00000000-0008-0000-0E00-000014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95250</xdr:colOff>
          <xdr:row>88</xdr:row>
          <xdr:rowOff>76200</xdr:rowOff>
        </xdr:from>
        <xdr:to>
          <xdr:col>2</xdr:col>
          <xdr:colOff>19050</xdr:colOff>
          <xdr:row>90</xdr:row>
          <xdr:rowOff>0</xdr:rowOff>
        </xdr:to>
        <xdr:sp macro="" textlink="">
          <xdr:nvSpPr>
            <xdr:cNvPr id="16405" name="Check Box 21" hidden="1">
              <a:extLst>
                <a:ext uri="{63B3BB69-23CF-44E3-9099-C40C66FF867C}">
                  <a14:compatExt spid="_x0000_s16405"/>
                </a:ext>
                <a:ext uri="{FF2B5EF4-FFF2-40B4-BE49-F238E27FC236}">
                  <a16:creationId xmlns:a16="http://schemas.microsoft.com/office/drawing/2014/main" id="{00000000-0008-0000-0E00-000015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400050</xdr:colOff>
          <xdr:row>89</xdr:row>
          <xdr:rowOff>0</xdr:rowOff>
        </xdr:from>
        <xdr:to>
          <xdr:col>9</xdr:col>
          <xdr:colOff>209550</xdr:colOff>
          <xdr:row>90</xdr:row>
          <xdr:rowOff>19050</xdr:rowOff>
        </xdr:to>
        <xdr:sp macro="" textlink="">
          <xdr:nvSpPr>
            <xdr:cNvPr id="16406" name="Check Box 22" hidden="1">
              <a:extLst>
                <a:ext uri="{63B3BB69-23CF-44E3-9099-C40C66FF867C}">
                  <a14:compatExt spid="_x0000_s16406"/>
                </a:ext>
                <a:ext uri="{FF2B5EF4-FFF2-40B4-BE49-F238E27FC236}">
                  <a16:creationId xmlns:a16="http://schemas.microsoft.com/office/drawing/2014/main" id="{00000000-0008-0000-0E00-000016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89</xdr:row>
          <xdr:rowOff>0</xdr:rowOff>
        </xdr:from>
        <xdr:to>
          <xdr:col>17</xdr:col>
          <xdr:colOff>0</xdr:colOff>
          <xdr:row>90</xdr:row>
          <xdr:rowOff>19050</xdr:rowOff>
        </xdr:to>
        <xdr:sp macro="" textlink="">
          <xdr:nvSpPr>
            <xdr:cNvPr id="16407" name="Check Box 23" hidden="1">
              <a:extLst>
                <a:ext uri="{63B3BB69-23CF-44E3-9099-C40C66FF867C}">
                  <a14:compatExt spid="_x0000_s16407"/>
                </a:ext>
                <a:ext uri="{FF2B5EF4-FFF2-40B4-BE49-F238E27FC236}">
                  <a16:creationId xmlns:a16="http://schemas.microsoft.com/office/drawing/2014/main" id="{00000000-0008-0000-0E00-000017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209550</xdr:rowOff>
        </xdr:from>
        <xdr:to>
          <xdr:col>19</xdr:col>
          <xdr:colOff>19050</xdr:colOff>
          <xdr:row>18</xdr:row>
          <xdr:rowOff>0</xdr:rowOff>
        </xdr:to>
        <xdr:sp macro="" textlink="">
          <xdr:nvSpPr>
            <xdr:cNvPr id="16408" name="Check Box 24" hidden="1">
              <a:extLst>
                <a:ext uri="{63B3BB69-23CF-44E3-9099-C40C66FF867C}">
                  <a14:compatExt spid="_x0000_s16408"/>
                </a:ext>
                <a:ext uri="{FF2B5EF4-FFF2-40B4-BE49-F238E27FC236}">
                  <a16:creationId xmlns:a16="http://schemas.microsoft.com/office/drawing/2014/main" id="{00000000-0008-0000-0E00-000018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714375</xdr:colOff>
          <xdr:row>36</xdr:row>
          <xdr:rowOff>0</xdr:rowOff>
        </xdr:from>
        <xdr:to>
          <xdr:col>18</xdr:col>
          <xdr:colOff>0</xdr:colOff>
          <xdr:row>37</xdr:row>
          <xdr:rowOff>19050</xdr:rowOff>
        </xdr:to>
        <xdr:sp macro="" textlink="">
          <xdr:nvSpPr>
            <xdr:cNvPr id="16409" name="Check Box 25" hidden="1">
              <a:extLst>
                <a:ext uri="{63B3BB69-23CF-44E3-9099-C40C66FF867C}">
                  <a14:compatExt spid="_x0000_s16409"/>
                </a:ext>
                <a:ext uri="{FF2B5EF4-FFF2-40B4-BE49-F238E27FC236}">
                  <a16:creationId xmlns:a16="http://schemas.microsoft.com/office/drawing/2014/main" id="{00000000-0008-0000-0E00-000019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0</xdr:col>
      <xdr:colOff>0</xdr:colOff>
      <xdr:row>40</xdr:row>
      <xdr:rowOff>142875</xdr:rowOff>
    </xdr:from>
    <xdr:ext cx="7724775" cy="7208184"/>
    <xdr:sp macro="" textlink="">
      <xdr:nvSpPr>
        <xdr:cNvPr id="15" name="TextBox 14">
          <a:extLst>
            <a:ext uri="{FF2B5EF4-FFF2-40B4-BE49-F238E27FC236}">
              <a16:creationId xmlns:a16="http://schemas.microsoft.com/office/drawing/2014/main" id="{00000000-0008-0000-0E00-00000F000000}"/>
            </a:ext>
          </a:extLst>
        </xdr:cNvPr>
        <xdr:cNvSpPr txBox="1"/>
      </xdr:nvSpPr>
      <xdr:spPr>
        <a:xfrm>
          <a:off x="0" y="7975787"/>
          <a:ext cx="7724775" cy="72081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marL="230400" lvl="0" indent="0" algn="just">
            <a:buFontTx/>
            <a:buNone/>
          </a:pPr>
          <a:r>
            <a:rPr lang="en-PH" sz="750">
              <a:solidFill>
                <a:schemeClr val="dk1"/>
              </a:solidFill>
              <a:effectLst/>
              <a:latin typeface="Century Gothic" panose="020B0502020202020204" pitchFamily="34" charset="0"/>
              <a:ea typeface="+mn-ea"/>
              <a:cs typeface="+mn-cs"/>
            </a:rPr>
            <a:t>Reservation Fee, exclusive of VAT, in order to reserve the Property for our intended purchase which shall be effective for a period of thirty (30) days from payment of the Reservation Fee. I understand and acknowledge that the Reservation fee is non-refundable. Should I decide to cancel my reservation; fail to submit all the documentary requirements, including this Reservation Agreement, under the attached Annex B; or fail to pay the amounts due on the due dates prescribed under the attached Annex A, for any reasons whatsoever, I agree that my reservation shall lapse and my Reservation Fee shall be forfeited in favor of the Company. I will hold the company free and harmless for thereafter releasing and offering the Property to other interested buyers.</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2"/>
          </a:pPr>
          <a:r>
            <a:rPr lang="en-PH" sz="750">
              <a:solidFill>
                <a:schemeClr val="dk1"/>
              </a:solidFill>
              <a:effectLst/>
              <a:latin typeface="Century Gothic" panose="020B0502020202020204" pitchFamily="34" charset="0"/>
              <a:ea typeface="+mn-ea"/>
              <a:cs typeface="+mn-cs"/>
            </a:rPr>
            <a:t>I acknowledge that the Company reserves the right to accept or deny this request for reservation and is non- transferable. </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acknowledge that in the event my application to purchase the Property is accepted, the Reservation Fee shall automatically form part of the required down payment. Upon being notified of the acceptance of my offer to purchase the Property, I shall remit, within the period required by the company, the down payment and/or balance, and the complete post-dated cheques, in accordance with the Schedule of Payment (inclusive of VAT and other charges), without need of further demand. Any and all payments made to any individual, realtor, broker, employee or to a party other than the Company for safekeeping in favor of or for transmittal to the Company shall be at my sole and exclusive risk and responsibility, and shall not bind nor make the former answerable in any way thereof unless and until actually received, receipted and validated by the Company’s Cashier or officer duly authorized by the Company. All payments shall be made ONLY through crossed-checks payable to the Company under the corporate name: </a:t>
          </a:r>
          <a:r>
            <a:rPr lang="en-PH" sz="750" b="1">
              <a:solidFill>
                <a:schemeClr val="dk1"/>
              </a:solidFill>
              <a:effectLst/>
              <a:latin typeface="Century Gothic" panose="020B0502020202020204" pitchFamily="34" charset="0"/>
              <a:ea typeface="+mn-ea"/>
              <a:cs typeface="+mn-cs"/>
            </a:rPr>
            <a:t>WEE COMMUNITY DEVELOPERS, INC.</a:t>
          </a:r>
          <a:r>
            <a:rPr lang="en-PH" sz="750">
              <a:solidFill>
                <a:schemeClr val="dk1"/>
              </a:solidFill>
              <a:effectLst/>
              <a:latin typeface="Century Gothic" panose="020B0502020202020204" pitchFamily="34" charset="0"/>
              <a:ea typeface="+mn-ea"/>
              <a:cs typeface="+mn-cs"/>
            </a:rPr>
            <a:t>or cash payable only directly to the Credit and Collection Department of the Company in its Head Office.</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further acknowledge that all payments in relation to this Reservation Agreement shall be made on or before their due dates, without the necessity of any prior notice or demand and whether or not the Contract to Sell has been signed and sent back to the Developer/Company. All overdue payments shall be subject to a penalty equivalent to a rate of 0.001 or 1/1000 of past due amount per day of delay, without prejudice to the right of the Developer/Company to cancel this Reservation Agreement.</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Unless otherwise provided, my Contract to Sell for the Property shall be prepared only after I have submitted to the Company all necessary documents and postdated checks in such amounts and on such dates as are in accordance with the Schedule of Payment. The Contract to Sell shall be executed and signed by me within thirty (30) days from date of receipt of the Contract to Sell. Should I fail to submit the duly signed Contract to Sell within the said period, this Reservation Agreement shall be cancelled.</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understand and agree that this Agreement only gives me the right to purchase the Property subject to the fulfillment of the conditions herein stated. No other right, title, or ownership is vested upon me by the execution of this Agreement. The Company retains title and ownership of the Property until I shall have fully </a:t>
          </a: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0" lvl="0" indent="0" algn="just">
            <a:buFontTx/>
            <a:buNone/>
          </a:pPr>
          <a:r>
            <a:rPr lang="en-PH" sz="750">
              <a:solidFill>
                <a:schemeClr val="dk1"/>
              </a:solidFill>
              <a:effectLst/>
              <a:latin typeface="Century Gothic" panose="020B0502020202020204" pitchFamily="34" charset="0"/>
              <a:ea typeface="+mn-ea"/>
              <a:cs typeface="+mn-cs"/>
            </a:rPr>
            <a:t>        paid all amounts due to the Company for the purchase of the Property.</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In the event that I/we avail ourselves of bank financing to finance the purchase of the subject property, I/we hereby authorize the Company to submit on my/our behalf all available income documents in its possession and my/our personal information to the banks and/or credit investigators (CMAP) for the purpose of loan application pre-assessment. </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further understand that the Total Contract Price indicated herein may vary from the Total Contract Price indicated in the Deed of Absolute Sale due to promos and discounts that may be given to me. In such event, I understand that the Total Contract stated in the Deed of Absolute Sale shall prevail.</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confirm that I have personally inspected the plans and specifications of the Property, studied and verified the Project site and its proximate location and layout of my requested Property and I find the same to be acceptable and satisfactory. I acknowledge that I have independently ascertained and evaluated all materials, facts and technical information related to the purchase of the Property and that I am satisfied with what has been explained to me by the Property Specialist/Broker who assisted me. I further understand that the sizes and/or numbering of the condominium units and parking spaces are subject to adjustments in accordance with the approved building plan or amendments thereon and I agree that the Developer reserves the right to revise architectural and floor plans without my consent.</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hereby authorize the Developer of the Project to organize the Project’s governing homeowner’s association or Condominium Corporation, as applicable.</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CANCELLATION OF RESERVATION. I /We, hereby agree </a:t>
          </a:r>
          <a:r>
            <a:rPr lang="en-PH" sz="750" b="1">
              <a:solidFill>
                <a:schemeClr val="dk1"/>
              </a:solidFill>
              <a:effectLst/>
              <a:latin typeface="Century Gothic" panose="020B0502020202020204" pitchFamily="34" charset="0"/>
              <a:ea typeface="+mn-ea"/>
              <a:cs typeface="+mn-cs"/>
            </a:rPr>
            <a:t>WEE COMMUNITY DEVELOPERS, INC</a:t>
          </a:r>
          <a:r>
            <a:rPr lang="en-PH" sz="750">
              <a:solidFill>
                <a:schemeClr val="dk1"/>
              </a:solidFill>
              <a:effectLst/>
              <a:latin typeface="Century Gothic" panose="020B0502020202020204" pitchFamily="34" charset="0"/>
              <a:ea typeface="+mn-ea"/>
              <a:cs typeface="+mn-cs"/>
            </a:rPr>
            <a:t>. shall have the right to automatically cancel my/our reservation without further notice and without need of judicial rescission and to forfeit as liquidated damages my/our reservation fee and whatever other payments I/We have made, with any and all rights to the unit(s) considered waived by me/us in favor </a:t>
          </a:r>
          <a:r>
            <a:rPr lang="en-PH" sz="750" b="0">
              <a:solidFill>
                <a:schemeClr val="dk1"/>
              </a:solidFill>
              <a:effectLst/>
              <a:latin typeface="Century Gothic" panose="020B0502020202020204" pitchFamily="34" charset="0"/>
              <a:ea typeface="+mn-ea"/>
              <a:cs typeface="+mn-cs"/>
            </a:rPr>
            <a:t>of</a:t>
          </a:r>
          <a:r>
            <a:rPr lang="en-PH" sz="750" b="1">
              <a:solidFill>
                <a:schemeClr val="dk1"/>
              </a:solidFill>
              <a:effectLst/>
              <a:latin typeface="Century Gothic" panose="020B0502020202020204" pitchFamily="34" charset="0"/>
              <a:ea typeface="+mn-ea"/>
              <a:cs typeface="+mn-cs"/>
            </a:rPr>
            <a:t> WEE COMMUNITY DEVELOPERS, INC.,</a:t>
          </a:r>
          <a:r>
            <a:rPr lang="en-PH" sz="750">
              <a:solidFill>
                <a:schemeClr val="dk1"/>
              </a:solidFill>
              <a:effectLst/>
              <a:latin typeface="Century Gothic" panose="020B0502020202020204" pitchFamily="34" charset="0"/>
              <a:ea typeface="+mn-ea"/>
              <a:cs typeface="+mn-cs"/>
            </a:rPr>
            <a:t> in the event of any of the following:</a:t>
          </a:r>
        </a:p>
        <a:p>
          <a:pPr algn="just"/>
          <a:r>
            <a:rPr lang="en-PH" sz="750">
              <a:solidFill>
                <a:schemeClr val="dk1"/>
              </a:solidFill>
              <a:effectLst/>
              <a:latin typeface="Century Gothic" panose="020B0502020202020204" pitchFamily="34" charset="0"/>
              <a:ea typeface="+mn-ea"/>
              <a:cs typeface="+mn-cs"/>
            </a:rPr>
            <a:t> </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undergo Counseling within Fifteen (15) days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submit complete documentary requirements under Annex B within Thirty (30) days for the locally employed and Sixty (60) days for OFW’s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pay the first equity payment within thirty (30) days from payment of Reservation Fee;</a:t>
          </a:r>
        </a:p>
        <a:p>
          <a:pPr algn="just"/>
          <a:endParaRPr lang="en-PH" sz="750">
            <a:latin typeface="Century Gothic" panose="020B0502020202020204" pitchFamily="34" charset="0"/>
          </a:endParaRPr>
        </a:p>
      </xdr:txBody>
    </xdr:sp>
    <xdr:clientData/>
  </xdr:oneCellAnchor>
  <mc:AlternateContent xmlns:mc="http://schemas.openxmlformats.org/markup-compatibility/2006">
    <mc:Choice xmlns:a14="http://schemas.microsoft.com/office/drawing/2010/main" Requires="a14">
      <xdr:twoCellAnchor editAs="oneCell">
        <xdr:from>
          <xdr:col>16</xdr:col>
          <xdr:colOff>171450</xdr:colOff>
          <xdr:row>90</xdr:row>
          <xdr:rowOff>19050</xdr:rowOff>
        </xdr:from>
        <xdr:to>
          <xdr:col>17</xdr:col>
          <xdr:colOff>19050</xdr:colOff>
          <xdr:row>91</xdr:row>
          <xdr:rowOff>28575</xdr:rowOff>
        </xdr:to>
        <xdr:sp macro="" textlink="">
          <xdr:nvSpPr>
            <xdr:cNvPr id="16410" name="Check Box 26" hidden="1">
              <a:extLst>
                <a:ext uri="{63B3BB69-23CF-44E3-9099-C40C66FF867C}">
                  <a14:compatExt spid="_x0000_s16410"/>
                </a:ext>
                <a:ext uri="{FF2B5EF4-FFF2-40B4-BE49-F238E27FC236}">
                  <a16:creationId xmlns:a16="http://schemas.microsoft.com/office/drawing/2014/main" id="{00000000-0008-0000-0E00-00001A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171450</xdr:colOff>
          <xdr:row>91</xdr:row>
          <xdr:rowOff>0</xdr:rowOff>
        </xdr:from>
        <xdr:to>
          <xdr:col>17</xdr:col>
          <xdr:colOff>19050</xdr:colOff>
          <xdr:row>92</xdr:row>
          <xdr:rowOff>19050</xdr:rowOff>
        </xdr:to>
        <xdr:sp macro="" textlink="">
          <xdr:nvSpPr>
            <xdr:cNvPr id="16411" name="Check Box 27" hidden="1">
              <a:extLst>
                <a:ext uri="{63B3BB69-23CF-44E3-9099-C40C66FF867C}">
                  <a14:compatExt spid="_x0000_s16411"/>
                </a:ext>
                <a:ext uri="{FF2B5EF4-FFF2-40B4-BE49-F238E27FC236}">
                  <a16:creationId xmlns:a16="http://schemas.microsoft.com/office/drawing/2014/main" id="{00000000-0008-0000-0E00-00001B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171450</xdr:colOff>
          <xdr:row>91</xdr:row>
          <xdr:rowOff>209550</xdr:rowOff>
        </xdr:from>
        <xdr:to>
          <xdr:col>17</xdr:col>
          <xdr:colOff>19050</xdr:colOff>
          <xdr:row>93</xdr:row>
          <xdr:rowOff>19050</xdr:rowOff>
        </xdr:to>
        <xdr:sp macro="" textlink="">
          <xdr:nvSpPr>
            <xdr:cNvPr id="16412" name="Check Box 28" hidden="1">
              <a:extLst>
                <a:ext uri="{63B3BB69-23CF-44E3-9099-C40C66FF867C}">
                  <a14:compatExt spid="_x0000_s16412"/>
                </a:ext>
                <a:ext uri="{FF2B5EF4-FFF2-40B4-BE49-F238E27FC236}">
                  <a16:creationId xmlns:a16="http://schemas.microsoft.com/office/drawing/2014/main" id="{00000000-0008-0000-0E00-00001C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90</xdr:row>
          <xdr:rowOff>19050</xdr:rowOff>
        </xdr:from>
        <xdr:to>
          <xdr:col>10</xdr:col>
          <xdr:colOff>19050</xdr:colOff>
          <xdr:row>91</xdr:row>
          <xdr:rowOff>28575</xdr:rowOff>
        </xdr:to>
        <xdr:sp macro="" textlink="">
          <xdr:nvSpPr>
            <xdr:cNvPr id="16413" name="Check Box 29" hidden="1">
              <a:extLst>
                <a:ext uri="{63B3BB69-23CF-44E3-9099-C40C66FF867C}">
                  <a14:compatExt spid="_x0000_s16413"/>
                </a:ext>
                <a:ext uri="{FF2B5EF4-FFF2-40B4-BE49-F238E27FC236}">
                  <a16:creationId xmlns:a16="http://schemas.microsoft.com/office/drawing/2014/main" id="{00000000-0008-0000-0E00-00001D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91</xdr:row>
          <xdr:rowOff>0</xdr:rowOff>
        </xdr:from>
        <xdr:to>
          <xdr:col>10</xdr:col>
          <xdr:colOff>19050</xdr:colOff>
          <xdr:row>92</xdr:row>
          <xdr:rowOff>19050</xdr:rowOff>
        </xdr:to>
        <xdr:sp macro="" textlink="">
          <xdr:nvSpPr>
            <xdr:cNvPr id="16414" name="Check Box 30" hidden="1">
              <a:extLst>
                <a:ext uri="{63B3BB69-23CF-44E3-9099-C40C66FF867C}">
                  <a14:compatExt spid="_x0000_s16414"/>
                </a:ext>
                <a:ext uri="{FF2B5EF4-FFF2-40B4-BE49-F238E27FC236}">
                  <a16:creationId xmlns:a16="http://schemas.microsoft.com/office/drawing/2014/main" id="{00000000-0008-0000-0E00-00001E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104775</xdr:colOff>
          <xdr:row>90</xdr:row>
          <xdr:rowOff>19050</xdr:rowOff>
        </xdr:from>
        <xdr:to>
          <xdr:col>2</xdr:col>
          <xdr:colOff>19050</xdr:colOff>
          <xdr:row>91</xdr:row>
          <xdr:rowOff>28575</xdr:rowOff>
        </xdr:to>
        <xdr:sp macro="" textlink="">
          <xdr:nvSpPr>
            <xdr:cNvPr id="16415" name="Check Box 31" hidden="1">
              <a:extLst>
                <a:ext uri="{63B3BB69-23CF-44E3-9099-C40C66FF867C}">
                  <a14:compatExt spid="_x0000_s16415"/>
                </a:ext>
                <a:ext uri="{FF2B5EF4-FFF2-40B4-BE49-F238E27FC236}">
                  <a16:creationId xmlns:a16="http://schemas.microsoft.com/office/drawing/2014/main" id="{00000000-0008-0000-0E00-00001F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104775</xdr:colOff>
          <xdr:row>91</xdr:row>
          <xdr:rowOff>0</xdr:rowOff>
        </xdr:from>
        <xdr:to>
          <xdr:col>2</xdr:col>
          <xdr:colOff>19050</xdr:colOff>
          <xdr:row>92</xdr:row>
          <xdr:rowOff>19050</xdr:rowOff>
        </xdr:to>
        <xdr:sp macro="" textlink="">
          <xdr:nvSpPr>
            <xdr:cNvPr id="16416" name="Check Box 32" hidden="1">
              <a:extLst>
                <a:ext uri="{63B3BB69-23CF-44E3-9099-C40C66FF867C}">
                  <a14:compatExt spid="_x0000_s16416"/>
                </a:ext>
                <a:ext uri="{FF2B5EF4-FFF2-40B4-BE49-F238E27FC236}">
                  <a16:creationId xmlns:a16="http://schemas.microsoft.com/office/drawing/2014/main" id="{00000000-0008-0000-0E00-000020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0</xdr:colOff>
      <xdr:row>104</xdr:row>
      <xdr:rowOff>0</xdr:rowOff>
    </xdr:from>
    <xdr:to>
      <xdr:col>20</xdr:col>
      <xdr:colOff>114300</xdr:colOff>
      <xdr:row>112</xdr:row>
      <xdr:rowOff>187187</xdr:rowOff>
    </xdr:to>
    <xdr:sp macro="" textlink="">
      <xdr:nvSpPr>
        <xdr:cNvPr id="24" name="TextBox 23">
          <a:extLst>
            <a:ext uri="{FF2B5EF4-FFF2-40B4-BE49-F238E27FC236}">
              <a16:creationId xmlns:a16="http://schemas.microsoft.com/office/drawing/2014/main" id="{00000000-0008-0000-0E00-000018000000}"/>
            </a:ext>
          </a:extLst>
        </xdr:cNvPr>
        <xdr:cNvSpPr txBox="1"/>
      </xdr:nvSpPr>
      <xdr:spPr>
        <a:xfrm>
          <a:off x="0" y="18792825"/>
          <a:ext cx="7705725" cy="186358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PH" sz="750">
              <a:solidFill>
                <a:schemeClr val="dk1"/>
              </a:solidFill>
              <a:effectLst/>
              <a:latin typeface="Century Gothic" panose="020B0502020202020204" pitchFamily="34" charset="0"/>
              <a:ea typeface="+mn-ea"/>
              <a:cs typeface="+mn-cs"/>
            </a:rPr>
            <a:t>By signing this Reservation Agreement, I hereby consent to the collection, processing, disclosure and storage of my personal data and information in compliance with the Data Privacy Act of 2012, and its Implementing Rules and Regulations (IRR), by </a:t>
          </a:r>
          <a:r>
            <a:rPr lang="en-PH" sz="750" b="1">
              <a:solidFill>
                <a:schemeClr val="dk1"/>
              </a:solidFill>
              <a:effectLst/>
              <a:latin typeface="Century Gothic" panose="020B0502020202020204" pitchFamily="34" charset="0"/>
              <a:ea typeface="+mn-ea"/>
              <a:cs typeface="+mn-cs"/>
            </a:rPr>
            <a:t>WEE COMMUNITY DEVELOPERS, INC</a:t>
          </a:r>
          <a:r>
            <a:rPr lang="en-PH" sz="750">
              <a:solidFill>
                <a:schemeClr val="dk1"/>
              </a:solidFill>
              <a:effectLst/>
              <a:latin typeface="Century Gothic" panose="020B0502020202020204" pitchFamily="34" charset="0"/>
              <a:ea typeface="+mn-ea"/>
              <a:cs typeface="+mn-cs"/>
            </a:rPr>
            <a:t>. (the “Company”).</a:t>
          </a:r>
        </a:p>
        <a:p>
          <a:pPr algn="just"/>
          <a:endParaRPr lang="en-PH" sz="750">
            <a:solidFill>
              <a:schemeClr val="dk1"/>
            </a:solidFill>
            <a:effectLst/>
            <a:latin typeface="Century Gothic" panose="020B0502020202020204" pitchFamily="34" charset="0"/>
            <a:ea typeface="+mn-ea"/>
            <a:cs typeface="+mn-cs"/>
          </a:endParaRPr>
        </a:p>
        <a:p>
          <a:pPr algn="just"/>
          <a:r>
            <a:rPr lang="en-PH" sz="750">
              <a:solidFill>
                <a:schemeClr val="dk1"/>
              </a:solidFill>
              <a:effectLst/>
              <a:latin typeface="Century Gothic" panose="020B0502020202020204" pitchFamily="34" charset="0"/>
              <a:ea typeface="+mn-ea"/>
              <a:cs typeface="+mn-cs"/>
            </a:rPr>
            <a:t>As such, I hereby authorize the Company to: </a:t>
          </a:r>
          <a:r>
            <a:rPr lang="en-PH" sz="750" b="1">
              <a:solidFill>
                <a:schemeClr val="dk1"/>
              </a:solidFill>
              <a:effectLst/>
              <a:latin typeface="Century Gothic" panose="020B0502020202020204" pitchFamily="34" charset="0"/>
              <a:ea typeface="+mn-ea"/>
              <a:cs typeface="+mn-cs"/>
            </a:rPr>
            <a:t>(1)</a:t>
          </a:r>
          <a:r>
            <a:rPr lang="en-PH" sz="750">
              <a:solidFill>
                <a:schemeClr val="dk1"/>
              </a:solidFill>
              <a:effectLst/>
              <a:latin typeface="Century Gothic" panose="020B0502020202020204" pitchFamily="34" charset="0"/>
              <a:ea typeface="+mn-ea"/>
              <a:cs typeface="+mn-cs"/>
            </a:rPr>
            <a:t> use my personal information in all documents and forms requiring such information in relation to all transactions for which this Agreement is entered into; </a:t>
          </a:r>
          <a:r>
            <a:rPr lang="en-PH" sz="750" b="1">
              <a:solidFill>
                <a:schemeClr val="dk1"/>
              </a:solidFill>
              <a:effectLst/>
              <a:latin typeface="Century Gothic" panose="020B0502020202020204" pitchFamily="34" charset="0"/>
              <a:ea typeface="+mn-ea"/>
              <a:cs typeface="+mn-cs"/>
            </a:rPr>
            <a:t>(2)</a:t>
          </a:r>
          <a:r>
            <a:rPr lang="en-PH" sz="750">
              <a:solidFill>
                <a:schemeClr val="dk1"/>
              </a:solidFill>
              <a:effectLst/>
              <a:latin typeface="Century Gothic" panose="020B0502020202020204" pitchFamily="34" charset="0"/>
              <a:ea typeface="+mn-ea"/>
              <a:cs typeface="+mn-cs"/>
            </a:rPr>
            <a:t> share/disclose my personal information, subject to such limitations as may be provided for by law, to the extent necessary to enforce this Agreement or for other legitimate business purpose; and </a:t>
          </a:r>
          <a:r>
            <a:rPr lang="en-PH" sz="750" b="1">
              <a:solidFill>
                <a:schemeClr val="dk1"/>
              </a:solidFill>
              <a:effectLst/>
              <a:latin typeface="Century Gothic" panose="020B0502020202020204" pitchFamily="34" charset="0"/>
              <a:ea typeface="+mn-ea"/>
              <a:cs typeface="+mn-cs"/>
            </a:rPr>
            <a:t>(3)</a:t>
          </a:r>
          <a:r>
            <a:rPr lang="en-PH" sz="750">
              <a:solidFill>
                <a:schemeClr val="dk1"/>
              </a:solidFill>
              <a:effectLst/>
              <a:latin typeface="Century Gothic" panose="020B0502020202020204" pitchFamily="34" charset="0"/>
              <a:ea typeface="+mn-ea"/>
              <a:cs typeface="+mn-cs"/>
            </a:rPr>
            <a:t> retain my information for a reasonable period of time from the date all transactions relating to this Agreement have been either consummated or terminated for any reason whatsoever, subject to all my rights guaranteed under Section 16 of the Data Privacy Act of 2012. Pursuant to Republic Act No. 9160 otherwise known as the Anti-Money Laundering Act of 2001 dated 20 September 2001 as amended by Republic Act No. 11521 dated 29 January 2021, upon my signing of this Agreement, I agree and thereby expressly give my consent to the Company’s procedural</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reporting of pertinent details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the AMLA Committee should the provisions of the law require them</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disclose any of the information I provided herein, by virtue of the Company’s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exercise of due diligence required of them by law. I shall not hold the Company liable and shall be protected against Republic Act No. 10173 or the Data Privacy Act of 2012 dated 12 July 2012 by doing so.</a:t>
          </a:r>
        </a:p>
        <a:p>
          <a:pPr algn="just"/>
          <a:endParaRPr lang="en-PH" sz="750">
            <a:effectLst/>
            <a:latin typeface="Century Gothic" panose="020B0502020202020204" pitchFamily="34" charset="0"/>
          </a:endParaRPr>
        </a:p>
        <a:p>
          <a:pPr algn="just"/>
          <a:r>
            <a:rPr lang="en-PH" sz="750">
              <a:solidFill>
                <a:schemeClr val="dk1"/>
              </a:solidFill>
              <a:effectLst/>
              <a:latin typeface="Century Gothic" panose="020B0502020202020204" pitchFamily="34" charset="0"/>
              <a:ea typeface="+mn-ea"/>
              <a:cs typeface="+mn-cs"/>
            </a:rPr>
            <a:t>In view of the foregoing, I further certify that all information I have provided to the Company are, to the best of my knowledge, true and correct, and hold the Company free and harmless from any action or claim for damages in relation to the consent hereby given.</a:t>
          </a:r>
        </a:p>
        <a:p>
          <a:pPr algn="just"/>
          <a:endParaRPr lang="en-PH" sz="1100"/>
        </a:p>
      </xdr:txBody>
    </xdr:sp>
    <xdr:clientData/>
  </xdr:twoCellAnchor>
</xdr:wsDr>
</file>

<file path=xl/drawings/drawing10.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11</xdr:col>
          <xdr:colOff>304800</xdr:colOff>
          <xdr:row>7</xdr:row>
          <xdr:rowOff>209550</xdr:rowOff>
        </xdr:from>
        <xdr:to>
          <xdr:col>14</xdr:col>
          <xdr:colOff>171450</xdr:colOff>
          <xdr:row>9</xdr:row>
          <xdr:rowOff>0</xdr:rowOff>
        </xdr:to>
        <xdr:sp macro="" textlink="">
          <xdr:nvSpPr>
            <xdr:cNvPr id="92161" name="Check Box 1" hidden="1">
              <a:extLst>
                <a:ext uri="{63B3BB69-23CF-44E3-9099-C40C66FF867C}">
                  <a14:compatExt spid="_x0000_s92161"/>
                </a:ext>
                <a:ext uri="{FF2B5EF4-FFF2-40B4-BE49-F238E27FC236}">
                  <a16:creationId xmlns:a16="http://schemas.microsoft.com/office/drawing/2014/main" id="{00000000-0008-0000-1000-0000016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PH" sz="800" b="0" i="0" u="none" strike="noStrike" baseline="0">
                  <a:solidFill>
                    <a:srgbClr val="000000"/>
                  </a:solidFill>
                  <a:latin typeface="Segoe UI"/>
                  <a:cs typeface="Segoe UI"/>
                </a:rPr>
                <a:t>Townhouse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304800</xdr:colOff>
          <xdr:row>9</xdr:row>
          <xdr:rowOff>0</xdr:rowOff>
        </xdr:from>
        <xdr:to>
          <xdr:col>14</xdr:col>
          <xdr:colOff>171450</xdr:colOff>
          <xdr:row>10</xdr:row>
          <xdr:rowOff>0</xdr:rowOff>
        </xdr:to>
        <xdr:sp macro="" textlink="">
          <xdr:nvSpPr>
            <xdr:cNvPr id="92162" name="Check Box 2" hidden="1">
              <a:extLst>
                <a:ext uri="{63B3BB69-23CF-44E3-9099-C40C66FF867C}">
                  <a14:compatExt spid="_x0000_s92162"/>
                </a:ext>
                <a:ext uri="{FF2B5EF4-FFF2-40B4-BE49-F238E27FC236}">
                  <a16:creationId xmlns:a16="http://schemas.microsoft.com/office/drawing/2014/main" id="{00000000-0008-0000-1000-0000026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PH" sz="800" b="0" i="0" u="none" strike="noStrike" baseline="0">
                  <a:solidFill>
                    <a:srgbClr val="000000"/>
                  </a:solidFill>
                  <a:latin typeface="Segoe UI"/>
                  <a:cs typeface="Segoe UI"/>
                </a:rPr>
                <a:t>Commercial / Office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57150</xdr:colOff>
          <xdr:row>8</xdr:row>
          <xdr:rowOff>19050</xdr:rowOff>
        </xdr:from>
        <xdr:to>
          <xdr:col>8</xdr:col>
          <xdr:colOff>285750</xdr:colOff>
          <xdr:row>9</xdr:row>
          <xdr:rowOff>19050</xdr:rowOff>
        </xdr:to>
        <xdr:sp macro="" textlink="">
          <xdr:nvSpPr>
            <xdr:cNvPr id="92163" name="Check Box 3" hidden="1">
              <a:extLst>
                <a:ext uri="{63B3BB69-23CF-44E3-9099-C40C66FF867C}">
                  <a14:compatExt spid="_x0000_s92163"/>
                </a:ext>
                <a:ext uri="{FF2B5EF4-FFF2-40B4-BE49-F238E27FC236}">
                  <a16:creationId xmlns:a16="http://schemas.microsoft.com/office/drawing/2014/main" id="{00000000-0008-0000-1000-0000036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PH" sz="800" b="0" i="0" u="none" strike="noStrike" baseline="0">
                  <a:solidFill>
                    <a:srgbClr val="000000"/>
                  </a:solidFill>
                  <a:latin typeface="Segoe UI"/>
                  <a:cs typeface="Segoe UI"/>
                </a:rPr>
                <a:t>Residential Condominium</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57150</xdr:colOff>
          <xdr:row>8</xdr:row>
          <xdr:rowOff>209550</xdr:rowOff>
        </xdr:from>
        <xdr:to>
          <xdr:col>8</xdr:col>
          <xdr:colOff>285750</xdr:colOff>
          <xdr:row>10</xdr:row>
          <xdr:rowOff>0</xdr:rowOff>
        </xdr:to>
        <xdr:sp macro="" textlink="">
          <xdr:nvSpPr>
            <xdr:cNvPr id="92164" name="Check Box 4" hidden="1">
              <a:extLst>
                <a:ext uri="{63B3BB69-23CF-44E3-9099-C40C66FF867C}">
                  <a14:compatExt spid="_x0000_s92164"/>
                </a:ext>
                <a:ext uri="{FF2B5EF4-FFF2-40B4-BE49-F238E27FC236}">
                  <a16:creationId xmlns:a16="http://schemas.microsoft.com/office/drawing/2014/main" id="{00000000-0008-0000-1000-0000046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PH" sz="800" b="0" i="0" u="none" strike="noStrike" baseline="0">
                  <a:solidFill>
                    <a:srgbClr val="000000"/>
                  </a:solidFill>
                  <a:latin typeface="Segoe UI"/>
                  <a:cs typeface="Segoe UI"/>
                </a:rPr>
                <a:t>House and Lot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476250</xdr:colOff>
          <xdr:row>8</xdr:row>
          <xdr:rowOff>0</xdr:rowOff>
        </xdr:from>
        <xdr:to>
          <xdr:col>19</xdr:col>
          <xdr:colOff>180975</xdr:colOff>
          <xdr:row>9</xdr:row>
          <xdr:rowOff>0</xdr:rowOff>
        </xdr:to>
        <xdr:sp macro="" textlink="">
          <xdr:nvSpPr>
            <xdr:cNvPr id="92165" name="Check Box 5" hidden="1">
              <a:extLst>
                <a:ext uri="{63B3BB69-23CF-44E3-9099-C40C66FF867C}">
                  <a14:compatExt spid="_x0000_s92165"/>
                </a:ext>
                <a:ext uri="{FF2B5EF4-FFF2-40B4-BE49-F238E27FC236}">
                  <a16:creationId xmlns:a16="http://schemas.microsoft.com/office/drawing/2014/main" id="{00000000-0008-0000-1000-0000056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PH" sz="800" b="0" i="0" u="none" strike="noStrike" baseline="0">
                  <a:solidFill>
                    <a:srgbClr val="000000"/>
                  </a:solidFill>
                  <a:latin typeface="Segoe UI"/>
                  <a:cs typeface="Segoe UI"/>
                </a:rPr>
                <a:t>Parking Slot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476250</xdr:colOff>
          <xdr:row>9</xdr:row>
          <xdr:rowOff>0</xdr:rowOff>
        </xdr:from>
        <xdr:to>
          <xdr:col>19</xdr:col>
          <xdr:colOff>180975</xdr:colOff>
          <xdr:row>10</xdr:row>
          <xdr:rowOff>0</xdr:rowOff>
        </xdr:to>
        <xdr:sp macro="" textlink="">
          <xdr:nvSpPr>
            <xdr:cNvPr id="92166" name="Check Box 6" hidden="1">
              <a:extLst>
                <a:ext uri="{63B3BB69-23CF-44E3-9099-C40C66FF867C}">
                  <a14:compatExt spid="_x0000_s92166"/>
                </a:ext>
                <a:ext uri="{FF2B5EF4-FFF2-40B4-BE49-F238E27FC236}">
                  <a16:creationId xmlns:a16="http://schemas.microsoft.com/office/drawing/2014/main" id="{00000000-0008-0000-1000-0000066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PH" sz="800" b="0" i="0" u="none" strike="noStrike" baseline="0">
                  <a:solidFill>
                    <a:srgbClr val="000000"/>
                  </a:solidFill>
                  <a:latin typeface="Segoe UI"/>
                  <a:cs typeface="Segoe UI"/>
                </a:rPr>
                <a:t>Lot only</a:t>
              </a:r>
            </a:p>
          </xdr:txBody>
        </xdr:sp>
        <xdr:clientData/>
      </xdr:twoCellAnchor>
    </mc:Choice>
    <mc:Fallback/>
  </mc:AlternateContent>
</xdr:wsDr>
</file>

<file path=xl/drawings/drawing1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38100</xdr:colOff>
          <xdr:row>34</xdr:row>
          <xdr:rowOff>19050</xdr:rowOff>
        </xdr:from>
        <xdr:to>
          <xdr:col>2</xdr:col>
          <xdr:colOff>285750</xdr:colOff>
          <xdr:row>35</xdr:row>
          <xdr:rowOff>19050</xdr:rowOff>
        </xdr:to>
        <xdr:sp macro="" textlink="">
          <xdr:nvSpPr>
            <xdr:cNvPr id="17421" name="Check Box 13" hidden="1">
              <a:extLst>
                <a:ext uri="{63B3BB69-23CF-44E3-9099-C40C66FF867C}">
                  <a14:compatExt spid="_x0000_s17421"/>
                </a:ext>
                <a:ext uri="{FF2B5EF4-FFF2-40B4-BE49-F238E27FC236}">
                  <a16:creationId xmlns:a16="http://schemas.microsoft.com/office/drawing/2014/main" id="{00000000-0008-0000-1100-00000D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57150</xdr:colOff>
          <xdr:row>34</xdr:row>
          <xdr:rowOff>0</xdr:rowOff>
        </xdr:from>
        <xdr:to>
          <xdr:col>12</xdr:col>
          <xdr:colOff>0</xdr:colOff>
          <xdr:row>35</xdr:row>
          <xdr:rowOff>19050</xdr:rowOff>
        </xdr:to>
        <xdr:sp macro="" textlink="">
          <xdr:nvSpPr>
            <xdr:cNvPr id="17423" name="Check Box 15" hidden="1">
              <a:extLst>
                <a:ext uri="{63B3BB69-23CF-44E3-9099-C40C66FF867C}">
                  <a14:compatExt spid="_x0000_s17423"/>
                </a:ext>
                <a:ext uri="{FF2B5EF4-FFF2-40B4-BE49-F238E27FC236}">
                  <a16:creationId xmlns:a16="http://schemas.microsoft.com/office/drawing/2014/main" id="{00000000-0008-0000-1100-00000F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257175</xdr:colOff>
          <xdr:row>16</xdr:row>
          <xdr:rowOff>0</xdr:rowOff>
        </xdr:from>
        <xdr:to>
          <xdr:col>3</xdr:col>
          <xdr:colOff>171450</xdr:colOff>
          <xdr:row>17</xdr:row>
          <xdr:rowOff>19050</xdr:rowOff>
        </xdr:to>
        <xdr:sp macro="" textlink="">
          <xdr:nvSpPr>
            <xdr:cNvPr id="17424" name="Check Box 16" hidden="1">
              <a:extLst>
                <a:ext uri="{63B3BB69-23CF-44E3-9099-C40C66FF867C}">
                  <a14:compatExt spid="_x0000_s17424"/>
                </a:ext>
                <a:ext uri="{FF2B5EF4-FFF2-40B4-BE49-F238E27FC236}">
                  <a16:creationId xmlns:a16="http://schemas.microsoft.com/office/drawing/2014/main" id="{00000000-0008-0000-1100-000010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257175</xdr:colOff>
          <xdr:row>15</xdr:row>
          <xdr:rowOff>19050</xdr:rowOff>
        </xdr:from>
        <xdr:to>
          <xdr:col>3</xdr:col>
          <xdr:colOff>171450</xdr:colOff>
          <xdr:row>16</xdr:row>
          <xdr:rowOff>19050</xdr:rowOff>
        </xdr:to>
        <xdr:sp macro="" textlink="">
          <xdr:nvSpPr>
            <xdr:cNvPr id="17425" name="Check Box 17" hidden="1">
              <a:extLst>
                <a:ext uri="{63B3BB69-23CF-44E3-9099-C40C66FF867C}">
                  <a14:compatExt spid="_x0000_s17425"/>
                </a:ext>
                <a:ext uri="{FF2B5EF4-FFF2-40B4-BE49-F238E27FC236}">
                  <a16:creationId xmlns:a16="http://schemas.microsoft.com/office/drawing/2014/main" id="{00000000-0008-0000-1100-000011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133350</xdr:colOff>
          <xdr:row>15</xdr:row>
          <xdr:rowOff>209550</xdr:rowOff>
        </xdr:from>
        <xdr:to>
          <xdr:col>11</xdr:col>
          <xdr:colOff>28575</xdr:colOff>
          <xdr:row>17</xdr:row>
          <xdr:rowOff>0</xdr:rowOff>
        </xdr:to>
        <xdr:sp macro="" textlink="">
          <xdr:nvSpPr>
            <xdr:cNvPr id="17426" name="Check Box 18" hidden="1">
              <a:extLst>
                <a:ext uri="{63B3BB69-23CF-44E3-9099-C40C66FF867C}">
                  <a14:compatExt spid="_x0000_s17426"/>
                </a:ext>
                <a:ext uri="{FF2B5EF4-FFF2-40B4-BE49-F238E27FC236}">
                  <a16:creationId xmlns:a16="http://schemas.microsoft.com/office/drawing/2014/main" id="{00000000-0008-0000-1100-000012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133350</xdr:colOff>
          <xdr:row>15</xdr:row>
          <xdr:rowOff>0</xdr:rowOff>
        </xdr:from>
        <xdr:to>
          <xdr:col>11</xdr:col>
          <xdr:colOff>28575</xdr:colOff>
          <xdr:row>16</xdr:row>
          <xdr:rowOff>19050</xdr:rowOff>
        </xdr:to>
        <xdr:sp macro="" textlink="">
          <xdr:nvSpPr>
            <xdr:cNvPr id="17427" name="Check Box 19" hidden="1">
              <a:extLst>
                <a:ext uri="{63B3BB69-23CF-44E3-9099-C40C66FF867C}">
                  <a14:compatExt spid="_x0000_s17427"/>
                </a:ext>
                <a:ext uri="{FF2B5EF4-FFF2-40B4-BE49-F238E27FC236}">
                  <a16:creationId xmlns:a16="http://schemas.microsoft.com/office/drawing/2014/main" id="{00000000-0008-0000-1100-000013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15</xdr:row>
          <xdr:rowOff>19050</xdr:rowOff>
        </xdr:from>
        <xdr:to>
          <xdr:col>19</xdr:col>
          <xdr:colOff>19050</xdr:colOff>
          <xdr:row>16</xdr:row>
          <xdr:rowOff>19050</xdr:rowOff>
        </xdr:to>
        <xdr:sp macro="" textlink="">
          <xdr:nvSpPr>
            <xdr:cNvPr id="17428" name="Check Box 20" hidden="1">
              <a:extLst>
                <a:ext uri="{63B3BB69-23CF-44E3-9099-C40C66FF867C}">
                  <a14:compatExt spid="_x0000_s17428"/>
                </a:ext>
                <a:ext uri="{FF2B5EF4-FFF2-40B4-BE49-F238E27FC236}">
                  <a16:creationId xmlns:a16="http://schemas.microsoft.com/office/drawing/2014/main" id="{00000000-0008-0000-1100-000014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57150</xdr:colOff>
          <xdr:row>86</xdr:row>
          <xdr:rowOff>0</xdr:rowOff>
        </xdr:from>
        <xdr:to>
          <xdr:col>2</xdr:col>
          <xdr:colOff>0</xdr:colOff>
          <xdr:row>87</xdr:row>
          <xdr:rowOff>0</xdr:rowOff>
        </xdr:to>
        <xdr:sp macro="" textlink="">
          <xdr:nvSpPr>
            <xdr:cNvPr id="17429" name="Check Box 21" hidden="1">
              <a:extLst>
                <a:ext uri="{63B3BB69-23CF-44E3-9099-C40C66FF867C}">
                  <a14:compatExt spid="_x0000_s17429"/>
                </a:ext>
                <a:ext uri="{FF2B5EF4-FFF2-40B4-BE49-F238E27FC236}">
                  <a16:creationId xmlns:a16="http://schemas.microsoft.com/office/drawing/2014/main" id="{00000000-0008-0000-1100-000015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514350</xdr:colOff>
          <xdr:row>86</xdr:row>
          <xdr:rowOff>0</xdr:rowOff>
        </xdr:from>
        <xdr:to>
          <xdr:col>10</xdr:col>
          <xdr:colOff>0</xdr:colOff>
          <xdr:row>87</xdr:row>
          <xdr:rowOff>0</xdr:rowOff>
        </xdr:to>
        <xdr:sp macro="" textlink="">
          <xdr:nvSpPr>
            <xdr:cNvPr id="17430" name="Check Box 22" hidden="1">
              <a:extLst>
                <a:ext uri="{63B3BB69-23CF-44E3-9099-C40C66FF867C}">
                  <a14:compatExt spid="_x0000_s17430"/>
                </a:ext>
                <a:ext uri="{FF2B5EF4-FFF2-40B4-BE49-F238E27FC236}">
                  <a16:creationId xmlns:a16="http://schemas.microsoft.com/office/drawing/2014/main" id="{00000000-0008-0000-1100-000016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86</xdr:row>
          <xdr:rowOff>0</xdr:rowOff>
        </xdr:from>
        <xdr:to>
          <xdr:col>16</xdr:col>
          <xdr:colOff>342900</xdr:colOff>
          <xdr:row>87</xdr:row>
          <xdr:rowOff>19050</xdr:rowOff>
        </xdr:to>
        <xdr:sp macro="" textlink="">
          <xdr:nvSpPr>
            <xdr:cNvPr id="17431" name="Check Box 23" hidden="1">
              <a:extLst>
                <a:ext uri="{63B3BB69-23CF-44E3-9099-C40C66FF867C}">
                  <a14:compatExt spid="_x0000_s17431"/>
                </a:ext>
                <a:ext uri="{FF2B5EF4-FFF2-40B4-BE49-F238E27FC236}">
                  <a16:creationId xmlns:a16="http://schemas.microsoft.com/office/drawing/2014/main" id="{00000000-0008-0000-1100-000017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15</xdr:row>
          <xdr:rowOff>209550</xdr:rowOff>
        </xdr:from>
        <xdr:to>
          <xdr:col>19</xdr:col>
          <xdr:colOff>19050</xdr:colOff>
          <xdr:row>17</xdr:row>
          <xdr:rowOff>0</xdr:rowOff>
        </xdr:to>
        <xdr:sp macro="" textlink="">
          <xdr:nvSpPr>
            <xdr:cNvPr id="17432" name="Check Box 24" hidden="1">
              <a:extLst>
                <a:ext uri="{63B3BB69-23CF-44E3-9099-C40C66FF867C}">
                  <a14:compatExt spid="_x0000_s17432"/>
                </a:ext>
                <a:ext uri="{FF2B5EF4-FFF2-40B4-BE49-F238E27FC236}">
                  <a16:creationId xmlns:a16="http://schemas.microsoft.com/office/drawing/2014/main" id="{00000000-0008-0000-1100-000018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866775</xdr:colOff>
          <xdr:row>34</xdr:row>
          <xdr:rowOff>19050</xdr:rowOff>
        </xdr:from>
        <xdr:to>
          <xdr:col>18</xdr:col>
          <xdr:colOff>190500</xdr:colOff>
          <xdr:row>35</xdr:row>
          <xdr:rowOff>19050</xdr:rowOff>
        </xdr:to>
        <xdr:sp macro="" textlink="">
          <xdr:nvSpPr>
            <xdr:cNvPr id="17433" name="Check Box 25" hidden="1">
              <a:extLst>
                <a:ext uri="{63B3BB69-23CF-44E3-9099-C40C66FF867C}">
                  <a14:compatExt spid="_x0000_s17433"/>
                </a:ext>
                <a:ext uri="{FF2B5EF4-FFF2-40B4-BE49-F238E27FC236}">
                  <a16:creationId xmlns:a16="http://schemas.microsoft.com/office/drawing/2014/main" id="{00000000-0008-0000-1100-000019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0</xdr:col>
      <xdr:colOff>0</xdr:colOff>
      <xdr:row>38</xdr:row>
      <xdr:rowOff>152399</xdr:rowOff>
    </xdr:from>
    <xdr:ext cx="7724775" cy="7534835"/>
    <xdr:sp macro="" textlink="">
      <xdr:nvSpPr>
        <xdr:cNvPr id="15" name="TextBox 14">
          <a:extLst>
            <a:ext uri="{FF2B5EF4-FFF2-40B4-BE49-F238E27FC236}">
              <a16:creationId xmlns:a16="http://schemas.microsoft.com/office/drawing/2014/main" id="{00000000-0008-0000-1100-00000F000000}"/>
            </a:ext>
          </a:extLst>
        </xdr:cNvPr>
        <xdr:cNvSpPr txBox="1"/>
      </xdr:nvSpPr>
      <xdr:spPr>
        <a:xfrm>
          <a:off x="0" y="7895664"/>
          <a:ext cx="7724775" cy="753483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marL="230400" lvl="0" indent="0" algn="just">
            <a:buFontTx/>
            <a:buNone/>
          </a:pPr>
          <a:r>
            <a:rPr lang="en-PH" sz="750">
              <a:solidFill>
                <a:schemeClr val="dk1"/>
              </a:solidFill>
              <a:effectLst/>
              <a:latin typeface="Century Gothic" panose="020B0502020202020204" pitchFamily="34" charset="0"/>
              <a:ea typeface="+mn-ea"/>
              <a:cs typeface="+mn-cs"/>
            </a:rPr>
            <a:t>Reservation Fee, exclusive of VAT, in order to reserve the Property for our intended purchase which shall be effective for a period of thirty (30) days from payment of the Reservation Fee. I understand and acknowledge that the Reservation fee is non-refundable. Should I decide to cancel my reservation; fail to submit all the documentary requirements, including this Reservation Agreement, under the attached Annex B; or fail to pay the amounts due on the due dates prescribed under the attached Annex A, for any reasons whatsoever, I agree that my reservation shall lapse and my Reservation Fee shall be forfeited in favor of the Company. I will hold the company free and harmless for thereafter releasing and offering the Property to other interested buyers.</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2"/>
          </a:pPr>
          <a:r>
            <a:rPr lang="en-PH" sz="750">
              <a:solidFill>
                <a:schemeClr val="dk1"/>
              </a:solidFill>
              <a:effectLst/>
              <a:latin typeface="Century Gothic" panose="020B0502020202020204" pitchFamily="34" charset="0"/>
              <a:ea typeface="+mn-ea"/>
              <a:cs typeface="+mn-cs"/>
            </a:rPr>
            <a:t>I acknowledge that the Company reserves the right to accept or deny this request for reservation and is non- transferable.</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acknowledge that in the event my application to purchase the Property is accepted, the Reservation Fee shall automatically form part of the required down payment. Upon being notified of the acceptance of my offer to purchase the Property, I shall remit, within the period required by the company, the down payment and/or balance, and the complete post-dated cheques, in accordance with the Schedule of Payment (inclusive of VAT and other charges), without need of further demand. Any and all payments made to any individual, realtor, broker, employee or to a party other than the Company for safekeeping in favor of or for transmittal to the Company shall be at my sole and exclusive risk and responsibility, and shall not bind nor make the former answerable in any way thereof unless and until actually received, receipted and validated by the Company’s Cashier or officer duly authorized by the Company. All payments shall be made ONLY through crossed-checks payable to the Company under the corporate name: </a:t>
          </a:r>
          <a:r>
            <a:rPr lang="en-PH" sz="750" b="1">
              <a:solidFill>
                <a:schemeClr val="dk1"/>
              </a:solidFill>
              <a:effectLst/>
              <a:latin typeface="Century Gothic" panose="020B0502020202020204" pitchFamily="34" charset="0"/>
              <a:ea typeface="+mn-ea"/>
              <a:cs typeface="+mn-cs"/>
            </a:rPr>
            <a:t>WEE COMMUNITY DEVELOPERS, INC. </a:t>
          </a:r>
          <a:r>
            <a:rPr lang="en-PH" sz="750">
              <a:solidFill>
                <a:schemeClr val="dk1"/>
              </a:solidFill>
              <a:effectLst/>
              <a:latin typeface="Century Gothic" panose="020B0502020202020204" pitchFamily="34" charset="0"/>
              <a:ea typeface="+mn-ea"/>
              <a:cs typeface="+mn-cs"/>
            </a:rPr>
            <a:t>or cash payable only directly to the Credit and Collection Department of the Company in its Head Office.</a:t>
          </a: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further acknowledge that all payments in relation to this Reservation Agreement shall be made on or before their due dates, without the necessity of any prior notice or demand and whether or not the Contract to Sell has been signed and sent back to the Developer/Company. All overdue payments shall be subject to a penalty equivalent to a rate of 0.001 or 1/1000 of past due amount per day of delay, without prejudice to the right of the Developer/Company to cancel this Reservation Agreement.</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Unless otherwise provided, my Contract to Sell for the Property shall be prepared only after I have submitted to the Company all necessary documents and postdated checks in such amounts and on such dates as are in accordance with the Schedule of Payment. The Contract to Sell shall be executed and signed by me within thirty (30) days from date of receipt of the Contract to Sell. Should I fail to submit the duly signed Contract to Sell within the said period, this Reservation Agreement shall be cancelled.</a:t>
          </a: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understand and agree that this Agreement only gives me the right to purchase the Property subject to the fulfillment of the conditions herein stated. No other right, title, or ownership is vested upon me by the execution of this Agreement. The Company retains title and ownership of the Property until I shall have fully </a:t>
          </a: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0" lvl="0" indent="0" algn="just">
            <a:buFontTx/>
            <a:buNone/>
          </a:pPr>
          <a:r>
            <a:rPr lang="en-PH" sz="750">
              <a:solidFill>
                <a:schemeClr val="dk1"/>
              </a:solidFill>
              <a:effectLst/>
              <a:latin typeface="Century Gothic" panose="020B0502020202020204" pitchFamily="34" charset="0"/>
              <a:ea typeface="+mn-ea"/>
              <a:cs typeface="+mn-cs"/>
            </a:rPr>
            <a:t>         paid all amounts due to the Company for the purchase of the Property.</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In the event that I/we avail ourselves of bank financing to finance the purchase of the subject property, I/we hereby authorize the Company to submit on my/our behalf all available income documents in its possession and my/our personal information to the banks and/or credit investigators (CMAP) for the purpose of loan application pre-assessment. </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further understand that the Total Contract Price indicated herein may vary from the Total Contract Price indicated in the Deed of Absolute Sale due to promos and discounts that may be given to me. In such event, I understand that the Total Contract stated in the Deed of Absolute Sale shall prevail.</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confirm that I have personally inspected the plans and specifications of the Property, studied and verified the Project site and its proximate location and layout of my requested Property and I find the same to be acceptable and satisfactory. I acknowledge that I have independently ascertained and evaluated all materials, facts and technical information related to the purchase of the Property and that I am satisfied with what has been explained to me by the Property Specialist/Broker who assisted me. I further understand that the sizes and/or numbering of the condominium units and parking spaces are subject to adjustments in accordance with the approved building plan or amendments thereon and I agree that the Developer reserves the right to revise architectural and floor plans without my consent.</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hereby authorize the Developer of the Project to organize the Project’s governing homeowner’s association or Condominium Corporation, as applicable.</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CANCELLATION OF RESERVATION. I /We, hereby agree that </a:t>
          </a:r>
          <a:r>
            <a:rPr lang="en-PH" sz="750" b="1">
              <a:solidFill>
                <a:schemeClr val="dk1"/>
              </a:solidFill>
              <a:effectLst/>
              <a:latin typeface="Century Gothic" panose="020B0502020202020204" pitchFamily="34" charset="0"/>
              <a:ea typeface="+mn-ea"/>
              <a:cs typeface="+mn-cs"/>
            </a:rPr>
            <a:t>WEE COMMUNITY DEVELOPERS, INC. </a:t>
          </a:r>
          <a:r>
            <a:rPr lang="en-PH" sz="750">
              <a:solidFill>
                <a:schemeClr val="dk1"/>
              </a:solidFill>
              <a:effectLst/>
              <a:latin typeface="Century Gothic" panose="020B0502020202020204" pitchFamily="34" charset="0"/>
              <a:ea typeface="+mn-ea"/>
              <a:cs typeface="+mn-cs"/>
            </a:rPr>
            <a:t>shall have the right to automatically cancel my/our reservation without further notice and without need of judicial rescission and to forfeit as liquidated damages my/our reservation fee and whatever other payments I/We have made, with any and all rights to the unit(s) considered waived by me/us in favor </a:t>
          </a:r>
          <a:r>
            <a:rPr lang="en-PH" sz="750" b="1">
              <a:solidFill>
                <a:schemeClr val="dk1"/>
              </a:solidFill>
              <a:effectLst/>
              <a:latin typeface="Century Gothic" panose="020B0502020202020204" pitchFamily="34" charset="0"/>
              <a:ea typeface="+mn-ea"/>
              <a:cs typeface="+mn-cs"/>
            </a:rPr>
            <a:t>of WEE COMMUNITY DEVELOPERS, INC., </a:t>
          </a:r>
          <a:r>
            <a:rPr lang="en-PH" sz="750" b="0">
              <a:solidFill>
                <a:schemeClr val="dk1"/>
              </a:solidFill>
              <a:effectLst/>
              <a:latin typeface="Century Gothic" panose="020B0502020202020204" pitchFamily="34" charset="0"/>
              <a:ea typeface="+mn-ea"/>
              <a:cs typeface="+mn-cs"/>
            </a:rPr>
            <a:t>i</a:t>
          </a:r>
          <a:r>
            <a:rPr lang="en-PH" sz="750">
              <a:solidFill>
                <a:schemeClr val="dk1"/>
              </a:solidFill>
              <a:effectLst/>
              <a:latin typeface="Century Gothic" panose="020B0502020202020204" pitchFamily="34" charset="0"/>
              <a:ea typeface="+mn-ea"/>
              <a:cs typeface="+mn-cs"/>
            </a:rPr>
            <a:t>n the event of any of the following:</a:t>
          </a:r>
        </a:p>
        <a:p>
          <a:pPr algn="just"/>
          <a:r>
            <a:rPr lang="en-PH" sz="750">
              <a:solidFill>
                <a:schemeClr val="dk1"/>
              </a:solidFill>
              <a:effectLst/>
              <a:latin typeface="Century Gothic" panose="020B0502020202020204" pitchFamily="34" charset="0"/>
              <a:ea typeface="+mn-ea"/>
              <a:cs typeface="+mn-cs"/>
            </a:rPr>
            <a:t> </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undergo Counseling within Fifteen (15) days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submit complete documentary requirements under Annex B within Thirty (30) days for the locally employed and Sixty (60) days for OFW’s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pay the first equity payment within thirty (30) days from payment of Reservation Fee;</a:t>
          </a:r>
        </a:p>
        <a:p>
          <a:pPr algn="just"/>
          <a:endParaRPr lang="en-PH" sz="750">
            <a:latin typeface="Century Gothic" panose="020B0502020202020204" pitchFamily="34" charset="0"/>
          </a:endParaRPr>
        </a:p>
      </xdr:txBody>
    </xdr:sp>
    <xdr:clientData/>
  </xdr:oneCellAnchor>
  <mc:AlternateContent xmlns:mc="http://schemas.openxmlformats.org/markup-compatibility/2006">
    <mc:Choice xmlns:a14="http://schemas.microsoft.com/office/drawing/2010/main" Requires="a14">
      <xdr:twoCellAnchor editAs="oneCell">
        <xdr:from>
          <xdr:col>0</xdr:col>
          <xdr:colOff>114300</xdr:colOff>
          <xdr:row>87</xdr:row>
          <xdr:rowOff>19050</xdr:rowOff>
        </xdr:from>
        <xdr:to>
          <xdr:col>2</xdr:col>
          <xdr:colOff>57150</xdr:colOff>
          <xdr:row>88</xdr:row>
          <xdr:rowOff>19050</xdr:rowOff>
        </xdr:to>
        <xdr:sp macro="" textlink="">
          <xdr:nvSpPr>
            <xdr:cNvPr id="17434" name="Check Box 26" hidden="1">
              <a:extLst>
                <a:ext uri="{63B3BB69-23CF-44E3-9099-C40C66FF867C}">
                  <a14:compatExt spid="_x0000_s17434"/>
                </a:ext>
                <a:ext uri="{FF2B5EF4-FFF2-40B4-BE49-F238E27FC236}">
                  <a16:creationId xmlns:a16="http://schemas.microsoft.com/office/drawing/2014/main" id="{00000000-0008-0000-1100-00001A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114300</xdr:colOff>
          <xdr:row>87</xdr:row>
          <xdr:rowOff>190500</xdr:rowOff>
        </xdr:from>
        <xdr:to>
          <xdr:col>2</xdr:col>
          <xdr:colOff>57150</xdr:colOff>
          <xdr:row>89</xdr:row>
          <xdr:rowOff>0</xdr:rowOff>
        </xdr:to>
        <xdr:sp macro="" textlink="">
          <xdr:nvSpPr>
            <xdr:cNvPr id="17435" name="Check Box 27" hidden="1">
              <a:extLst>
                <a:ext uri="{63B3BB69-23CF-44E3-9099-C40C66FF867C}">
                  <a14:compatExt spid="_x0000_s17435"/>
                </a:ext>
                <a:ext uri="{FF2B5EF4-FFF2-40B4-BE49-F238E27FC236}">
                  <a16:creationId xmlns:a16="http://schemas.microsoft.com/office/drawing/2014/main" id="{00000000-0008-0000-1100-00001B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87</xdr:row>
          <xdr:rowOff>19050</xdr:rowOff>
        </xdr:from>
        <xdr:to>
          <xdr:col>10</xdr:col>
          <xdr:colOff>28575</xdr:colOff>
          <xdr:row>88</xdr:row>
          <xdr:rowOff>19050</xdr:rowOff>
        </xdr:to>
        <xdr:sp macro="" textlink="">
          <xdr:nvSpPr>
            <xdr:cNvPr id="17436" name="Check Box 28" hidden="1">
              <a:extLst>
                <a:ext uri="{63B3BB69-23CF-44E3-9099-C40C66FF867C}">
                  <a14:compatExt spid="_x0000_s17436"/>
                </a:ext>
                <a:ext uri="{FF2B5EF4-FFF2-40B4-BE49-F238E27FC236}">
                  <a16:creationId xmlns:a16="http://schemas.microsoft.com/office/drawing/2014/main" id="{00000000-0008-0000-1100-00001C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87</xdr:row>
          <xdr:rowOff>209550</xdr:rowOff>
        </xdr:from>
        <xdr:to>
          <xdr:col>10</xdr:col>
          <xdr:colOff>28575</xdr:colOff>
          <xdr:row>89</xdr:row>
          <xdr:rowOff>0</xdr:rowOff>
        </xdr:to>
        <xdr:sp macro="" textlink="">
          <xdr:nvSpPr>
            <xdr:cNvPr id="17437" name="Check Box 29" hidden="1">
              <a:extLst>
                <a:ext uri="{63B3BB69-23CF-44E3-9099-C40C66FF867C}">
                  <a14:compatExt spid="_x0000_s17437"/>
                </a:ext>
                <a:ext uri="{FF2B5EF4-FFF2-40B4-BE49-F238E27FC236}">
                  <a16:creationId xmlns:a16="http://schemas.microsoft.com/office/drawing/2014/main" id="{00000000-0008-0000-1100-00001D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152400</xdr:colOff>
          <xdr:row>87</xdr:row>
          <xdr:rowOff>0</xdr:rowOff>
        </xdr:from>
        <xdr:to>
          <xdr:col>17</xdr:col>
          <xdr:colOff>19050</xdr:colOff>
          <xdr:row>88</xdr:row>
          <xdr:rowOff>0</xdr:rowOff>
        </xdr:to>
        <xdr:sp macro="" textlink="">
          <xdr:nvSpPr>
            <xdr:cNvPr id="17438" name="Check Box 30" hidden="1">
              <a:extLst>
                <a:ext uri="{63B3BB69-23CF-44E3-9099-C40C66FF867C}">
                  <a14:compatExt spid="_x0000_s17438"/>
                </a:ext>
                <a:ext uri="{FF2B5EF4-FFF2-40B4-BE49-F238E27FC236}">
                  <a16:creationId xmlns:a16="http://schemas.microsoft.com/office/drawing/2014/main" id="{00000000-0008-0000-1100-00001E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152400</xdr:colOff>
          <xdr:row>88</xdr:row>
          <xdr:rowOff>19050</xdr:rowOff>
        </xdr:from>
        <xdr:to>
          <xdr:col>17</xdr:col>
          <xdr:colOff>19050</xdr:colOff>
          <xdr:row>89</xdr:row>
          <xdr:rowOff>19050</xdr:rowOff>
        </xdr:to>
        <xdr:sp macro="" textlink="">
          <xdr:nvSpPr>
            <xdr:cNvPr id="17439" name="Check Box 31" hidden="1">
              <a:extLst>
                <a:ext uri="{63B3BB69-23CF-44E3-9099-C40C66FF867C}">
                  <a14:compatExt spid="_x0000_s17439"/>
                </a:ext>
                <a:ext uri="{FF2B5EF4-FFF2-40B4-BE49-F238E27FC236}">
                  <a16:creationId xmlns:a16="http://schemas.microsoft.com/office/drawing/2014/main" id="{00000000-0008-0000-1100-00001F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152400</xdr:colOff>
          <xdr:row>89</xdr:row>
          <xdr:rowOff>0</xdr:rowOff>
        </xdr:from>
        <xdr:to>
          <xdr:col>17</xdr:col>
          <xdr:colOff>19050</xdr:colOff>
          <xdr:row>90</xdr:row>
          <xdr:rowOff>0</xdr:rowOff>
        </xdr:to>
        <xdr:sp macro="" textlink="">
          <xdr:nvSpPr>
            <xdr:cNvPr id="17440" name="Check Box 32" hidden="1">
              <a:extLst>
                <a:ext uri="{63B3BB69-23CF-44E3-9099-C40C66FF867C}">
                  <a14:compatExt spid="_x0000_s17440"/>
                </a:ext>
                <a:ext uri="{FF2B5EF4-FFF2-40B4-BE49-F238E27FC236}">
                  <a16:creationId xmlns:a16="http://schemas.microsoft.com/office/drawing/2014/main" id="{00000000-0008-0000-1100-000020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0</xdr:colOff>
      <xdr:row>101</xdr:row>
      <xdr:rowOff>0</xdr:rowOff>
    </xdr:from>
    <xdr:to>
      <xdr:col>21</xdr:col>
      <xdr:colOff>0</xdr:colOff>
      <xdr:row>109</xdr:row>
      <xdr:rowOff>160293</xdr:rowOff>
    </xdr:to>
    <xdr:sp macro="" textlink="">
      <xdr:nvSpPr>
        <xdr:cNvPr id="23" name="TextBox 22">
          <a:extLst>
            <a:ext uri="{FF2B5EF4-FFF2-40B4-BE49-F238E27FC236}">
              <a16:creationId xmlns:a16="http://schemas.microsoft.com/office/drawing/2014/main" id="{00000000-0008-0000-1100-000017000000}"/>
            </a:ext>
          </a:extLst>
        </xdr:cNvPr>
        <xdr:cNvSpPr txBox="1"/>
      </xdr:nvSpPr>
      <xdr:spPr>
        <a:xfrm>
          <a:off x="0" y="18535650"/>
          <a:ext cx="7762875" cy="183669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PH" sz="750">
              <a:solidFill>
                <a:schemeClr val="dk1"/>
              </a:solidFill>
              <a:effectLst/>
              <a:latin typeface="Century Gothic" panose="020B0502020202020204" pitchFamily="34" charset="0"/>
              <a:ea typeface="+mn-ea"/>
              <a:cs typeface="+mn-cs"/>
            </a:rPr>
            <a:t>By signing this Reservation Agreement, I hereby consent to the collection, processing, disclosure and storage of my personal data and information in compliance with the Data Privacy Act of 2012, and its Implementing Rules and Regulations (IRR), by </a:t>
          </a:r>
          <a:r>
            <a:rPr lang="en-PH" sz="750" b="1">
              <a:solidFill>
                <a:schemeClr val="dk1"/>
              </a:solidFill>
              <a:effectLst/>
              <a:latin typeface="Century Gothic" panose="020B0502020202020204" pitchFamily="34" charset="0"/>
              <a:ea typeface="+mn-ea"/>
              <a:cs typeface="+mn-cs"/>
            </a:rPr>
            <a:t>WEE COMMUNITY DEVELOPERS, INC</a:t>
          </a:r>
          <a:r>
            <a:rPr lang="en-PH" sz="750">
              <a:solidFill>
                <a:schemeClr val="dk1"/>
              </a:solidFill>
              <a:effectLst/>
              <a:latin typeface="Century Gothic" panose="020B0502020202020204" pitchFamily="34" charset="0"/>
              <a:ea typeface="+mn-ea"/>
              <a:cs typeface="+mn-cs"/>
            </a:rPr>
            <a:t>. (the “Company”).</a:t>
          </a:r>
        </a:p>
        <a:p>
          <a:pPr algn="just"/>
          <a:endParaRPr lang="en-PH" sz="750">
            <a:solidFill>
              <a:schemeClr val="dk1"/>
            </a:solidFill>
            <a:effectLst/>
            <a:latin typeface="Century Gothic" panose="020B0502020202020204" pitchFamily="34" charset="0"/>
            <a:ea typeface="+mn-ea"/>
            <a:cs typeface="+mn-cs"/>
          </a:endParaRPr>
        </a:p>
        <a:p>
          <a:pPr algn="just"/>
          <a:r>
            <a:rPr lang="en-PH" sz="750">
              <a:solidFill>
                <a:schemeClr val="dk1"/>
              </a:solidFill>
              <a:effectLst/>
              <a:latin typeface="Century Gothic" panose="020B0502020202020204" pitchFamily="34" charset="0"/>
              <a:ea typeface="+mn-ea"/>
              <a:cs typeface="+mn-cs"/>
            </a:rPr>
            <a:t>As such, I hereby authorize the Company to: </a:t>
          </a:r>
          <a:r>
            <a:rPr lang="en-PH" sz="750" b="1">
              <a:solidFill>
                <a:schemeClr val="dk1"/>
              </a:solidFill>
              <a:effectLst/>
              <a:latin typeface="Century Gothic" panose="020B0502020202020204" pitchFamily="34" charset="0"/>
              <a:ea typeface="+mn-ea"/>
              <a:cs typeface="+mn-cs"/>
            </a:rPr>
            <a:t>(1)</a:t>
          </a:r>
          <a:r>
            <a:rPr lang="en-PH" sz="750">
              <a:solidFill>
                <a:schemeClr val="dk1"/>
              </a:solidFill>
              <a:effectLst/>
              <a:latin typeface="Century Gothic" panose="020B0502020202020204" pitchFamily="34" charset="0"/>
              <a:ea typeface="+mn-ea"/>
              <a:cs typeface="+mn-cs"/>
            </a:rPr>
            <a:t> use my personal information in all documents and forms requiring such information in relation to all transactions for which this Agreement is entered into; </a:t>
          </a:r>
          <a:r>
            <a:rPr lang="en-PH" sz="750" b="1">
              <a:solidFill>
                <a:schemeClr val="dk1"/>
              </a:solidFill>
              <a:effectLst/>
              <a:latin typeface="Century Gothic" panose="020B0502020202020204" pitchFamily="34" charset="0"/>
              <a:ea typeface="+mn-ea"/>
              <a:cs typeface="+mn-cs"/>
            </a:rPr>
            <a:t>(2)</a:t>
          </a:r>
          <a:r>
            <a:rPr lang="en-PH" sz="750">
              <a:solidFill>
                <a:schemeClr val="dk1"/>
              </a:solidFill>
              <a:effectLst/>
              <a:latin typeface="Century Gothic" panose="020B0502020202020204" pitchFamily="34" charset="0"/>
              <a:ea typeface="+mn-ea"/>
              <a:cs typeface="+mn-cs"/>
            </a:rPr>
            <a:t> share/disclose my personal information, subject to such limitations as may be provided for by law, to the extent necessary to enforce this Agreement or for other legitimate business purpose; and </a:t>
          </a:r>
          <a:r>
            <a:rPr lang="en-PH" sz="750" b="1">
              <a:solidFill>
                <a:schemeClr val="dk1"/>
              </a:solidFill>
              <a:effectLst/>
              <a:latin typeface="Century Gothic" panose="020B0502020202020204" pitchFamily="34" charset="0"/>
              <a:ea typeface="+mn-ea"/>
              <a:cs typeface="+mn-cs"/>
            </a:rPr>
            <a:t>(3)</a:t>
          </a:r>
          <a:r>
            <a:rPr lang="en-PH" sz="750">
              <a:solidFill>
                <a:schemeClr val="dk1"/>
              </a:solidFill>
              <a:effectLst/>
              <a:latin typeface="Century Gothic" panose="020B0502020202020204" pitchFamily="34" charset="0"/>
              <a:ea typeface="+mn-ea"/>
              <a:cs typeface="+mn-cs"/>
            </a:rPr>
            <a:t> retain my information for a reasonable period of time from the date all transactions relating to this Agreement have been either consummated or terminated for any reason whatsoever, subject to all my rights guaranteed under Section 16 of the Data Privacy Act of 2012. Pursuant to Republic Act No. 9160 otherwise known as the Anti-Money Laundering Act of 2001 dated 20 September 2001 as amended by Republic Act No. 11521 dated 29 January 2021, upon my signing of this Agreement, I agree and thereby expressly give my consent to the Company’s procedural</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reporting of pertinent details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the AMLA Committee should the provisions of the law require them</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disclose any of the information I provided herein, by virtue of the Company’s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exercise of due diligence required of them by law. I shall not hold the Company liable and shall be protected against Republic Act No. 10173 or the Data Privacy Act of 2012 dated 12 July 2012 by doing so.</a:t>
          </a:r>
        </a:p>
        <a:p>
          <a:pPr algn="just"/>
          <a:endParaRPr lang="en-PH" sz="750">
            <a:effectLst/>
            <a:latin typeface="Century Gothic" panose="020B0502020202020204" pitchFamily="34" charset="0"/>
          </a:endParaRPr>
        </a:p>
        <a:p>
          <a:pPr algn="just"/>
          <a:r>
            <a:rPr lang="en-PH" sz="750">
              <a:solidFill>
                <a:schemeClr val="dk1"/>
              </a:solidFill>
              <a:effectLst/>
              <a:latin typeface="Century Gothic" panose="020B0502020202020204" pitchFamily="34" charset="0"/>
              <a:ea typeface="+mn-ea"/>
              <a:cs typeface="+mn-cs"/>
            </a:rPr>
            <a:t>In view of the foregoing, I further certify that all information I have provided to the Company are, to the best of my knowledge, true and correct, and hold the Company free and harmless from any action or claim for damages in relation to the consent hereby given.</a:t>
          </a:r>
        </a:p>
        <a:p>
          <a:pPr algn="just"/>
          <a:endParaRPr lang="en-PH" sz="1100"/>
        </a:p>
      </xdr:txBody>
    </xdr:sp>
    <xdr:clientData/>
  </xdr:twoCellAnchor>
</xdr:wsDr>
</file>

<file path=xl/drawings/drawing1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11</xdr:col>
          <xdr:colOff>304800</xdr:colOff>
          <xdr:row>7</xdr:row>
          <xdr:rowOff>209550</xdr:rowOff>
        </xdr:from>
        <xdr:to>
          <xdr:col>14</xdr:col>
          <xdr:colOff>171450</xdr:colOff>
          <xdr:row>9</xdr:row>
          <xdr:rowOff>0</xdr:rowOff>
        </xdr:to>
        <xdr:sp macro="" textlink="">
          <xdr:nvSpPr>
            <xdr:cNvPr id="93185" name="Check Box 1" hidden="1">
              <a:extLst>
                <a:ext uri="{63B3BB69-23CF-44E3-9099-C40C66FF867C}">
                  <a14:compatExt spid="_x0000_s93185"/>
                </a:ext>
                <a:ext uri="{FF2B5EF4-FFF2-40B4-BE49-F238E27FC236}">
                  <a16:creationId xmlns:a16="http://schemas.microsoft.com/office/drawing/2014/main" id="{00000000-0008-0000-1400-0000016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PH" sz="800" b="0" i="0" u="none" strike="noStrike" baseline="0">
                  <a:solidFill>
                    <a:srgbClr val="000000"/>
                  </a:solidFill>
                  <a:latin typeface="Segoe UI"/>
                  <a:cs typeface="Segoe UI"/>
                </a:rPr>
                <a:t>Townhouse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304800</xdr:colOff>
          <xdr:row>9</xdr:row>
          <xdr:rowOff>0</xdr:rowOff>
        </xdr:from>
        <xdr:to>
          <xdr:col>14</xdr:col>
          <xdr:colOff>171450</xdr:colOff>
          <xdr:row>10</xdr:row>
          <xdr:rowOff>0</xdr:rowOff>
        </xdr:to>
        <xdr:sp macro="" textlink="">
          <xdr:nvSpPr>
            <xdr:cNvPr id="93186" name="Check Box 2" hidden="1">
              <a:extLst>
                <a:ext uri="{63B3BB69-23CF-44E3-9099-C40C66FF867C}">
                  <a14:compatExt spid="_x0000_s93186"/>
                </a:ext>
                <a:ext uri="{FF2B5EF4-FFF2-40B4-BE49-F238E27FC236}">
                  <a16:creationId xmlns:a16="http://schemas.microsoft.com/office/drawing/2014/main" id="{00000000-0008-0000-1400-0000026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PH" sz="800" b="0" i="0" u="none" strike="noStrike" baseline="0">
                  <a:solidFill>
                    <a:srgbClr val="000000"/>
                  </a:solidFill>
                  <a:latin typeface="Segoe UI"/>
                  <a:cs typeface="Segoe UI"/>
                </a:rPr>
                <a:t>Commercial / Office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57150</xdr:colOff>
          <xdr:row>8</xdr:row>
          <xdr:rowOff>19050</xdr:rowOff>
        </xdr:from>
        <xdr:to>
          <xdr:col>8</xdr:col>
          <xdr:colOff>285750</xdr:colOff>
          <xdr:row>9</xdr:row>
          <xdr:rowOff>19050</xdr:rowOff>
        </xdr:to>
        <xdr:sp macro="" textlink="">
          <xdr:nvSpPr>
            <xdr:cNvPr id="93187" name="Check Box 3" hidden="1">
              <a:extLst>
                <a:ext uri="{63B3BB69-23CF-44E3-9099-C40C66FF867C}">
                  <a14:compatExt spid="_x0000_s93187"/>
                </a:ext>
                <a:ext uri="{FF2B5EF4-FFF2-40B4-BE49-F238E27FC236}">
                  <a16:creationId xmlns:a16="http://schemas.microsoft.com/office/drawing/2014/main" id="{00000000-0008-0000-1400-0000036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PH" sz="800" b="0" i="0" u="none" strike="noStrike" baseline="0">
                  <a:solidFill>
                    <a:srgbClr val="000000"/>
                  </a:solidFill>
                  <a:latin typeface="Segoe UI"/>
                  <a:cs typeface="Segoe UI"/>
                </a:rPr>
                <a:t>Residential Condominium</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57150</xdr:colOff>
          <xdr:row>8</xdr:row>
          <xdr:rowOff>209550</xdr:rowOff>
        </xdr:from>
        <xdr:to>
          <xdr:col>8</xdr:col>
          <xdr:colOff>285750</xdr:colOff>
          <xdr:row>10</xdr:row>
          <xdr:rowOff>0</xdr:rowOff>
        </xdr:to>
        <xdr:sp macro="" textlink="">
          <xdr:nvSpPr>
            <xdr:cNvPr id="93188" name="Check Box 4" hidden="1">
              <a:extLst>
                <a:ext uri="{63B3BB69-23CF-44E3-9099-C40C66FF867C}">
                  <a14:compatExt spid="_x0000_s93188"/>
                </a:ext>
                <a:ext uri="{FF2B5EF4-FFF2-40B4-BE49-F238E27FC236}">
                  <a16:creationId xmlns:a16="http://schemas.microsoft.com/office/drawing/2014/main" id="{00000000-0008-0000-1400-0000046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PH" sz="800" b="0" i="0" u="none" strike="noStrike" baseline="0">
                  <a:solidFill>
                    <a:srgbClr val="000000"/>
                  </a:solidFill>
                  <a:latin typeface="Segoe UI"/>
                  <a:cs typeface="Segoe UI"/>
                </a:rPr>
                <a:t>House and Lot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476250</xdr:colOff>
          <xdr:row>8</xdr:row>
          <xdr:rowOff>0</xdr:rowOff>
        </xdr:from>
        <xdr:to>
          <xdr:col>19</xdr:col>
          <xdr:colOff>180975</xdr:colOff>
          <xdr:row>9</xdr:row>
          <xdr:rowOff>0</xdr:rowOff>
        </xdr:to>
        <xdr:sp macro="" textlink="">
          <xdr:nvSpPr>
            <xdr:cNvPr id="93189" name="Check Box 5" hidden="1">
              <a:extLst>
                <a:ext uri="{63B3BB69-23CF-44E3-9099-C40C66FF867C}">
                  <a14:compatExt spid="_x0000_s93189"/>
                </a:ext>
                <a:ext uri="{FF2B5EF4-FFF2-40B4-BE49-F238E27FC236}">
                  <a16:creationId xmlns:a16="http://schemas.microsoft.com/office/drawing/2014/main" id="{00000000-0008-0000-1400-0000056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PH" sz="800" b="0" i="0" u="none" strike="noStrike" baseline="0">
                  <a:solidFill>
                    <a:srgbClr val="000000"/>
                  </a:solidFill>
                  <a:latin typeface="Segoe UI"/>
                  <a:cs typeface="Segoe UI"/>
                </a:rPr>
                <a:t>Parking Slot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476250</xdr:colOff>
          <xdr:row>9</xdr:row>
          <xdr:rowOff>0</xdr:rowOff>
        </xdr:from>
        <xdr:to>
          <xdr:col>19</xdr:col>
          <xdr:colOff>180975</xdr:colOff>
          <xdr:row>10</xdr:row>
          <xdr:rowOff>0</xdr:rowOff>
        </xdr:to>
        <xdr:sp macro="" textlink="">
          <xdr:nvSpPr>
            <xdr:cNvPr id="93190" name="Check Box 6" hidden="1">
              <a:extLst>
                <a:ext uri="{63B3BB69-23CF-44E3-9099-C40C66FF867C}">
                  <a14:compatExt spid="_x0000_s93190"/>
                </a:ext>
                <a:ext uri="{FF2B5EF4-FFF2-40B4-BE49-F238E27FC236}">
                  <a16:creationId xmlns:a16="http://schemas.microsoft.com/office/drawing/2014/main" id="{00000000-0008-0000-1400-0000066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PH" sz="800" b="0" i="0" u="none" strike="noStrike" baseline="0">
                  <a:solidFill>
                    <a:srgbClr val="000000"/>
                  </a:solidFill>
                  <a:latin typeface="Segoe UI"/>
                  <a:cs typeface="Segoe UI"/>
                </a:rPr>
                <a:t>Lot only</a:t>
              </a:r>
            </a:p>
          </xdr:txBody>
        </xdr:sp>
        <xdr:clientData/>
      </xdr:twoCellAnchor>
    </mc:Choice>
    <mc:Fallback/>
  </mc:AlternateContent>
</xdr:wsDr>
</file>

<file path=xl/drawings/drawing1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38100</xdr:colOff>
          <xdr:row>34</xdr:row>
          <xdr:rowOff>19050</xdr:rowOff>
        </xdr:from>
        <xdr:to>
          <xdr:col>2</xdr:col>
          <xdr:colOff>285750</xdr:colOff>
          <xdr:row>35</xdr:row>
          <xdr:rowOff>19050</xdr:rowOff>
        </xdr:to>
        <xdr:sp macro="" textlink="">
          <xdr:nvSpPr>
            <xdr:cNvPr id="18445" name="Check Box 13" hidden="1">
              <a:extLst>
                <a:ext uri="{63B3BB69-23CF-44E3-9099-C40C66FF867C}">
                  <a14:compatExt spid="_x0000_s18445"/>
                </a:ext>
                <a:ext uri="{FF2B5EF4-FFF2-40B4-BE49-F238E27FC236}">
                  <a16:creationId xmlns:a16="http://schemas.microsoft.com/office/drawing/2014/main" id="{00000000-0008-0000-1500-00000D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190500</xdr:colOff>
          <xdr:row>34</xdr:row>
          <xdr:rowOff>0</xdr:rowOff>
        </xdr:from>
        <xdr:to>
          <xdr:col>12</xdr:col>
          <xdr:colOff>19050</xdr:colOff>
          <xdr:row>35</xdr:row>
          <xdr:rowOff>19050</xdr:rowOff>
        </xdr:to>
        <xdr:sp macro="" textlink="">
          <xdr:nvSpPr>
            <xdr:cNvPr id="18447" name="Check Box 15" hidden="1">
              <a:extLst>
                <a:ext uri="{63B3BB69-23CF-44E3-9099-C40C66FF867C}">
                  <a14:compatExt spid="_x0000_s18447"/>
                </a:ext>
                <a:ext uri="{FF2B5EF4-FFF2-40B4-BE49-F238E27FC236}">
                  <a16:creationId xmlns:a16="http://schemas.microsoft.com/office/drawing/2014/main" id="{00000000-0008-0000-1500-00000F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257175</xdr:colOff>
          <xdr:row>16</xdr:row>
          <xdr:rowOff>0</xdr:rowOff>
        </xdr:from>
        <xdr:to>
          <xdr:col>3</xdr:col>
          <xdr:colOff>171450</xdr:colOff>
          <xdr:row>17</xdr:row>
          <xdr:rowOff>19050</xdr:rowOff>
        </xdr:to>
        <xdr:sp macro="" textlink="">
          <xdr:nvSpPr>
            <xdr:cNvPr id="18448" name="Check Box 16" hidden="1">
              <a:extLst>
                <a:ext uri="{63B3BB69-23CF-44E3-9099-C40C66FF867C}">
                  <a14:compatExt spid="_x0000_s18448"/>
                </a:ext>
                <a:ext uri="{FF2B5EF4-FFF2-40B4-BE49-F238E27FC236}">
                  <a16:creationId xmlns:a16="http://schemas.microsoft.com/office/drawing/2014/main" id="{00000000-0008-0000-1500-000010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257175</xdr:colOff>
          <xdr:row>15</xdr:row>
          <xdr:rowOff>19050</xdr:rowOff>
        </xdr:from>
        <xdr:to>
          <xdr:col>3</xdr:col>
          <xdr:colOff>171450</xdr:colOff>
          <xdr:row>16</xdr:row>
          <xdr:rowOff>19050</xdr:rowOff>
        </xdr:to>
        <xdr:sp macro="" textlink="">
          <xdr:nvSpPr>
            <xdr:cNvPr id="18449" name="Check Box 17" hidden="1">
              <a:extLst>
                <a:ext uri="{63B3BB69-23CF-44E3-9099-C40C66FF867C}">
                  <a14:compatExt spid="_x0000_s18449"/>
                </a:ext>
                <a:ext uri="{FF2B5EF4-FFF2-40B4-BE49-F238E27FC236}">
                  <a16:creationId xmlns:a16="http://schemas.microsoft.com/office/drawing/2014/main" id="{00000000-0008-0000-1500-000011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133350</xdr:colOff>
          <xdr:row>15</xdr:row>
          <xdr:rowOff>209550</xdr:rowOff>
        </xdr:from>
        <xdr:to>
          <xdr:col>11</xdr:col>
          <xdr:colOff>28575</xdr:colOff>
          <xdr:row>17</xdr:row>
          <xdr:rowOff>0</xdr:rowOff>
        </xdr:to>
        <xdr:sp macro="" textlink="">
          <xdr:nvSpPr>
            <xdr:cNvPr id="18450" name="Check Box 18" hidden="1">
              <a:extLst>
                <a:ext uri="{63B3BB69-23CF-44E3-9099-C40C66FF867C}">
                  <a14:compatExt spid="_x0000_s18450"/>
                </a:ext>
                <a:ext uri="{FF2B5EF4-FFF2-40B4-BE49-F238E27FC236}">
                  <a16:creationId xmlns:a16="http://schemas.microsoft.com/office/drawing/2014/main" id="{00000000-0008-0000-1500-000012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133350</xdr:colOff>
          <xdr:row>15</xdr:row>
          <xdr:rowOff>0</xdr:rowOff>
        </xdr:from>
        <xdr:to>
          <xdr:col>11</xdr:col>
          <xdr:colOff>28575</xdr:colOff>
          <xdr:row>16</xdr:row>
          <xdr:rowOff>19050</xdr:rowOff>
        </xdr:to>
        <xdr:sp macro="" textlink="">
          <xdr:nvSpPr>
            <xdr:cNvPr id="18451" name="Check Box 19" hidden="1">
              <a:extLst>
                <a:ext uri="{63B3BB69-23CF-44E3-9099-C40C66FF867C}">
                  <a14:compatExt spid="_x0000_s18451"/>
                </a:ext>
                <a:ext uri="{FF2B5EF4-FFF2-40B4-BE49-F238E27FC236}">
                  <a16:creationId xmlns:a16="http://schemas.microsoft.com/office/drawing/2014/main" id="{00000000-0008-0000-1500-000013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1057275</xdr:colOff>
          <xdr:row>15</xdr:row>
          <xdr:rowOff>19050</xdr:rowOff>
        </xdr:from>
        <xdr:to>
          <xdr:col>19</xdr:col>
          <xdr:colOff>28575</xdr:colOff>
          <xdr:row>16</xdr:row>
          <xdr:rowOff>19050</xdr:rowOff>
        </xdr:to>
        <xdr:sp macro="" textlink="">
          <xdr:nvSpPr>
            <xdr:cNvPr id="18452" name="Check Box 20" hidden="1">
              <a:extLst>
                <a:ext uri="{63B3BB69-23CF-44E3-9099-C40C66FF867C}">
                  <a14:compatExt spid="_x0000_s18452"/>
                </a:ext>
                <a:ext uri="{FF2B5EF4-FFF2-40B4-BE49-F238E27FC236}">
                  <a16:creationId xmlns:a16="http://schemas.microsoft.com/office/drawing/2014/main" id="{00000000-0008-0000-1500-000014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66675</xdr:colOff>
          <xdr:row>84</xdr:row>
          <xdr:rowOff>66675</xdr:rowOff>
        </xdr:from>
        <xdr:to>
          <xdr:col>2</xdr:col>
          <xdr:colOff>19050</xdr:colOff>
          <xdr:row>86</xdr:row>
          <xdr:rowOff>0</xdr:rowOff>
        </xdr:to>
        <xdr:sp macro="" textlink="">
          <xdr:nvSpPr>
            <xdr:cNvPr id="18453" name="Check Box 21" hidden="1">
              <a:extLst>
                <a:ext uri="{63B3BB69-23CF-44E3-9099-C40C66FF867C}">
                  <a14:compatExt spid="_x0000_s18453"/>
                </a:ext>
                <a:ext uri="{FF2B5EF4-FFF2-40B4-BE49-F238E27FC236}">
                  <a16:creationId xmlns:a16="http://schemas.microsoft.com/office/drawing/2014/main" id="{00000000-0008-0000-1500-000015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85</xdr:row>
          <xdr:rowOff>0</xdr:rowOff>
        </xdr:from>
        <xdr:to>
          <xdr:col>10</xdr:col>
          <xdr:colOff>0</xdr:colOff>
          <xdr:row>86</xdr:row>
          <xdr:rowOff>0</xdr:rowOff>
        </xdr:to>
        <xdr:sp macro="" textlink="">
          <xdr:nvSpPr>
            <xdr:cNvPr id="18454" name="Check Box 22" hidden="1">
              <a:extLst>
                <a:ext uri="{63B3BB69-23CF-44E3-9099-C40C66FF867C}">
                  <a14:compatExt spid="_x0000_s18454"/>
                </a:ext>
                <a:ext uri="{FF2B5EF4-FFF2-40B4-BE49-F238E27FC236}">
                  <a16:creationId xmlns:a16="http://schemas.microsoft.com/office/drawing/2014/main" id="{00000000-0008-0000-1500-000016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142875</xdr:colOff>
          <xdr:row>85</xdr:row>
          <xdr:rowOff>0</xdr:rowOff>
        </xdr:from>
        <xdr:to>
          <xdr:col>17</xdr:col>
          <xdr:colOff>0</xdr:colOff>
          <xdr:row>86</xdr:row>
          <xdr:rowOff>19050</xdr:rowOff>
        </xdr:to>
        <xdr:sp macro="" textlink="">
          <xdr:nvSpPr>
            <xdr:cNvPr id="18455" name="Check Box 23" hidden="1">
              <a:extLst>
                <a:ext uri="{63B3BB69-23CF-44E3-9099-C40C66FF867C}">
                  <a14:compatExt spid="_x0000_s18455"/>
                </a:ext>
                <a:ext uri="{FF2B5EF4-FFF2-40B4-BE49-F238E27FC236}">
                  <a16:creationId xmlns:a16="http://schemas.microsoft.com/office/drawing/2014/main" id="{00000000-0008-0000-1500-000017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1057275</xdr:colOff>
          <xdr:row>15</xdr:row>
          <xdr:rowOff>209550</xdr:rowOff>
        </xdr:from>
        <xdr:to>
          <xdr:col>19</xdr:col>
          <xdr:colOff>28575</xdr:colOff>
          <xdr:row>17</xdr:row>
          <xdr:rowOff>0</xdr:rowOff>
        </xdr:to>
        <xdr:sp macro="" textlink="">
          <xdr:nvSpPr>
            <xdr:cNvPr id="18456" name="Check Box 24" hidden="1">
              <a:extLst>
                <a:ext uri="{63B3BB69-23CF-44E3-9099-C40C66FF867C}">
                  <a14:compatExt spid="_x0000_s18456"/>
                </a:ext>
                <a:ext uri="{FF2B5EF4-FFF2-40B4-BE49-F238E27FC236}">
                  <a16:creationId xmlns:a16="http://schemas.microsoft.com/office/drawing/2014/main" id="{00000000-0008-0000-1500-000018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866775</xdr:colOff>
          <xdr:row>34</xdr:row>
          <xdr:rowOff>0</xdr:rowOff>
        </xdr:from>
        <xdr:to>
          <xdr:col>18</xdr:col>
          <xdr:colOff>28575</xdr:colOff>
          <xdr:row>35</xdr:row>
          <xdr:rowOff>19050</xdr:rowOff>
        </xdr:to>
        <xdr:sp macro="" textlink="">
          <xdr:nvSpPr>
            <xdr:cNvPr id="18457" name="Check Box 25" hidden="1">
              <a:extLst>
                <a:ext uri="{63B3BB69-23CF-44E3-9099-C40C66FF867C}">
                  <a14:compatExt spid="_x0000_s18457"/>
                </a:ext>
                <a:ext uri="{FF2B5EF4-FFF2-40B4-BE49-F238E27FC236}">
                  <a16:creationId xmlns:a16="http://schemas.microsoft.com/office/drawing/2014/main" id="{00000000-0008-0000-1500-000019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0</xdr:col>
      <xdr:colOff>0</xdr:colOff>
      <xdr:row>38</xdr:row>
      <xdr:rowOff>133349</xdr:rowOff>
    </xdr:from>
    <xdr:ext cx="7724775" cy="7324725"/>
    <xdr:sp macro="" textlink="">
      <xdr:nvSpPr>
        <xdr:cNvPr id="16" name="TextBox 15">
          <a:extLst>
            <a:ext uri="{FF2B5EF4-FFF2-40B4-BE49-F238E27FC236}">
              <a16:creationId xmlns:a16="http://schemas.microsoft.com/office/drawing/2014/main" id="{00000000-0008-0000-1500-000010000000}"/>
            </a:ext>
          </a:extLst>
        </xdr:cNvPr>
        <xdr:cNvSpPr txBox="1"/>
      </xdr:nvSpPr>
      <xdr:spPr>
        <a:xfrm>
          <a:off x="0" y="7772399"/>
          <a:ext cx="7724775" cy="7324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marL="230400" lvl="0" indent="0" algn="just">
            <a:buFontTx/>
            <a:buNone/>
          </a:pPr>
          <a:r>
            <a:rPr lang="en-PH" sz="750">
              <a:solidFill>
                <a:schemeClr val="dk1"/>
              </a:solidFill>
              <a:effectLst/>
              <a:latin typeface="Century Gothic" panose="020B0502020202020204" pitchFamily="34" charset="0"/>
              <a:ea typeface="+mn-ea"/>
              <a:cs typeface="+mn-cs"/>
            </a:rPr>
            <a:t>Reservation Fee, exclusive of VAT, in order to reserve the Property for our intended purchase which shall be effective for a period of thirty (30) days from payment of the Reservation Fee. I understand and acknowledge that the Reservation fee is non-refundable. Should I decide to cancel my reservation; fail to submit all the documentary requirements, including this Reservation Agreement, under the attached Annex B; or fail to pay the amounts due on the due dates prescribed under the attached Annex A, for any reasons whatsoever, I agree that my reservation shall lapse and my Reservation Fee shall be forfeited in favor of the Company. I will hold the company free and harmless for thereafter releasing and offering the Property to other interested buyers.</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2"/>
          </a:pPr>
          <a:r>
            <a:rPr lang="en-PH" sz="750">
              <a:solidFill>
                <a:schemeClr val="dk1"/>
              </a:solidFill>
              <a:effectLst/>
              <a:latin typeface="Century Gothic" panose="020B0502020202020204" pitchFamily="34" charset="0"/>
              <a:ea typeface="+mn-ea"/>
              <a:cs typeface="+mn-cs"/>
            </a:rPr>
            <a:t>I acknowledge that the Company reserves the right to accept or deny this request for reservation and is non- transferable.</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acknowledge that in the event my application to purchase the Property is accepted, the Reservation Fee shall automatically form part of the required down payment. Upon being notified of the acceptance of my offer to purchase the Property, I shall remit, within the period required by the company, the down payment and/or balance, and the complete post-dated cheques, in accordance with the Schedule of Payment (inclusive of VAT and other charges), without need of further demand. Any and all payments made to any individual, realtor, broker, employee or to a party other than the Company for safekeeping in favor of or for transmittal to the Company shall be at my sole and exclusive risk and responsibility, and shall not bind nor make the former answerable in any way thereof unless and until actually received, receipted and validated by the Company’s Cashier or officer duly authorized by the Company. All payments shall be made ONLY through crossed-checks payable to the Company under the corporate name: </a:t>
          </a:r>
          <a:r>
            <a:rPr lang="en-PH" sz="750" b="1">
              <a:solidFill>
                <a:schemeClr val="dk1"/>
              </a:solidFill>
              <a:effectLst/>
              <a:latin typeface="Century Gothic" panose="020B0502020202020204" pitchFamily="34" charset="0"/>
              <a:ea typeface="+mn-ea"/>
              <a:cs typeface="+mn-cs"/>
            </a:rPr>
            <a:t>WEE COMMUNITY DEVELOPERS, INC. </a:t>
          </a:r>
          <a:r>
            <a:rPr lang="en-PH" sz="750">
              <a:solidFill>
                <a:schemeClr val="dk1"/>
              </a:solidFill>
              <a:effectLst/>
              <a:latin typeface="Century Gothic" panose="020B0502020202020204" pitchFamily="34" charset="0"/>
              <a:ea typeface="+mn-ea"/>
              <a:cs typeface="+mn-cs"/>
            </a:rPr>
            <a:t>or cash payable only directly to the Credit and Collection Department of the Company in its Head Office.</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further acknowledge that all payments in relation to this Reservation Agreement shall be made on or before their due dates, without the necessity of any prior notice or demand and whether or not the Contract to Sell has been signed and sent back to the Developer/Company. All overdue payments shall be subject to a penalty equivalent to a rate of 0.001 or 1/1000 of past due amount per day of delay, without prejudice to the right of the Developer/Company to cancel this Reservation Agreement.</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Unless otherwise provided, my Contract to Sell for the Property shall be prepared only after I have submitted to the Company all necessary documents and postdated checks in such amounts and on such dates as are in accordance with the Schedule of Payment. The Contract to Sell shall be executed and signed by me within thirty (30) days from date of receipt of the Contract to Sell. Should I fail to submit the duly signed Contract to Sell within the said period, this Reservation Agreement shall be cancelled.</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understand and agree that this Agreement only gives me the right to purchase the Property subject to the fulfillment of the conditions herein stated. No other right, title, or ownership is vested upon me by the execution of this Agreement. The Company retains title and ownership of the Property until I shall have fully </a:t>
          </a: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0" lvl="0" indent="0" algn="just">
            <a:buFontTx/>
            <a:buNone/>
          </a:pPr>
          <a:r>
            <a:rPr lang="en-PH" sz="750">
              <a:solidFill>
                <a:schemeClr val="dk1"/>
              </a:solidFill>
              <a:effectLst/>
              <a:latin typeface="Century Gothic" panose="020B0502020202020204" pitchFamily="34" charset="0"/>
              <a:ea typeface="+mn-ea"/>
              <a:cs typeface="+mn-cs"/>
            </a:rPr>
            <a:t>        paid all amounts due to the Company for the purchase of the Property.</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In the event that I/we avail ourselves of bank financing to finance the purchase of the subject property, I/we hereby authorize the Company to submit on my/our behalf all available income documents in its possession and my/our personal information to the banks and/or credit investigators (CMAP) for the purpose of loan application pre-assessment. </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further understand that the Total Contract Price indicated herein may vary from the Total Contract Price indicated in the Deed of Absolute Sale due to promos and discounts that may be given to me. In such event, I understand that the Total Contract stated in the Deed of Absolute Sale shall prevail.</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confirm that I have personally inspected the plans and specifications of the Property, studied and verified the Project site and its proximate location and layout of my requested Property and I find the same to be acceptable and satisfactory. I acknowledge that I have independently ascertained and evaluated all materials, facts and technical information related to the purchase of the Property and that I am satisfied with what has been explained to me by the Property Specialist/Broker who assisted me. I further understand that the sizes and/or numbering of the condominium units and parking spaces are subject to adjustments in accordance with the approved building plan or amendments thereon and I agree that the Developer reserves the right to revise architectural and floor plans without my consent.</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hereby authorize the Developer of the Project to organize the Project’s governing homeowner’s association or Condominium Corporation, as applicable.</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CANCELLATION OF RESERVATION. I /We, hereby agree that </a:t>
          </a:r>
          <a:r>
            <a:rPr lang="en-PH" sz="750" b="1">
              <a:solidFill>
                <a:schemeClr val="dk1"/>
              </a:solidFill>
              <a:effectLst/>
              <a:latin typeface="Century Gothic" panose="020B0502020202020204" pitchFamily="34" charset="0"/>
              <a:ea typeface="+mn-ea"/>
              <a:cs typeface="+mn-cs"/>
            </a:rPr>
            <a:t>WEE COMMUNITY DEVELOPERS, INC.</a:t>
          </a:r>
          <a:r>
            <a:rPr lang="en-PH" sz="750">
              <a:solidFill>
                <a:schemeClr val="dk1"/>
              </a:solidFill>
              <a:effectLst/>
              <a:latin typeface="Century Gothic" panose="020B0502020202020204" pitchFamily="34" charset="0"/>
              <a:ea typeface="+mn-ea"/>
              <a:cs typeface="+mn-cs"/>
            </a:rPr>
            <a:t> shall have the right to automatically cancel my/our reservation without further notice and without need of judicial rescission and to forfeit as liquidated damages my/our reservation fee and whatever other payments I/We have made, with any and all rights to the unit(s) considered waived by me/us in favor </a:t>
          </a:r>
          <a:r>
            <a:rPr lang="en-PH" sz="750" b="1">
              <a:solidFill>
                <a:schemeClr val="dk1"/>
              </a:solidFill>
              <a:effectLst/>
              <a:latin typeface="Century Gothic" panose="020B0502020202020204" pitchFamily="34" charset="0"/>
              <a:ea typeface="+mn-ea"/>
              <a:cs typeface="+mn-cs"/>
            </a:rPr>
            <a:t>of WEE COMMUNITY DEVELOPERS, INC.</a:t>
          </a:r>
          <a:r>
            <a:rPr lang="en-PH" sz="750">
              <a:solidFill>
                <a:schemeClr val="dk1"/>
              </a:solidFill>
              <a:effectLst/>
              <a:latin typeface="Century Gothic" panose="020B0502020202020204" pitchFamily="34" charset="0"/>
              <a:ea typeface="+mn-ea"/>
              <a:cs typeface="+mn-cs"/>
            </a:rPr>
            <a:t>, in the event of any of the following:</a:t>
          </a:r>
        </a:p>
        <a:p>
          <a:pPr algn="just"/>
          <a:r>
            <a:rPr lang="en-PH" sz="750">
              <a:solidFill>
                <a:schemeClr val="dk1"/>
              </a:solidFill>
              <a:effectLst/>
              <a:latin typeface="Century Gothic" panose="020B0502020202020204" pitchFamily="34" charset="0"/>
              <a:ea typeface="+mn-ea"/>
              <a:cs typeface="+mn-cs"/>
            </a:rPr>
            <a:t> </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undergo Counseling within Fifteen (15) days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submit complete documentary requirements under Annex B within Thirty (30) days for the locally employed and Sixty (60) days for OFW’s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pay the first equity payment within thirty (30) days from payment of Reservation Fee;</a:t>
          </a:r>
        </a:p>
        <a:p>
          <a:pPr algn="just"/>
          <a:endParaRPr lang="en-PH" sz="750">
            <a:latin typeface="Century Gothic" panose="020B0502020202020204" pitchFamily="34" charset="0"/>
          </a:endParaRPr>
        </a:p>
      </xdr:txBody>
    </xdr:sp>
    <xdr:clientData/>
  </xdr:oneCellAnchor>
  <mc:AlternateContent xmlns:mc="http://schemas.openxmlformats.org/markup-compatibility/2006">
    <mc:Choice xmlns:a14="http://schemas.microsoft.com/office/drawing/2010/main" Requires="a14">
      <xdr:twoCellAnchor editAs="oneCell">
        <xdr:from>
          <xdr:col>0</xdr:col>
          <xdr:colOff>95250</xdr:colOff>
          <xdr:row>86</xdr:row>
          <xdr:rowOff>0</xdr:rowOff>
        </xdr:from>
        <xdr:to>
          <xdr:col>2</xdr:col>
          <xdr:colOff>57150</xdr:colOff>
          <xdr:row>87</xdr:row>
          <xdr:rowOff>0</xdr:rowOff>
        </xdr:to>
        <xdr:sp macro="" textlink="">
          <xdr:nvSpPr>
            <xdr:cNvPr id="18459" name="Check Box 27" hidden="1">
              <a:extLst>
                <a:ext uri="{63B3BB69-23CF-44E3-9099-C40C66FF867C}">
                  <a14:compatExt spid="_x0000_s18459"/>
                </a:ext>
                <a:ext uri="{FF2B5EF4-FFF2-40B4-BE49-F238E27FC236}">
                  <a16:creationId xmlns:a16="http://schemas.microsoft.com/office/drawing/2014/main" id="{00000000-0008-0000-1500-00001B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95250</xdr:colOff>
          <xdr:row>86</xdr:row>
          <xdr:rowOff>209550</xdr:rowOff>
        </xdr:from>
        <xdr:to>
          <xdr:col>2</xdr:col>
          <xdr:colOff>57150</xdr:colOff>
          <xdr:row>88</xdr:row>
          <xdr:rowOff>0</xdr:rowOff>
        </xdr:to>
        <xdr:sp macro="" textlink="">
          <xdr:nvSpPr>
            <xdr:cNvPr id="18460" name="Check Box 28" hidden="1">
              <a:extLst>
                <a:ext uri="{63B3BB69-23CF-44E3-9099-C40C66FF867C}">
                  <a14:compatExt spid="_x0000_s18460"/>
                </a:ext>
                <a:ext uri="{FF2B5EF4-FFF2-40B4-BE49-F238E27FC236}">
                  <a16:creationId xmlns:a16="http://schemas.microsoft.com/office/drawing/2014/main" id="{00000000-0008-0000-1500-00001C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86</xdr:row>
          <xdr:rowOff>0</xdr:rowOff>
        </xdr:from>
        <xdr:to>
          <xdr:col>10</xdr:col>
          <xdr:colOff>38100</xdr:colOff>
          <xdr:row>87</xdr:row>
          <xdr:rowOff>0</xdr:rowOff>
        </xdr:to>
        <xdr:sp macro="" textlink="">
          <xdr:nvSpPr>
            <xdr:cNvPr id="18461" name="Check Box 29" hidden="1">
              <a:extLst>
                <a:ext uri="{63B3BB69-23CF-44E3-9099-C40C66FF867C}">
                  <a14:compatExt spid="_x0000_s18461"/>
                </a:ext>
                <a:ext uri="{FF2B5EF4-FFF2-40B4-BE49-F238E27FC236}">
                  <a16:creationId xmlns:a16="http://schemas.microsoft.com/office/drawing/2014/main" id="{00000000-0008-0000-1500-00001D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86</xdr:row>
          <xdr:rowOff>171450</xdr:rowOff>
        </xdr:from>
        <xdr:to>
          <xdr:col>10</xdr:col>
          <xdr:colOff>38100</xdr:colOff>
          <xdr:row>88</xdr:row>
          <xdr:rowOff>0</xdr:rowOff>
        </xdr:to>
        <xdr:sp macro="" textlink="">
          <xdr:nvSpPr>
            <xdr:cNvPr id="18462" name="Check Box 30" hidden="1">
              <a:extLst>
                <a:ext uri="{63B3BB69-23CF-44E3-9099-C40C66FF867C}">
                  <a14:compatExt spid="_x0000_s18462"/>
                </a:ext>
                <a:ext uri="{FF2B5EF4-FFF2-40B4-BE49-F238E27FC236}">
                  <a16:creationId xmlns:a16="http://schemas.microsoft.com/office/drawing/2014/main" id="{00000000-0008-0000-1500-00001E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171450</xdr:colOff>
          <xdr:row>86</xdr:row>
          <xdr:rowOff>0</xdr:rowOff>
        </xdr:from>
        <xdr:to>
          <xdr:col>17</xdr:col>
          <xdr:colOff>28575</xdr:colOff>
          <xdr:row>87</xdr:row>
          <xdr:rowOff>0</xdr:rowOff>
        </xdr:to>
        <xdr:sp macro="" textlink="">
          <xdr:nvSpPr>
            <xdr:cNvPr id="18463" name="Check Box 31" hidden="1">
              <a:extLst>
                <a:ext uri="{63B3BB69-23CF-44E3-9099-C40C66FF867C}">
                  <a14:compatExt spid="_x0000_s18463"/>
                </a:ext>
                <a:ext uri="{FF2B5EF4-FFF2-40B4-BE49-F238E27FC236}">
                  <a16:creationId xmlns:a16="http://schemas.microsoft.com/office/drawing/2014/main" id="{00000000-0008-0000-1500-00001F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171450</xdr:colOff>
          <xdr:row>86</xdr:row>
          <xdr:rowOff>209550</xdr:rowOff>
        </xdr:from>
        <xdr:to>
          <xdr:col>17</xdr:col>
          <xdr:colOff>28575</xdr:colOff>
          <xdr:row>88</xdr:row>
          <xdr:rowOff>0</xdr:rowOff>
        </xdr:to>
        <xdr:sp macro="" textlink="">
          <xdr:nvSpPr>
            <xdr:cNvPr id="18464" name="Check Box 32" hidden="1">
              <a:extLst>
                <a:ext uri="{63B3BB69-23CF-44E3-9099-C40C66FF867C}">
                  <a14:compatExt spid="_x0000_s18464"/>
                </a:ext>
                <a:ext uri="{FF2B5EF4-FFF2-40B4-BE49-F238E27FC236}">
                  <a16:creationId xmlns:a16="http://schemas.microsoft.com/office/drawing/2014/main" id="{00000000-0008-0000-1500-000020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171450</xdr:colOff>
          <xdr:row>87</xdr:row>
          <xdr:rowOff>190500</xdr:rowOff>
        </xdr:from>
        <xdr:to>
          <xdr:col>17</xdr:col>
          <xdr:colOff>28575</xdr:colOff>
          <xdr:row>89</xdr:row>
          <xdr:rowOff>0</xdr:rowOff>
        </xdr:to>
        <xdr:sp macro="" textlink="">
          <xdr:nvSpPr>
            <xdr:cNvPr id="18465" name="Check Box 33" hidden="1">
              <a:extLst>
                <a:ext uri="{63B3BB69-23CF-44E3-9099-C40C66FF867C}">
                  <a14:compatExt spid="_x0000_s18465"/>
                </a:ext>
                <a:ext uri="{FF2B5EF4-FFF2-40B4-BE49-F238E27FC236}">
                  <a16:creationId xmlns:a16="http://schemas.microsoft.com/office/drawing/2014/main" id="{00000000-0008-0000-1500-000021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0</xdr:colOff>
      <xdr:row>100</xdr:row>
      <xdr:rowOff>0</xdr:rowOff>
    </xdr:from>
    <xdr:to>
      <xdr:col>21</xdr:col>
      <xdr:colOff>28575</xdr:colOff>
      <xdr:row>108</xdr:row>
      <xdr:rowOff>187187</xdr:rowOff>
    </xdr:to>
    <xdr:sp macro="" textlink="">
      <xdr:nvSpPr>
        <xdr:cNvPr id="23" name="TextBox 22">
          <a:extLst>
            <a:ext uri="{FF2B5EF4-FFF2-40B4-BE49-F238E27FC236}">
              <a16:creationId xmlns:a16="http://schemas.microsoft.com/office/drawing/2014/main" id="{00000000-0008-0000-1500-000017000000}"/>
            </a:ext>
          </a:extLst>
        </xdr:cNvPr>
        <xdr:cNvSpPr txBox="1"/>
      </xdr:nvSpPr>
      <xdr:spPr>
        <a:xfrm>
          <a:off x="0" y="18554700"/>
          <a:ext cx="7705725" cy="186358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PH" sz="750">
              <a:solidFill>
                <a:schemeClr val="dk1"/>
              </a:solidFill>
              <a:effectLst/>
              <a:latin typeface="Century Gothic" panose="020B0502020202020204" pitchFamily="34" charset="0"/>
              <a:ea typeface="+mn-ea"/>
              <a:cs typeface="+mn-cs"/>
            </a:rPr>
            <a:t>By signing this Reservation Agreement, I hereby consent to the collection, processing, disclosure and storage of my personal data and information in compliance with the Data Privacy Act of 2012, and its Implementing Rules and Regulations (IRR), by </a:t>
          </a:r>
          <a:r>
            <a:rPr lang="en-PH" sz="750" b="1">
              <a:solidFill>
                <a:schemeClr val="dk1"/>
              </a:solidFill>
              <a:effectLst/>
              <a:latin typeface="Century Gothic" panose="020B0502020202020204" pitchFamily="34" charset="0"/>
              <a:ea typeface="+mn-ea"/>
              <a:cs typeface="+mn-cs"/>
            </a:rPr>
            <a:t>WEE COMMUNITY DEVELOPERS, INC</a:t>
          </a:r>
          <a:r>
            <a:rPr lang="en-PH" sz="750">
              <a:solidFill>
                <a:schemeClr val="dk1"/>
              </a:solidFill>
              <a:effectLst/>
              <a:latin typeface="Century Gothic" panose="020B0502020202020204" pitchFamily="34" charset="0"/>
              <a:ea typeface="+mn-ea"/>
              <a:cs typeface="+mn-cs"/>
            </a:rPr>
            <a:t>. (the “Company”).</a:t>
          </a:r>
        </a:p>
        <a:p>
          <a:pPr algn="just"/>
          <a:endParaRPr lang="en-PH" sz="750">
            <a:solidFill>
              <a:schemeClr val="dk1"/>
            </a:solidFill>
            <a:effectLst/>
            <a:latin typeface="Century Gothic" panose="020B0502020202020204" pitchFamily="34" charset="0"/>
            <a:ea typeface="+mn-ea"/>
            <a:cs typeface="+mn-cs"/>
          </a:endParaRPr>
        </a:p>
        <a:p>
          <a:pPr algn="just"/>
          <a:r>
            <a:rPr lang="en-PH" sz="750">
              <a:solidFill>
                <a:schemeClr val="dk1"/>
              </a:solidFill>
              <a:effectLst/>
              <a:latin typeface="Century Gothic" panose="020B0502020202020204" pitchFamily="34" charset="0"/>
              <a:ea typeface="+mn-ea"/>
              <a:cs typeface="+mn-cs"/>
            </a:rPr>
            <a:t>As such, I hereby authorize the Company to: </a:t>
          </a:r>
          <a:r>
            <a:rPr lang="en-PH" sz="750" b="1">
              <a:solidFill>
                <a:schemeClr val="dk1"/>
              </a:solidFill>
              <a:effectLst/>
              <a:latin typeface="Century Gothic" panose="020B0502020202020204" pitchFamily="34" charset="0"/>
              <a:ea typeface="+mn-ea"/>
              <a:cs typeface="+mn-cs"/>
            </a:rPr>
            <a:t>(1)</a:t>
          </a:r>
          <a:r>
            <a:rPr lang="en-PH" sz="750">
              <a:solidFill>
                <a:schemeClr val="dk1"/>
              </a:solidFill>
              <a:effectLst/>
              <a:latin typeface="Century Gothic" panose="020B0502020202020204" pitchFamily="34" charset="0"/>
              <a:ea typeface="+mn-ea"/>
              <a:cs typeface="+mn-cs"/>
            </a:rPr>
            <a:t> use my personal information in all documents and forms requiring such information in relation to all transactions for which this Agreement is entered into; </a:t>
          </a:r>
          <a:r>
            <a:rPr lang="en-PH" sz="750" b="1">
              <a:solidFill>
                <a:schemeClr val="dk1"/>
              </a:solidFill>
              <a:effectLst/>
              <a:latin typeface="Century Gothic" panose="020B0502020202020204" pitchFamily="34" charset="0"/>
              <a:ea typeface="+mn-ea"/>
              <a:cs typeface="+mn-cs"/>
            </a:rPr>
            <a:t>(2)</a:t>
          </a:r>
          <a:r>
            <a:rPr lang="en-PH" sz="750">
              <a:solidFill>
                <a:schemeClr val="dk1"/>
              </a:solidFill>
              <a:effectLst/>
              <a:latin typeface="Century Gothic" panose="020B0502020202020204" pitchFamily="34" charset="0"/>
              <a:ea typeface="+mn-ea"/>
              <a:cs typeface="+mn-cs"/>
            </a:rPr>
            <a:t> share/disclose my personal information, subject to such limitations as may be provided for by law, to the extent necessary to enforce this Agreement or for other legitimate business purpose; and </a:t>
          </a:r>
          <a:r>
            <a:rPr lang="en-PH" sz="750" b="1">
              <a:solidFill>
                <a:schemeClr val="dk1"/>
              </a:solidFill>
              <a:effectLst/>
              <a:latin typeface="Century Gothic" panose="020B0502020202020204" pitchFamily="34" charset="0"/>
              <a:ea typeface="+mn-ea"/>
              <a:cs typeface="+mn-cs"/>
            </a:rPr>
            <a:t>(3)</a:t>
          </a:r>
          <a:r>
            <a:rPr lang="en-PH" sz="750">
              <a:solidFill>
                <a:schemeClr val="dk1"/>
              </a:solidFill>
              <a:effectLst/>
              <a:latin typeface="Century Gothic" panose="020B0502020202020204" pitchFamily="34" charset="0"/>
              <a:ea typeface="+mn-ea"/>
              <a:cs typeface="+mn-cs"/>
            </a:rPr>
            <a:t> retain my information for a reasonable period of time from the date all transactions relating to this Agreement have been either consummated or terminated for any reason whatsoever, subject to all my rights guaranteed under Section 16 of the Data Privacy Act of 2012. Pursuant to Republic Act No. 9160 otherwise known as the Anti-Money Laundering Act of 2001 dated 20 September 2001 as amended by Republic Act No. 11521 dated 29 January 2021, upon my signing of this Agreement, I agree and thereby expressly give my consent to the Company’s procedural</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reporting of pertinent details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the AMLA Committee should the provisions of the law require them</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disclose any of the information I provided herein, by virtue of the Company’s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exercise of due diligence required of them by law. I shall not hold the Company liable and shall be protected against Republic Act No. 10173 or the Data Privacy Act of 2012 dated 12 July 2012 by doing so.</a:t>
          </a:r>
        </a:p>
        <a:p>
          <a:pPr algn="just"/>
          <a:endParaRPr lang="en-PH" sz="750">
            <a:effectLst/>
            <a:latin typeface="Century Gothic" panose="020B0502020202020204" pitchFamily="34" charset="0"/>
          </a:endParaRPr>
        </a:p>
        <a:p>
          <a:pPr algn="just"/>
          <a:r>
            <a:rPr lang="en-PH" sz="750">
              <a:solidFill>
                <a:schemeClr val="dk1"/>
              </a:solidFill>
              <a:effectLst/>
              <a:latin typeface="Century Gothic" panose="020B0502020202020204" pitchFamily="34" charset="0"/>
              <a:ea typeface="+mn-ea"/>
              <a:cs typeface="+mn-cs"/>
            </a:rPr>
            <a:t>In view of the foregoing, I further certify that all information I have provided to the Company are, to the best of my knowledge, true and correct, and hold the Company free and harmless from any action or claim for damages in relation to the consent hereby given.</a:t>
          </a:r>
        </a:p>
        <a:p>
          <a:pPr algn="just"/>
          <a:endParaRPr lang="en-PH" sz="1100"/>
        </a:p>
      </xdr:txBody>
    </xdr:sp>
    <xdr:clientData/>
  </xdr:twoCellAnchor>
</xdr:wsDr>
</file>

<file path=xl/drawings/drawing1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11</xdr:col>
          <xdr:colOff>304800</xdr:colOff>
          <xdr:row>7</xdr:row>
          <xdr:rowOff>209550</xdr:rowOff>
        </xdr:from>
        <xdr:to>
          <xdr:col>14</xdr:col>
          <xdr:colOff>171450</xdr:colOff>
          <xdr:row>9</xdr:row>
          <xdr:rowOff>0</xdr:rowOff>
        </xdr:to>
        <xdr:sp macro="" textlink="">
          <xdr:nvSpPr>
            <xdr:cNvPr id="94209" name="Check Box 1" hidden="1">
              <a:extLst>
                <a:ext uri="{63B3BB69-23CF-44E3-9099-C40C66FF867C}">
                  <a14:compatExt spid="_x0000_s94209"/>
                </a:ext>
                <a:ext uri="{FF2B5EF4-FFF2-40B4-BE49-F238E27FC236}">
                  <a16:creationId xmlns:a16="http://schemas.microsoft.com/office/drawing/2014/main" id="{00000000-0008-0000-1600-0000017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PH" sz="800" b="0" i="0" u="none" strike="noStrike" baseline="0">
                  <a:solidFill>
                    <a:srgbClr val="000000"/>
                  </a:solidFill>
                  <a:latin typeface="Segoe UI"/>
                  <a:cs typeface="Segoe UI"/>
                </a:rPr>
                <a:t>Townhouse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304800</xdr:colOff>
          <xdr:row>9</xdr:row>
          <xdr:rowOff>0</xdr:rowOff>
        </xdr:from>
        <xdr:to>
          <xdr:col>14</xdr:col>
          <xdr:colOff>171450</xdr:colOff>
          <xdr:row>10</xdr:row>
          <xdr:rowOff>0</xdr:rowOff>
        </xdr:to>
        <xdr:sp macro="" textlink="">
          <xdr:nvSpPr>
            <xdr:cNvPr id="94210" name="Check Box 2" hidden="1">
              <a:extLst>
                <a:ext uri="{63B3BB69-23CF-44E3-9099-C40C66FF867C}">
                  <a14:compatExt spid="_x0000_s94210"/>
                </a:ext>
                <a:ext uri="{FF2B5EF4-FFF2-40B4-BE49-F238E27FC236}">
                  <a16:creationId xmlns:a16="http://schemas.microsoft.com/office/drawing/2014/main" id="{00000000-0008-0000-1600-0000027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PH" sz="800" b="0" i="0" u="none" strike="noStrike" baseline="0">
                  <a:solidFill>
                    <a:srgbClr val="000000"/>
                  </a:solidFill>
                  <a:latin typeface="Segoe UI"/>
                  <a:cs typeface="Segoe UI"/>
                </a:rPr>
                <a:t>Commercial / Office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57150</xdr:colOff>
          <xdr:row>8</xdr:row>
          <xdr:rowOff>19050</xdr:rowOff>
        </xdr:from>
        <xdr:to>
          <xdr:col>8</xdr:col>
          <xdr:colOff>285750</xdr:colOff>
          <xdr:row>9</xdr:row>
          <xdr:rowOff>19050</xdr:rowOff>
        </xdr:to>
        <xdr:sp macro="" textlink="">
          <xdr:nvSpPr>
            <xdr:cNvPr id="94211" name="Check Box 3" hidden="1">
              <a:extLst>
                <a:ext uri="{63B3BB69-23CF-44E3-9099-C40C66FF867C}">
                  <a14:compatExt spid="_x0000_s94211"/>
                </a:ext>
                <a:ext uri="{FF2B5EF4-FFF2-40B4-BE49-F238E27FC236}">
                  <a16:creationId xmlns:a16="http://schemas.microsoft.com/office/drawing/2014/main" id="{00000000-0008-0000-1600-0000037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PH" sz="800" b="0" i="0" u="none" strike="noStrike" baseline="0">
                  <a:solidFill>
                    <a:srgbClr val="000000"/>
                  </a:solidFill>
                  <a:latin typeface="Segoe UI"/>
                  <a:cs typeface="Segoe UI"/>
                </a:rPr>
                <a:t>Residential Condominium</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57150</xdr:colOff>
          <xdr:row>8</xdr:row>
          <xdr:rowOff>209550</xdr:rowOff>
        </xdr:from>
        <xdr:to>
          <xdr:col>8</xdr:col>
          <xdr:colOff>285750</xdr:colOff>
          <xdr:row>10</xdr:row>
          <xdr:rowOff>0</xdr:rowOff>
        </xdr:to>
        <xdr:sp macro="" textlink="">
          <xdr:nvSpPr>
            <xdr:cNvPr id="94212" name="Check Box 4" hidden="1">
              <a:extLst>
                <a:ext uri="{63B3BB69-23CF-44E3-9099-C40C66FF867C}">
                  <a14:compatExt spid="_x0000_s94212"/>
                </a:ext>
                <a:ext uri="{FF2B5EF4-FFF2-40B4-BE49-F238E27FC236}">
                  <a16:creationId xmlns:a16="http://schemas.microsoft.com/office/drawing/2014/main" id="{00000000-0008-0000-1600-0000047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PH" sz="800" b="0" i="0" u="none" strike="noStrike" baseline="0">
                  <a:solidFill>
                    <a:srgbClr val="000000"/>
                  </a:solidFill>
                  <a:latin typeface="Segoe UI"/>
                  <a:cs typeface="Segoe UI"/>
                </a:rPr>
                <a:t>House and Lot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476250</xdr:colOff>
          <xdr:row>8</xdr:row>
          <xdr:rowOff>0</xdr:rowOff>
        </xdr:from>
        <xdr:to>
          <xdr:col>19</xdr:col>
          <xdr:colOff>180975</xdr:colOff>
          <xdr:row>9</xdr:row>
          <xdr:rowOff>0</xdr:rowOff>
        </xdr:to>
        <xdr:sp macro="" textlink="">
          <xdr:nvSpPr>
            <xdr:cNvPr id="94213" name="Check Box 5" hidden="1">
              <a:extLst>
                <a:ext uri="{63B3BB69-23CF-44E3-9099-C40C66FF867C}">
                  <a14:compatExt spid="_x0000_s94213"/>
                </a:ext>
                <a:ext uri="{FF2B5EF4-FFF2-40B4-BE49-F238E27FC236}">
                  <a16:creationId xmlns:a16="http://schemas.microsoft.com/office/drawing/2014/main" id="{00000000-0008-0000-1600-0000057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PH" sz="800" b="0" i="0" u="none" strike="noStrike" baseline="0">
                  <a:solidFill>
                    <a:srgbClr val="000000"/>
                  </a:solidFill>
                  <a:latin typeface="Segoe UI"/>
                  <a:cs typeface="Segoe UI"/>
                </a:rPr>
                <a:t>Parking Slot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476250</xdr:colOff>
          <xdr:row>9</xdr:row>
          <xdr:rowOff>0</xdr:rowOff>
        </xdr:from>
        <xdr:to>
          <xdr:col>19</xdr:col>
          <xdr:colOff>180975</xdr:colOff>
          <xdr:row>10</xdr:row>
          <xdr:rowOff>0</xdr:rowOff>
        </xdr:to>
        <xdr:sp macro="" textlink="">
          <xdr:nvSpPr>
            <xdr:cNvPr id="94214" name="Check Box 6" hidden="1">
              <a:extLst>
                <a:ext uri="{63B3BB69-23CF-44E3-9099-C40C66FF867C}">
                  <a14:compatExt spid="_x0000_s94214"/>
                </a:ext>
                <a:ext uri="{FF2B5EF4-FFF2-40B4-BE49-F238E27FC236}">
                  <a16:creationId xmlns:a16="http://schemas.microsoft.com/office/drawing/2014/main" id="{00000000-0008-0000-1600-0000067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PH" sz="800" b="0" i="0" u="none" strike="noStrike" baseline="0">
                  <a:solidFill>
                    <a:srgbClr val="000000"/>
                  </a:solidFill>
                  <a:latin typeface="Segoe UI"/>
                  <a:cs typeface="Segoe UI"/>
                </a:rPr>
                <a:t>Lot only</a:t>
              </a:r>
            </a:p>
          </xdr:txBody>
        </xdr:sp>
        <xdr:clientData/>
      </xdr:twoCellAnchor>
    </mc:Choice>
    <mc:Fallback/>
  </mc:AlternateContent>
</xdr:wsDr>
</file>

<file path=xl/drawings/drawing1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38100</xdr:colOff>
          <xdr:row>34</xdr:row>
          <xdr:rowOff>19050</xdr:rowOff>
        </xdr:from>
        <xdr:to>
          <xdr:col>2</xdr:col>
          <xdr:colOff>285750</xdr:colOff>
          <xdr:row>35</xdr:row>
          <xdr:rowOff>19050</xdr:rowOff>
        </xdr:to>
        <xdr:sp macro="" textlink="">
          <xdr:nvSpPr>
            <xdr:cNvPr id="19470" name="Check Box 14" hidden="1">
              <a:extLst>
                <a:ext uri="{63B3BB69-23CF-44E3-9099-C40C66FF867C}">
                  <a14:compatExt spid="_x0000_s19470"/>
                </a:ext>
                <a:ext uri="{FF2B5EF4-FFF2-40B4-BE49-F238E27FC236}">
                  <a16:creationId xmlns:a16="http://schemas.microsoft.com/office/drawing/2014/main" id="{00000000-0008-0000-1700-00000E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247650</xdr:colOff>
          <xdr:row>34</xdr:row>
          <xdr:rowOff>0</xdr:rowOff>
        </xdr:from>
        <xdr:to>
          <xdr:col>12</xdr:col>
          <xdr:colOff>19050</xdr:colOff>
          <xdr:row>35</xdr:row>
          <xdr:rowOff>19050</xdr:rowOff>
        </xdr:to>
        <xdr:sp macro="" textlink="">
          <xdr:nvSpPr>
            <xdr:cNvPr id="19472" name="Check Box 16" hidden="1">
              <a:extLst>
                <a:ext uri="{63B3BB69-23CF-44E3-9099-C40C66FF867C}">
                  <a14:compatExt spid="_x0000_s19472"/>
                </a:ext>
                <a:ext uri="{FF2B5EF4-FFF2-40B4-BE49-F238E27FC236}">
                  <a16:creationId xmlns:a16="http://schemas.microsoft.com/office/drawing/2014/main" id="{00000000-0008-0000-1700-000010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257175</xdr:colOff>
          <xdr:row>16</xdr:row>
          <xdr:rowOff>0</xdr:rowOff>
        </xdr:from>
        <xdr:to>
          <xdr:col>3</xdr:col>
          <xdr:colOff>152400</xdr:colOff>
          <xdr:row>17</xdr:row>
          <xdr:rowOff>19050</xdr:rowOff>
        </xdr:to>
        <xdr:sp macro="" textlink="">
          <xdr:nvSpPr>
            <xdr:cNvPr id="19473" name="Check Box 17" hidden="1">
              <a:extLst>
                <a:ext uri="{63B3BB69-23CF-44E3-9099-C40C66FF867C}">
                  <a14:compatExt spid="_x0000_s19473"/>
                </a:ext>
                <a:ext uri="{FF2B5EF4-FFF2-40B4-BE49-F238E27FC236}">
                  <a16:creationId xmlns:a16="http://schemas.microsoft.com/office/drawing/2014/main" id="{00000000-0008-0000-1700-000011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257175</xdr:colOff>
          <xdr:row>15</xdr:row>
          <xdr:rowOff>19050</xdr:rowOff>
        </xdr:from>
        <xdr:to>
          <xdr:col>3</xdr:col>
          <xdr:colOff>152400</xdr:colOff>
          <xdr:row>16</xdr:row>
          <xdr:rowOff>19050</xdr:rowOff>
        </xdr:to>
        <xdr:sp macro="" textlink="">
          <xdr:nvSpPr>
            <xdr:cNvPr id="19474" name="Check Box 18" hidden="1">
              <a:extLst>
                <a:ext uri="{63B3BB69-23CF-44E3-9099-C40C66FF867C}">
                  <a14:compatExt spid="_x0000_s19474"/>
                </a:ext>
                <a:ext uri="{FF2B5EF4-FFF2-40B4-BE49-F238E27FC236}">
                  <a16:creationId xmlns:a16="http://schemas.microsoft.com/office/drawing/2014/main" id="{00000000-0008-0000-1700-000012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133350</xdr:colOff>
          <xdr:row>15</xdr:row>
          <xdr:rowOff>209550</xdr:rowOff>
        </xdr:from>
        <xdr:to>
          <xdr:col>10</xdr:col>
          <xdr:colOff>361950</xdr:colOff>
          <xdr:row>17</xdr:row>
          <xdr:rowOff>0</xdr:rowOff>
        </xdr:to>
        <xdr:sp macro="" textlink="">
          <xdr:nvSpPr>
            <xdr:cNvPr id="19475" name="Check Box 19" hidden="1">
              <a:extLst>
                <a:ext uri="{63B3BB69-23CF-44E3-9099-C40C66FF867C}">
                  <a14:compatExt spid="_x0000_s19475"/>
                </a:ext>
                <a:ext uri="{FF2B5EF4-FFF2-40B4-BE49-F238E27FC236}">
                  <a16:creationId xmlns:a16="http://schemas.microsoft.com/office/drawing/2014/main" id="{00000000-0008-0000-1700-000013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133350</xdr:colOff>
          <xdr:row>15</xdr:row>
          <xdr:rowOff>0</xdr:rowOff>
        </xdr:from>
        <xdr:to>
          <xdr:col>10</xdr:col>
          <xdr:colOff>361950</xdr:colOff>
          <xdr:row>16</xdr:row>
          <xdr:rowOff>19050</xdr:rowOff>
        </xdr:to>
        <xdr:sp macro="" textlink="">
          <xdr:nvSpPr>
            <xdr:cNvPr id="19476" name="Check Box 20" hidden="1">
              <a:extLst>
                <a:ext uri="{63B3BB69-23CF-44E3-9099-C40C66FF867C}">
                  <a14:compatExt spid="_x0000_s19476"/>
                </a:ext>
                <a:ext uri="{FF2B5EF4-FFF2-40B4-BE49-F238E27FC236}">
                  <a16:creationId xmlns:a16="http://schemas.microsoft.com/office/drawing/2014/main" id="{00000000-0008-0000-1700-000014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876300</xdr:colOff>
          <xdr:row>15</xdr:row>
          <xdr:rowOff>0</xdr:rowOff>
        </xdr:from>
        <xdr:to>
          <xdr:col>18</xdr:col>
          <xdr:colOff>209550</xdr:colOff>
          <xdr:row>16</xdr:row>
          <xdr:rowOff>19050</xdr:rowOff>
        </xdr:to>
        <xdr:sp macro="" textlink="">
          <xdr:nvSpPr>
            <xdr:cNvPr id="19477" name="Check Box 21" hidden="1">
              <a:extLst>
                <a:ext uri="{63B3BB69-23CF-44E3-9099-C40C66FF867C}">
                  <a14:compatExt spid="_x0000_s19477"/>
                </a:ext>
                <a:ext uri="{FF2B5EF4-FFF2-40B4-BE49-F238E27FC236}">
                  <a16:creationId xmlns:a16="http://schemas.microsoft.com/office/drawing/2014/main" id="{00000000-0008-0000-1700-000015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152400</xdr:colOff>
          <xdr:row>85</xdr:row>
          <xdr:rowOff>0</xdr:rowOff>
        </xdr:from>
        <xdr:to>
          <xdr:col>2</xdr:col>
          <xdr:colOff>19050</xdr:colOff>
          <xdr:row>86</xdr:row>
          <xdr:rowOff>0</xdr:rowOff>
        </xdr:to>
        <xdr:sp macro="" textlink="">
          <xdr:nvSpPr>
            <xdr:cNvPr id="19478" name="Check Box 22" hidden="1">
              <a:extLst>
                <a:ext uri="{63B3BB69-23CF-44E3-9099-C40C66FF867C}">
                  <a14:compatExt spid="_x0000_s19478"/>
                </a:ext>
                <a:ext uri="{FF2B5EF4-FFF2-40B4-BE49-F238E27FC236}">
                  <a16:creationId xmlns:a16="http://schemas.microsoft.com/office/drawing/2014/main" id="{00000000-0008-0000-1700-000016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85</xdr:row>
          <xdr:rowOff>0</xdr:rowOff>
        </xdr:from>
        <xdr:to>
          <xdr:col>10</xdr:col>
          <xdr:colOff>19050</xdr:colOff>
          <xdr:row>86</xdr:row>
          <xdr:rowOff>0</xdr:rowOff>
        </xdr:to>
        <xdr:sp macro="" textlink="">
          <xdr:nvSpPr>
            <xdr:cNvPr id="19479" name="Check Box 23" hidden="1">
              <a:extLst>
                <a:ext uri="{63B3BB69-23CF-44E3-9099-C40C66FF867C}">
                  <a14:compatExt spid="_x0000_s19479"/>
                </a:ext>
                <a:ext uri="{FF2B5EF4-FFF2-40B4-BE49-F238E27FC236}">
                  <a16:creationId xmlns:a16="http://schemas.microsoft.com/office/drawing/2014/main" id="{00000000-0008-0000-1700-000017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152400</xdr:colOff>
          <xdr:row>85</xdr:row>
          <xdr:rowOff>0</xdr:rowOff>
        </xdr:from>
        <xdr:to>
          <xdr:col>17</xdr:col>
          <xdr:colOff>0</xdr:colOff>
          <xdr:row>86</xdr:row>
          <xdr:rowOff>19050</xdr:rowOff>
        </xdr:to>
        <xdr:sp macro="" textlink="">
          <xdr:nvSpPr>
            <xdr:cNvPr id="19480" name="Check Box 24" hidden="1">
              <a:extLst>
                <a:ext uri="{63B3BB69-23CF-44E3-9099-C40C66FF867C}">
                  <a14:compatExt spid="_x0000_s19480"/>
                </a:ext>
                <a:ext uri="{FF2B5EF4-FFF2-40B4-BE49-F238E27FC236}">
                  <a16:creationId xmlns:a16="http://schemas.microsoft.com/office/drawing/2014/main" id="{00000000-0008-0000-1700-000018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876300</xdr:colOff>
          <xdr:row>15</xdr:row>
          <xdr:rowOff>190500</xdr:rowOff>
        </xdr:from>
        <xdr:to>
          <xdr:col>18</xdr:col>
          <xdr:colOff>209550</xdr:colOff>
          <xdr:row>17</xdr:row>
          <xdr:rowOff>0</xdr:rowOff>
        </xdr:to>
        <xdr:sp macro="" textlink="">
          <xdr:nvSpPr>
            <xdr:cNvPr id="19481" name="Check Box 25" hidden="1">
              <a:extLst>
                <a:ext uri="{63B3BB69-23CF-44E3-9099-C40C66FF867C}">
                  <a14:compatExt spid="_x0000_s19481"/>
                </a:ext>
                <a:ext uri="{FF2B5EF4-FFF2-40B4-BE49-F238E27FC236}">
                  <a16:creationId xmlns:a16="http://schemas.microsoft.com/office/drawing/2014/main" id="{00000000-0008-0000-1700-000019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66675</xdr:colOff>
          <xdr:row>34</xdr:row>
          <xdr:rowOff>0</xdr:rowOff>
        </xdr:from>
        <xdr:to>
          <xdr:col>17</xdr:col>
          <xdr:colOff>285750</xdr:colOff>
          <xdr:row>35</xdr:row>
          <xdr:rowOff>19050</xdr:rowOff>
        </xdr:to>
        <xdr:sp macro="" textlink="">
          <xdr:nvSpPr>
            <xdr:cNvPr id="19482" name="Check Box 26" hidden="1">
              <a:extLst>
                <a:ext uri="{63B3BB69-23CF-44E3-9099-C40C66FF867C}">
                  <a14:compatExt spid="_x0000_s19482"/>
                </a:ext>
                <a:ext uri="{FF2B5EF4-FFF2-40B4-BE49-F238E27FC236}">
                  <a16:creationId xmlns:a16="http://schemas.microsoft.com/office/drawing/2014/main" id="{00000000-0008-0000-1700-00001A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0</xdr:col>
      <xdr:colOff>9524</xdr:colOff>
      <xdr:row>38</xdr:row>
      <xdr:rowOff>133350</xdr:rowOff>
    </xdr:from>
    <xdr:ext cx="7724775" cy="7677150"/>
    <xdr:sp macro="" textlink="">
      <xdr:nvSpPr>
        <xdr:cNvPr id="15" name="TextBox 14">
          <a:extLst>
            <a:ext uri="{FF2B5EF4-FFF2-40B4-BE49-F238E27FC236}">
              <a16:creationId xmlns:a16="http://schemas.microsoft.com/office/drawing/2014/main" id="{00000000-0008-0000-1700-00000F000000}"/>
            </a:ext>
          </a:extLst>
        </xdr:cNvPr>
        <xdr:cNvSpPr txBox="1"/>
      </xdr:nvSpPr>
      <xdr:spPr>
        <a:xfrm>
          <a:off x="9524" y="7772400"/>
          <a:ext cx="7724775" cy="76771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marL="230400" lvl="0" indent="0" algn="just">
            <a:buFontTx/>
            <a:buNone/>
          </a:pPr>
          <a:r>
            <a:rPr lang="en-PH" sz="750">
              <a:solidFill>
                <a:schemeClr val="dk1"/>
              </a:solidFill>
              <a:effectLst/>
              <a:latin typeface="Century Gothic" panose="020B0502020202020204" pitchFamily="34" charset="0"/>
              <a:ea typeface="+mn-ea"/>
              <a:cs typeface="+mn-cs"/>
            </a:rPr>
            <a:t>Reservation Fee, exclusive of VAT, in order to reserve the Property for our intended purchase which shall be effective for a period of thirty (30) days from payment of the Reservation Fee. I understand and acknowledge that the Reservation fee is non-refundable. Should I decide to cancel my reservation; fail to submit all the documentary requirements, including this Reservation Agreement, under the attached Annex B; or fail to pay the amounts due on the due dates prescribed under the attached Annex A, for any reasons whatsoever, I agree that my reservation shall lapse and my Reservation Fee shall be forfeited in favor of the Company. I will hold the company free and harmless for thereafter releasing and offering the Property to other interested buyers.</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2"/>
          </a:pPr>
          <a:r>
            <a:rPr lang="en-PH" sz="750">
              <a:solidFill>
                <a:schemeClr val="dk1"/>
              </a:solidFill>
              <a:effectLst/>
              <a:latin typeface="Century Gothic" panose="020B0502020202020204" pitchFamily="34" charset="0"/>
              <a:ea typeface="+mn-ea"/>
              <a:cs typeface="+mn-cs"/>
            </a:rPr>
            <a:t>I acknowledge that the Company reserves the right to accept or deny this request for reservation and is non- transferable. </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acknowledge that in the event my application to purchase the Property is accepted, the Reservation Fee shall automatically form part of the required down payment. Upon being notified of the acceptance of my offer to purchase the Property, I shall remit, within the period required by the company, the down payment and/or balance, and the complete post-dated cheques, in accordance with the Schedule of Payment (inclusive of VAT and other charges), without need of further demand. Any and all payments made to any individual, realtor, broker, employee or to a party other than the Company for safekeeping in favor of or for transmittal to the Company shall be at my sole and exclusive risk and responsibility, and shall not bind nor make the former answerable in any way thereof unless and until actually received, receipted and validated by the Company’s Cashier or officer duly authorized by the Company. All payments shall be made ONLY through crossed-checks payable to the Company under the corporate name: </a:t>
          </a:r>
          <a:r>
            <a:rPr lang="en-PH" sz="750" b="1">
              <a:solidFill>
                <a:schemeClr val="dk1"/>
              </a:solidFill>
              <a:effectLst/>
              <a:latin typeface="Century Gothic" panose="020B0502020202020204" pitchFamily="34" charset="0"/>
              <a:ea typeface="+mn-ea"/>
              <a:cs typeface="+mn-cs"/>
            </a:rPr>
            <a:t>WEE COMMUNITY DEVELOPERS, INC. </a:t>
          </a:r>
          <a:r>
            <a:rPr lang="en-PH" sz="750">
              <a:solidFill>
                <a:schemeClr val="dk1"/>
              </a:solidFill>
              <a:effectLst/>
              <a:latin typeface="Century Gothic" panose="020B0502020202020204" pitchFamily="34" charset="0"/>
              <a:ea typeface="+mn-ea"/>
              <a:cs typeface="+mn-cs"/>
            </a:rPr>
            <a:t>or cash payable only directly to the Credit and Collection Department of the Company in its Head Office.</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further acknowledge that all payments in relation to this Reservation Agreement shall be made on or before their due dates, without the necessity of any prior notice or demand and whether or not the Contract to Sell has been signed and sent back to the Developer/Company. All overdue payments shall be subject to a penalty equivalent to a rate of 0.001 or 1/1000 of past due amount per day of delay, without prejudice to the right of the Developer/Company to cancel this Reservation Agreement.</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Unless otherwise provided, my Contract to Sell for the Property shall be prepared only after I have submitted to the Company all necessary documents and postdated checks in such amounts and on such dates as are in accordance with the Schedule of Payment. The Contract to Sell shall be executed and signed by me within thirty (30) days from date of receipt of the Contract to Sell. Should I fail to submit the duly signed Contract to Sell within the said period, this Reservation Agreement shall be cancelled.</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understand and agree that this Agreement only gives me the right to purchase the Property subject to the fulfillment of the conditions herein stated. No other right, title, or ownership is vested upon me by the execution of this Agreement. The Company retains title and ownership of the Property until I shall have fully </a:t>
          </a: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0" lvl="0" indent="0" algn="just">
            <a:buFontTx/>
            <a:buNone/>
          </a:pPr>
          <a:r>
            <a:rPr lang="en-PH" sz="750">
              <a:solidFill>
                <a:schemeClr val="dk1"/>
              </a:solidFill>
              <a:effectLst/>
              <a:latin typeface="Century Gothic" panose="020B0502020202020204" pitchFamily="34" charset="0"/>
              <a:ea typeface="+mn-ea"/>
              <a:cs typeface="+mn-cs"/>
            </a:rPr>
            <a:t>        paid all amounts due to the Company for the purchase of the Property.</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In the event that I/we avail ourselves of bank financing to finance the purchase of the subject property, I/we hereby authorize the Company to submit on my/our behalf all available income documents in its possession and my/our personal information to the banks and/or credit investigators (CMAP) for the purpose of loan application pre-assessment. </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further understand that the Total Contract Price indicated herein may vary from the Total Contract Price indicated in the Deed of Absolute Sale due to promos and discounts that may be given to me. In such event, I understand that the Total Contract stated in the Deed of Absolute Sale shall prevail.</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confirm that I have personally inspected the plans and specifications of the Property, studied and verified the Project site and its proximate location and layout of my requested Property and I find the same to be acceptable and satisfactory. I acknowledge that I have independently ascertained and evaluated all materials, facts and technical information related to the purchase of the Property and that I am satisfied with what has been explained to me by the Property Specialist/Broker who assisted me. I further understand that the sizes and/or numbering of the condominium units and parking spaces are subject to adjustments in accordance with the approved building plan or amendments thereon and I agree that the Developer reserves the right to revise architectural and floor plans without my consent.</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hereby authorize the Developer of the Project to organize the Project’s governing homeowner’s association or Condominium Corporation, as applicable.</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CANCELLATION OF RESERVATION. I /We, hereby agree that </a:t>
          </a:r>
          <a:r>
            <a:rPr lang="en-PH" sz="750" b="1">
              <a:solidFill>
                <a:schemeClr val="dk1"/>
              </a:solidFill>
              <a:effectLst/>
              <a:latin typeface="Century Gothic" panose="020B0502020202020204" pitchFamily="34" charset="0"/>
              <a:ea typeface="+mn-ea"/>
              <a:cs typeface="+mn-cs"/>
            </a:rPr>
            <a:t>WEE COMMUNITY DEVELOPERS, INC.</a:t>
          </a:r>
          <a:r>
            <a:rPr lang="en-PH" sz="750">
              <a:solidFill>
                <a:schemeClr val="dk1"/>
              </a:solidFill>
              <a:effectLst/>
              <a:latin typeface="Century Gothic" panose="020B0502020202020204" pitchFamily="34" charset="0"/>
              <a:ea typeface="+mn-ea"/>
              <a:cs typeface="+mn-cs"/>
            </a:rPr>
            <a:t> shall have the right to automatically cancel my/our reservation without further notice and without need of judicial rescission and to forfeit as liquidated damages my/our reservation fee and whatever other payments I/We have made, with any and all rights to the unit(s) considered waived by me/us in favor </a:t>
          </a:r>
          <a:r>
            <a:rPr lang="en-PH" sz="750" b="1">
              <a:solidFill>
                <a:schemeClr val="dk1"/>
              </a:solidFill>
              <a:effectLst/>
              <a:latin typeface="Century Gothic" panose="020B0502020202020204" pitchFamily="34" charset="0"/>
              <a:ea typeface="+mn-ea"/>
              <a:cs typeface="+mn-cs"/>
            </a:rPr>
            <a:t>of WEE COMMUNITY DEVELOPERS, INC.</a:t>
          </a:r>
          <a:r>
            <a:rPr lang="en-PH" sz="750">
              <a:solidFill>
                <a:schemeClr val="dk1"/>
              </a:solidFill>
              <a:effectLst/>
              <a:latin typeface="Century Gothic" panose="020B0502020202020204" pitchFamily="34" charset="0"/>
              <a:ea typeface="+mn-ea"/>
              <a:cs typeface="+mn-cs"/>
            </a:rPr>
            <a:t>, in the event of any of the following:</a:t>
          </a:r>
        </a:p>
        <a:p>
          <a:pPr algn="just"/>
          <a:r>
            <a:rPr lang="en-PH" sz="750">
              <a:solidFill>
                <a:schemeClr val="dk1"/>
              </a:solidFill>
              <a:effectLst/>
              <a:latin typeface="Century Gothic" panose="020B0502020202020204" pitchFamily="34" charset="0"/>
              <a:ea typeface="+mn-ea"/>
              <a:cs typeface="+mn-cs"/>
            </a:rPr>
            <a:t> </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undergo Counseling within Fifteen (15) days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submit complete documentary requirements under Annex B within Thirty (30) days for the locally employed and Sixty (60) days for OFW’s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pay the first equity payment within thirty (30) days from payment of Reservation Fee;</a:t>
          </a:r>
        </a:p>
        <a:p>
          <a:pPr algn="just"/>
          <a:endParaRPr lang="en-PH" sz="750">
            <a:latin typeface="Century Gothic" panose="020B0502020202020204" pitchFamily="34" charset="0"/>
          </a:endParaRPr>
        </a:p>
      </xdr:txBody>
    </xdr:sp>
    <xdr:clientData/>
  </xdr:oneCellAnchor>
  <mc:AlternateContent xmlns:mc="http://schemas.openxmlformats.org/markup-compatibility/2006">
    <mc:Choice xmlns:a14="http://schemas.microsoft.com/office/drawing/2010/main" Requires="a14">
      <xdr:twoCellAnchor editAs="oneCell">
        <xdr:from>
          <xdr:col>0</xdr:col>
          <xdr:colOff>171450</xdr:colOff>
          <xdr:row>86</xdr:row>
          <xdr:rowOff>19050</xdr:rowOff>
        </xdr:from>
        <xdr:to>
          <xdr:col>2</xdr:col>
          <xdr:colOff>57150</xdr:colOff>
          <xdr:row>87</xdr:row>
          <xdr:rowOff>0</xdr:rowOff>
        </xdr:to>
        <xdr:sp macro="" textlink="">
          <xdr:nvSpPr>
            <xdr:cNvPr id="19483" name="Check Box 27" hidden="1">
              <a:extLst>
                <a:ext uri="{63B3BB69-23CF-44E3-9099-C40C66FF867C}">
                  <a14:compatExt spid="_x0000_s19483"/>
                </a:ext>
                <a:ext uri="{FF2B5EF4-FFF2-40B4-BE49-F238E27FC236}">
                  <a16:creationId xmlns:a16="http://schemas.microsoft.com/office/drawing/2014/main" id="{00000000-0008-0000-1700-00001B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171450</xdr:colOff>
          <xdr:row>87</xdr:row>
          <xdr:rowOff>0</xdr:rowOff>
        </xdr:from>
        <xdr:to>
          <xdr:col>2</xdr:col>
          <xdr:colOff>57150</xdr:colOff>
          <xdr:row>88</xdr:row>
          <xdr:rowOff>0</xdr:rowOff>
        </xdr:to>
        <xdr:sp macro="" textlink="">
          <xdr:nvSpPr>
            <xdr:cNvPr id="19484" name="Check Box 28" hidden="1">
              <a:extLst>
                <a:ext uri="{63B3BB69-23CF-44E3-9099-C40C66FF867C}">
                  <a14:compatExt spid="_x0000_s19484"/>
                </a:ext>
                <a:ext uri="{FF2B5EF4-FFF2-40B4-BE49-F238E27FC236}">
                  <a16:creationId xmlns:a16="http://schemas.microsoft.com/office/drawing/2014/main" id="{00000000-0008-0000-1700-00001C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86</xdr:row>
          <xdr:rowOff>19050</xdr:rowOff>
        </xdr:from>
        <xdr:to>
          <xdr:col>10</xdr:col>
          <xdr:colOff>57150</xdr:colOff>
          <xdr:row>87</xdr:row>
          <xdr:rowOff>0</xdr:rowOff>
        </xdr:to>
        <xdr:sp macro="" textlink="">
          <xdr:nvSpPr>
            <xdr:cNvPr id="19485" name="Check Box 29" hidden="1">
              <a:extLst>
                <a:ext uri="{63B3BB69-23CF-44E3-9099-C40C66FF867C}">
                  <a14:compatExt spid="_x0000_s19485"/>
                </a:ext>
                <a:ext uri="{FF2B5EF4-FFF2-40B4-BE49-F238E27FC236}">
                  <a16:creationId xmlns:a16="http://schemas.microsoft.com/office/drawing/2014/main" id="{00000000-0008-0000-1700-00001D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86</xdr:row>
          <xdr:rowOff>209550</xdr:rowOff>
        </xdr:from>
        <xdr:to>
          <xdr:col>10</xdr:col>
          <xdr:colOff>57150</xdr:colOff>
          <xdr:row>88</xdr:row>
          <xdr:rowOff>0</xdr:rowOff>
        </xdr:to>
        <xdr:sp macro="" textlink="">
          <xdr:nvSpPr>
            <xdr:cNvPr id="19486" name="Check Box 30" hidden="1">
              <a:extLst>
                <a:ext uri="{63B3BB69-23CF-44E3-9099-C40C66FF867C}">
                  <a14:compatExt spid="_x0000_s19486"/>
                </a:ext>
                <a:ext uri="{FF2B5EF4-FFF2-40B4-BE49-F238E27FC236}">
                  <a16:creationId xmlns:a16="http://schemas.microsoft.com/office/drawing/2014/main" id="{00000000-0008-0000-1700-00001E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171450</xdr:colOff>
          <xdr:row>86</xdr:row>
          <xdr:rowOff>19050</xdr:rowOff>
        </xdr:from>
        <xdr:to>
          <xdr:col>17</xdr:col>
          <xdr:colOff>19050</xdr:colOff>
          <xdr:row>87</xdr:row>
          <xdr:rowOff>0</xdr:rowOff>
        </xdr:to>
        <xdr:sp macro="" textlink="">
          <xdr:nvSpPr>
            <xdr:cNvPr id="19487" name="Check Box 31" hidden="1">
              <a:extLst>
                <a:ext uri="{63B3BB69-23CF-44E3-9099-C40C66FF867C}">
                  <a14:compatExt spid="_x0000_s19487"/>
                </a:ext>
                <a:ext uri="{FF2B5EF4-FFF2-40B4-BE49-F238E27FC236}">
                  <a16:creationId xmlns:a16="http://schemas.microsoft.com/office/drawing/2014/main" id="{00000000-0008-0000-1700-00001F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171450</xdr:colOff>
          <xdr:row>86</xdr:row>
          <xdr:rowOff>209550</xdr:rowOff>
        </xdr:from>
        <xdr:to>
          <xdr:col>17</xdr:col>
          <xdr:colOff>19050</xdr:colOff>
          <xdr:row>88</xdr:row>
          <xdr:rowOff>0</xdr:rowOff>
        </xdr:to>
        <xdr:sp macro="" textlink="">
          <xdr:nvSpPr>
            <xdr:cNvPr id="19488" name="Check Box 32" hidden="1">
              <a:extLst>
                <a:ext uri="{63B3BB69-23CF-44E3-9099-C40C66FF867C}">
                  <a14:compatExt spid="_x0000_s19488"/>
                </a:ext>
                <a:ext uri="{FF2B5EF4-FFF2-40B4-BE49-F238E27FC236}">
                  <a16:creationId xmlns:a16="http://schemas.microsoft.com/office/drawing/2014/main" id="{00000000-0008-0000-1700-000020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171450</xdr:colOff>
          <xdr:row>87</xdr:row>
          <xdr:rowOff>209550</xdr:rowOff>
        </xdr:from>
        <xdr:to>
          <xdr:col>17</xdr:col>
          <xdr:colOff>19050</xdr:colOff>
          <xdr:row>89</xdr:row>
          <xdr:rowOff>0</xdr:rowOff>
        </xdr:to>
        <xdr:sp macro="" textlink="">
          <xdr:nvSpPr>
            <xdr:cNvPr id="19489" name="Check Box 33" hidden="1">
              <a:extLst>
                <a:ext uri="{63B3BB69-23CF-44E3-9099-C40C66FF867C}">
                  <a14:compatExt spid="_x0000_s19489"/>
                </a:ext>
                <a:ext uri="{FF2B5EF4-FFF2-40B4-BE49-F238E27FC236}">
                  <a16:creationId xmlns:a16="http://schemas.microsoft.com/office/drawing/2014/main" id="{00000000-0008-0000-1700-000021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0</xdr:colOff>
      <xdr:row>99</xdr:row>
      <xdr:rowOff>0</xdr:rowOff>
    </xdr:from>
    <xdr:to>
      <xdr:col>20</xdr:col>
      <xdr:colOff>28575</xdr:colOff>
      <xdr:row>107</xdr:row>
      <xdr:rowOff>187187</xdr:rowOff>
    </xdr:to>
    <xdr:sp macro="" textlink="">
      <xdr:nvSpPr>
        <xdr:cNvPr id="23" name="TextBox 22">
          <a:extLst>
            <a:ext uri="{FF2B5EF4-FFF2-40B4-BE49-F238E27FC236}">
              <a16:creationId xmlns:a16="http://schemas.microsoft.com/office/drawing/2014/main" id="{00000000-0008-0000-1700-000017000000}"/>
            </a:ext>
          </a:extLst>
        </xdr:cNvPr>
        <xdr:cNvSpPr txBox="1"/>
      </xdr:nvSpPr>
      <xdr:spPr>
        <a:xfrm>
          <a:off x="0" y="18154650"/>
          <a:ext cx="7705725" cy="186358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PH" sz="750">
              <a:solidFill>
                <a:schemeClr val="dk1"/>
              </a:solidFill>
              <a:effectLst/>
              <a:latin typeface="Century Gothic" panose="020B0502020202020204" pitchFamily="34" charset="0"/>
              <a:ea typeface="+mn-ea"/>
              <a:cs typeface="+mn-cs"/>
            </a:rPr>
            <a:t>By signing this Reservation Agreement, I hereby consent to the collection, processing, disclosure and storage of my personal data and information in compliance with the Data Privacy Act of 2012, and its Implementing Rules and Regulations (IRR), by </a:t>
          </a:r>
          <a:r>
            <a:rPr lang="en-PH" sz="750" b="1">
              <a:solidFill>
                <a:schemeClr val="dk1"/>
              </a:solidFill>
              <a:effectLst/>
              <a:latin typeface="Century Gothic" panose="020B0502020202020204" pitchFamily="34" charset="0"/>
              <a:ea typeface="+mn-ea"/>
              <a:cs typeface="+mn-cs"/>
            </a:rPr>
            <a:t>WEE COMMUNITY DEVELOPERS, INC</a:t>
          </a:r>
          <a:r>
            <a:rPr lang="en-PH" sz="750">
              <a:solidFill>
                <a:schemeClr val="dk1"/>
              </a:solidFill>
              <a:effectLst/>
              <a:latin typeface="Century Gothic" panose="020B0502020202020204" pitchFamily="34" charset="0"/>
              <a:ea typeface="+mn-ea"/>
              <a:cs typeface="+mn-cs"/>
            </a:rPr>
            <a:t>. (the “Company”).</a:t>
          </a:r>
        </a:p>
        <a:p>
          <a:pPr algn="just"/>
          <a:endParaRPr lang="en-PH" sz="750">
            <a:solidFill>
              <a:schemeClr val="dk1"/>
            </a:solidFill>
            <a:effectLst/>
            <a:latin typeface="Century Gothic" panose="020B0502020202020204" pitchFamily="34" charset="0"/>
            <a:ea typeface="+mn-ea"/>
            <a:cs typeface="+mn-cs"/>
          </a:endParaRPr>
        </a:p>
        <a:p>
          <a:pPr algn="just"/>
          <a:r>
            <a:rPr lang="en-PH" sz="750">
              <a:solidFill>
                <a:schemeClr val="dk1"/>
              </a:solidFill>
              <a:effectLst/>
              <a:latin typeface="Century Gothic" panose="020B0502020202020204" pitchFamily="34" charset="0"/>
              <a:ea typeface="+mn-ea"/>
              <a:cs typeface="+mn-cs"/>
            </a:rPr>
            <a:t>As such, I hereby authorize the Company to: </a:t>
          </a:r>
          <a:r>
            <a:rPr lang="en-PH" sz="750" b="1">
              <a:solidFill>
                <a:schemeClr val="dk1"/>
              </a:solidFill>
              <a:effectLst/>
              <a:latin typeface="Century Gothic" panose="020B0502020202020204" pitchFamily="34" charset="0"/>
              <a:ea typeface="+mn-ea"/>
              <a:cs typeface="+mn-cs"/>
            </a:rPr>
            <a:t>(1)</a:t>
          </a:r>
          <a:r>
            <a:rPr lang="en-PH" sz="750">
              <a:solidFill>
                <a:schemeClr val="dk1"/>
              </a:solidFill>
              <a:effectLst/>
              <a:latin typeface="Century Gothic" panose="020B0502020202020204" pitchFamily="34" charset="0"/>
              <a:ea typeface="+mn-ea"/>
              <a:cs typeface="+mn-cs"/>
            </a:rPr>
            <a:t> use my personal information in all documents and forms requiring such information in relation to all transactions for which this Agreement is entered into; </a:t>
          </a:r>
          <a:r>
            <a:rPr lang="en-PH" sz="750" b="1">
              <a:solidFill>
                <a:schemeClr val="dk1"/>
              </a:solidFill>
              <a:effectLst/>
              <a:latin typeface="Century Gothic" panose="020B0502020202020204" pitchFamily="34" charset="0"/>
              <a:ea typeface="+mn-ea"/>
              <a:cs typeface="+mn-cs"/>
            </a:rPr>
            <a:t>(2)</a:t>
          </a:r>
          <a:r>
            <a:rPr lang="en-PH" sz="750">
              <a:solidFill>
                <a:schemeClr val="dk1"/>
              </a:solidFill>
              <a:effectLst/>
              <a:latin typeface="Century Gothic" panose="020B0502020202020204" pitchFamily="34" charset="0"/>
              <a:ea typeface="+mn-ea"/>
              <a:cs typeface="+mn-cs"/>
            </a:rPr>
            <a:t> share/disclose my personal information, subject to such limitations as may be provided for by law, to the extent necessary to enforce this Agreement or for other legitimate business purpose; and </a:t>
          </a:r>
          <a:r>
            <a:rPr lang="en-PH" sz="750" b="1">
              <a:solidFill>
                <a:schemeClr val="dk1"/>
              </a:solidFill>
              <a:effectLst/>
              <a:latin typeface="Century Gothic" panose="020B0502020202020204" pitchFamily="34" charset="0"/>
              <a:ea typeface="+mn-ea"/>
              <a:cs typeface="+mn-cs"/>
            </a:rPr>
            <a:t>(3)</a:t>
          </a:r>
          <a:r>
            <a:rPr lang="en-PH" sz="750">
              <a:solidFill>
                <a:schemeClr val="dk1"/>
              </a:solidFill>
              <a:effectLst/>
              <a:latin typeface="Century Gothic" panose="020B0502020202020204" pitchFamily="34" charset="0"/>
              <a:ea typeface="+mn-ea"/>
              <a:cs typeface="+mn-cs"/>
            </a:rPr>
            <a:t> retain my information for a reasonable period of time from the date all transactions relating to this Agreement have been either consummated or terminated for any reason whatsoever, subject to all my rights guaranteed under Section 16 of the Data Privacy Act of 2012. Pursuant to Republic Act No. 9160 otherwise known as the Anti-Money Laundering Act of 2001 dated 20 September 2001 as amended by Republic Act No. 11521 dated 29 January 2021, upon my signing of this Agreement, I agree and thereby expressly give my consent to the Company’s procedural</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reporting of pertinent details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the AMLA Committee should the provisions of the law require them</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disclose any of the information I provided herein, by virtue of the Company’s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exercise of due diligence required of them by law. I shall not hold the Company liable and shall be protected against Republic Act No. 10173 or the Data Privacy Act of 2012 dated 12 July 2012 by doing so.</a:t>
          </a:r>
        </a:p>
        <a:p>
          <a:pPr algn="just"/>
          <a:endParaRPr lang="en-PH" sz="750">
            <a:effectLst/>
            <a:latin typeface="Century Gothic" panose="020B0502020202020204" pitchFamily="34" charset="0"/>
          </a:endParaRPr>
        </a:p>
        <a:p>
          <a:pPr algn="just"/>
          <a:r>
            <a:rPr lang="en-PH" sz="750">
              <a:solidFill>
                <a:schemeClr val="dk1"/>
              </a:solidFill>
              <a:effectLst/>
              <a:latin typeface="Century Gothic" panose="020B0502020202020204" pitchFamily="34" charset="0"/>
              <a:ea typeface="+mn-ea"/>
              <a:cs typeface="+mn-cs"/>
            </a:rPr>
            <a:t>In view of the foregoing, I further certify that all information I have provided to the Company are, to the best of my knowledge, true and correct, and hold the Company free and harmless from any action or claim for damages in relation to the consent hereby given.</a:t>
          </a:r>
        </a:p>
        <a:p>
          <a:pPr algn="just"/>
          <a:endParaRPr lang="en-PH" sz="1100"/>
        </a:p>
      </xdr:txBody>
    </xdr:sp>
    <xdr:clientData/>
  </xdr:twoCellAnchor>
</xdr:wsDr>
</file>

<file path=xl/drawings/drawing1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11</xdr:col>
          <xdr:colOff>304800</xdr:colOff>
          <xdr:row>7</xdr:row>
          <xdr:rowOff>209550</xdr:rowOff>
        </xdr:from>
        <xdr:to>
          <xdr:col>14</xdr:col>
          <xdr:colOff>171450</xdr:colOff>
          <xdr:row>9</xdr:row>
          <xdr:rowOff>0</xdr:rowOff>
        </xdr:to>
        <xdr:sp macro="" textlink="">
          <xdr:nvSpPr>
            <xdr:cNvPr id="95233" name="Check Box 1" hidden="1">
              <a:extLst>
                <a:ext uri="{63B3BB69-23CF-44E3-9099-C40C66FF867C}">
                  <a14:compatExt spid="_x0000_s95233"/>
                </a:ext>
                <a:ext uri="{FF2B5EF4-FFF2-40B4-BE49-F238E27FC236}">
                  <a16:creationId xmlns:a16="http://schemas.microsoft.com/office/drawing/2014/main" id="{00000000-0008-0000-1900-0000017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PH" sz="800" b="0" i="0" u="none" strike="noStrike" baseline="0">
                  <a:solidFill>
                    <a:srgbClr val="000000"/>
                  </a:solidFill>
                  <a:latin typeface="Segoe UI"/>
                  <a:cs typeface="Segoe UI"/>
                </a:rPr>
                <a:t>Townhouse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304800</xdr:colOff>
          <xdr:row>9</xdr:row>
          <xdr:rowOff>0</xdr:rowOff>
        </xdr:from>
        <xdr:to>
          <xdr:col>14</xdr:col>
          <xdr:colOff>171450</xdr:colOff>
          <xdr:row>10</xdr:row>
          <xdr:rowOff>0</xdr:rowOff>
        </xdr:to>
        <xdr:sp macro="" textlink="">
          <xdr:nvSpPr>
            <xdr:cNvPr id="95234" name="Check Box 2" hidden="1">
              <a:extLst>
                <a:ext uri="{63B3BB69-23CF-44E3-9099-C40C66FF867C}">
                  <a14:compatExt spid="_x0000_s95234"/>
                </a:ext>
                <a:ext uri="{FF2B5EF4-FFF2-40B4-BE49-F238E27FC236}">
                  <a16:creationId xmlns:a16="http://schemas.microsoft.com/office/drawing/2014/main" id="{00000000-0008-0000-1900-0000027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PH" sz="800" b="0" i="0" u="none" strike="noStrike" baseline="0">
                  <a:solidFill>
                    <a:srgbClr val="000000"/>
                  </a:solidFill>
                  <a:latin typeface="Segoe UI"/>
                  <a:cs typeface="Segoe UI"/>
                </a:rPr>
                <a:t>Commercial / Office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57150</xdr:colOff>
          <xdr:row>8</xdr:row>
          <xdr:rowOff>19050</xdr:rowOff>
        </xdr:from>
        <xdr:to>
          <xdr:col>8</xdr:col>
          <xdr:colOff>285750</xdr:colOff>
          <xdr:row>9</xdr:row>
          <xdr:rowOff>19050</xdr:rowOff>
        </xdr:to>
        <xdr:sp macro="" textlink="">
          <xdr:nvSpPr>
            <xdr:cNvPr id="95235" name="Check Box 3" hidden="1">
              <a:extLst>
                <a:ext uri="{63B3BB69-23CF-44E3-9099-C40C66FF867C}">
                  <a14:compatExt spid="_x0000_s95235"/>
                </a:ext>
                <a:ext uri="{FF2B5EF4-FFF2-40B4-BE49-F238E27FC236}">
                  <a16:creationId xmlns:a16="http://schemas.microsoft.com/office/drawing/2014/main" id="{00000000-0008-0000-1900-0000037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PH" sz="800" b="0" i="0" u="none" strike="noStrike" baseline="0">
                  <a:solidFill>
                    <a:srgbClr val="000000"/>
                  </a:solidFill>
                  <a:latin typeface="Segoe UI"/>
                  <a:cs typeface="Segoe UI"/>
                </a:rPr>
                <a:t>Residential Condominium</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57150</xdr:colOff>
          <xdr:row>8</xdr:row>
          <xdr:rowOff>209550</xdr:rowOff>
        </xdr:from>
        <xdr:to>
          <xdr:col>8</xdr:col>
          <xdr:colOff>285750</xdr:colOff>
          <xdr:row>10</xdr:row>
          <xdr:rowOff>0</xdr:rowOff>
        </xdr:to>
        <xdr:sp macro="" textlink="">
          <xdr:nvSpPr>
            <xdr:cNvPr id="95236" name="Check Box 4" hidden="1">
              <a:extLst>
                <a:ext uri="{63B3BB69-23CF-44E3-9099-C40C66FF867C}">
                  <a14:compatExt spid="_x0000_s95236"/>
                </a:ext>
                <a:ext uri="{FF2B5EF4-FFF2-40B4-BE49-F238E27FC236}">
                  <a16:creationId xmlns:a16="http://schemas.microsoft.com/office/drawing/2014/main" id="{00000000-0008-0000-1900-0000047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PH" sz="800" b="0" i="0" u="none" strike="noStrike" baseline="0">
                  <a:solidFill>
                    <a:srgbClr val="000000"/>
                  </a:solidFill>
                  <a:latin typeface="Segoe UI"/>
                  <a:cs typeface="Segoe UI"/>
                </a:rPr>
                <a:t>House and Lot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476250</xdr:colOff>
          <xdr:row>8</xdr:row>
          <xdr:rowOff>0</xdr:rowOff>
        </xdr:from>
        <xdr:to>
          <xdr:col>19</xdr:col>
          <xdr:colOff>180975</xdr:colOff>
          <xdr:row>9</xdr:row>
          <xdr:rowOff>0</xdr:rowOff>
        </xdr:to>
        <xdr:sp macro="" textlink="">
          <xdr:nvSpPr>
            <xdr:cNvPr id="95237" name="Check Box 5" hidden="1">
              <a:extLst>
                <a:ext uri="{63B3BB69-23CF-44E3-9099-C40C66FF867C}">
                  <a14:compatExt spid="_x0000_s95237"/>
                </a:ext>
                <a:ext uri="{FF2B5EF4-FFF2-40B4-BE49-F238E27FC236}">
                  <a16:creationId xmlns:a16="http://schemas.microsoft.com/office/drawing/2014/main" id="{00000000-0008-0000-1900-0000057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PH" sz="800" b="0" i="0" u="none" strike="noStrike" baseline="0">
                  <a:solidFill>
                    <a:srgbClr val="000000"/>
                  </a:solidFill>
                  <a:latin typeface="Segoe UI"/>
                  <a:cs typeface="Segoe UI"/>
                </a:rPr>
                <a:t>Parking Slot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476250</xdr:colOff>
          <xdr:row>9</xdr:row>
          <xdr:rowOff>0</xdr:rowOff>
        </xdr:from>
        <xdr:to>
          <xdr:col>19</xdr:col>
          <xdr:colOff>180975</xdr:colOff>
          <xdr:row>10</xdr:row>
          <xdr:rowOff>0</xdr:rowOff>
        </xdr:to>
        <xdr:sp macro="" textlink="">
          <xdr:nvSpPr>
            <xdr:cNvPr id="95238" name="Check Box 6" hidden="1">
              <a:extLst>
                <a:ext uri="{63B3BB69-23CF-44E3-9099-C40C66FF867C}">
                  <a14:compatExt spid="_x0000_s95238"/>
                </a:ext>
                <a:ext uri="{FF2B5EF4-FFF2-40B4-BE49-F238E27FC236}">
                  <a16:creationId xmlns:a16="http://schemas.microsoft.com/office/drawing/2014/main" id="{00000000-0008-0000-1900-0000067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PH" sz="800" b="0" i="0" u="none" strike="noStrike" baseline="0">
                  <a:solidFill>
                    <a:srgbClr val="000000"/>
                  </a:solidFill>
                  <a:latin typeface="Segoe UI"/>
                  <a:cs typeface="Segoe UI"/>
                </a:rPr>
                <a:t>Lot only</a:t>
              </a:r>
            </a:p>
          </xdr:txBody>
        </xdr:sp>
        <xdr:clientData/>
      </xdr:twoCellAnchor>
    </mc:Choice>
    <mc:Fallback/>
  </mc:AlternateContent>
</xdr:wsDr>
</file>

<file path=xl/drawings/drawing1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38100</xdr:colOff>
          <xdr:row>34</xdr:row>
          <xdr:rowOff>19050</xdr:rowOff>
        </xdr:from>
        <xdr:to>
          <xdr:col>2</xdr:col>
          <xdr:colOff>285750</xdr:colOff>
          <xdr:row>35</xdr:row>
          <xdr:rowOff>19050</xdr:rowOff>
        </xdr:to>
        <xdr:sp macro="" textlink="">
          <xdr:nvSpPr>
            <xdr:cNvPr id="32782" name="Check Box 14" hidden="1">
              <a:extLst>
                <a:ext uri="{63B3BB69-23CF-44E3-9099-C40C66FF867C}">
                  <a14:compatExt spid="_x0000_s32782"/>
                </a:ext>
                <a:ext uri="{FF2B5EF4-FFF2-40B4-BE49-F238E27FC236}">
                  <a16:creationId xmlns:a16="http://schemas.microsoft.com/office/drawing/2014/main" id="{00000000-0008-0000-1A00-00000E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33</xdr:row>
          <xdr:rowOff>57150</xdr:rowOff>
        </xdr:from>
        <xdr:to>
          <xdr:col>12</xdr:col>
          <xdr:colOff>19050</xdr:colOff>
          <xdr:row>35</xdr:row>
          <xdr:rowOff>0</xdr:rowOff>
        </xdr:to>
        <xdr:sp macro="" textlink="">
          <xdr:nvSpPr>
            <xdr:cNvPr id="32784" name="Check Box 16" hidden="1">
              <a:extLst>
                <a:ext uri="{63B3BB69-23CF-44E3-9099-C40C66FF867C}">
                  <a14:compatExt spid="_x0000_s32784"/>
                </a:ext>
                <a:ext uri="{FF2B5EF4-FFF2-40B4-BE49-F238E27FC236}">
                  <a16:creationId xmlns:a16="http://schemas.microsoft.com/office/drawing/2014/main" id="{00000000-0008-0000-1A00-000010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257175</xdr:colOff>
          <xdr:row>16</xdr:row>
          <xdr:rowOff>0</xdr:rowOff>
        </xdr:from>
        <xdr:to>
          <xdr:col>3</xdr:col>
          <xdr:colOff>152400</xdr:colOff>
          <xdr:row>17</xdr:row>
          <xdr:rowOff>19050</xdr:rowOff>
        </xdr:to>
        <xdr:sp macro="" textlink="">
          <xdr:nvSpPr>
            <xdr:cNvPr id="32785" name="Check Box 17" hidden="1">
              <a:extLst>
                <a:ext uri="{63B3BB69-23CF-44E3-9099-C40C66FF867C}">
                  <a14:compatExt spid="_x0000_s32785"/>
                </a:ext>
                <a:ext uri="{FF2B5EF4-FFF2-40B4-BE49-F238E27FC236}">
                  <a16:creationId xmlns:a16="http://schemas.microsoft.com/office/drawing/2014/main" id="{00000000-0008-0000-1A00-000011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257175</xdr:colOff>
          <xdr:row>15</xdr:row>
          <xdr:rowOff>19050</xdr:rowOff>
        </xdr:from>
        <xdr:to>
          <xdr:col>3</xdr:col>
          <xdr:colOff>152400</xdr:colOff>
          <xdr:row>16</xdr:row>
          <xdr:rowOff>19050</xdr:rowOff>
        </xdr:to>
        <xdr:sp macro="" textlink="">
          <xdr:nvSpPr>
            <xdr:cNvPr id="32786" name="Check Box 18" hidden="1">
              <a:extLst>
                <a:ext uri="{63B3BB69-23CF-44E3-9099-C40C66FF867C}">
                  <a14:compatExt spid="_x0000_s32786"/>
                </a:ext>
                <a:ext uri="{FF2B5EF4-FFF2-40B4-BE49-F238E27FC236}">
                  <a16:creationId xmlns:a16="http://schemas.microsoft.com/office/drawing/2014/main" id="{00000000-0008-0000-1A00-000012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133350</xdr:colOff>
          <xdr:row>15</xdr:row>
          <xdr:rowOff>209550</xdr:rowOff>
        </xdr:from>
        <xdr:to>
          <xdr:col>11</xdr:col>
          <xdr:colOff>19050</xdr:colOff>
          <xdr:row>17</xdr:row>
          <xdr:rowOff>0</xdr:rowOff>
        </xdr:to>
        <xdr:sp macro="" textlink="">
          <xdr:nvSpPr>
            <xdr:cNvPr id="32787" name="Check Box 19" hidden="1">
              <a:extLst>
                <a:ext uri="{63B3BB69-23CF-44E3-9099-C40C66FF867C}">
                  <a14:compatExt spid="_x0000_s32787"/>
                </a:ext>
                <a:ext uri="{FF2B5EF4-FFF2-40B4-BE49-F238E27FC236}">
                  <a16:creationId xmlns:a16="http://schemas.microsoft.com/office/drawing/2014/main" id="{00000000-0008-0000-1A00-000013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133350</xdr:colOff>
          <xdr:row>15</xdr:row>
          <xdr:rowOff>0</xdr:rowOff>
        </xdr:from>
        <xdr:to>
          <xdr:col>11</xdr:col>
          <xdr:colOff>19050</xdr:colOff>
          <xdr:row>16</xdr:row>
          <xdr:rowOff>19050</xdr:rowOff>
        </xdr:to>
        <xdr:sp macro="" textlink="">
          <xdr:nvSpPr>
            <xdr:cNvPr id="32788" name="Check Box 20" hidden="1">
              <a:extLst>
                <a:ext uri="{63B3BB69-23CF-44E3-9099-C40C66FF867C}">
                  <a14:compatExt spid="_x0000_s32788"/>
                </a:ext>
                <a:ext uri="{FF2B5EF4-FFF2-40B4-BE49-F238E27FC236}">
                  <a16:creationId xmlns:a16="http://schemas.microsoft.com/office/drawing/2014/main" id="{00000000-0008-0000-1A00-000014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66675</xdr:colOff>
          <xdr:row>15</xdr:row>
          <xdr:rowOff>0</xdr:rowOff>
        </xdr:from>
        <xdr:to>
          <xdr:col>19</xdr:col>
          <xdr:colOff>0</xdr:colOff>
          <xdr:row>16</xdr:row>
          <xdr:rowOff>19050</xdr:rowOff>
        </xdr:to>
        <xdr:sp macro="" textlink="">
          <xdr:nvSpPr>
            <xdr:cNvPr id="32789" name="Check Box 21" hidden="1">
              <a:extLst>
                <a:ext uri="{63B3BB69-23CF-44E3-9099-C40C66FF867C}">
                  <a14:compatExt spid="_x0000_s32789"/>
                </a:ext>
                <a:ext uri="{FF2B5EF4-FFF2-40B4-BE49-F238E27FC236}">
                  <a16:creationId xmlns:a16="http://schemas.microsoft.com/office/drawing/2014/main" id="{00000000-0008-0000-1A00-000015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95250</xdr:colOff>
          <xdr:row>85</xdr:row>
          <xdr:rowOff>0</xdr:rowOff>
        </xdr:from>
        <xdr:to>
          <xdr:col>1</xdr:col>
          <xdr:colOff>104775</xdr:colOff>
          <xdr:row>86</xdr:row>
          <xdr:rowOff>0</xdr:rowOff>
        </xdr:to>
        <xdr:sp macro="" textlink="">
          <xdr:nvSpPr>
            <xdr:cNvPr id="32790" name="Check Box 22" hidden="1">
              <a:extLst>
                <a:ext uri="{63B3BB69-23CF-44E3-9099-C40C66FF867C}">
                  <a14:compatExt spid="_x0000_s32790"/>
                </a:ext>
                <a:ext uri="{FF2B5EF4-FFF2-40B4-BE49-F238E27FC236}">
                  <a16:creationId xmlns:a16="http://schemas.microsoft.com/office/drawing/2014/main" id="{00000000-0008-0000-1A00-000016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85</xdr:row>
          <xdr:rowOff>0</xdr:rowOff>
        </xdr:from>
        <xdr:to>
          <xdr:col>10</xdr:col>
          <xdr:colOff>0</xdr:colOff>
          <xdr:row>86</xdr:row>
          <xdr:rowOff>0</xdr:rowOff>
        </xdr:to>
        <xdr:sp macro="" textlink="">
          <xdr:nvSpPr>
            <xdr:cNvPr id="32791" name="Check Box 23" hidden="1">
              <a:extLst>
                <a:ext uri="{63B3BB69-23CF-44E3-9099-C40C66FF867C}">
                  <a14:compatExt spid="_x0000_s32791"/>
                </a:ext>
                <a:ext uri="{FF2B5EF4-FFF2-40B4-BE49-F238E27FC236}">
                  <a16:creationId xmlns:a16="http://schemas.microsoft.com/office/drawing/2014/main" id="{00000000-0008-0000-1A00-000017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85</xdr:row>
          <xdr:rowOff>0</xdr:rowOff>
        </xdr:from>
        <xdr:to>
          <xdr:col>16</xdr:col>
          <xdr:colOff>333375</xdr:colOff>
          <xdr:row>86</xdr:row>
          <xdr:rowOff>19050</xdr:rowOff>
        </xdr:to>
        <xdr:sp macro="" textlink="">
          <xdr:nvSpPr>
            <xdr:cNvPr id="32792" name="Check Box 24" hidden="1">
              <a:extLst>
                <a:ext uri="{63B3BB69-23CF-44E3-9099-C40C66FF867C}">
                  <a14:compatExt spid="_x0000_s32792"/>
                </a:ext>
                <a:ext uri="{FF2B5EF4-FFF2-40B4-BE49-F238E27FC236}">
                  <a16:creationId xmlns:a16="http://schemas.microsoft.com/office/drawing/2014/main" id="{00000000-0008-0000-1A00-000018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66675</xdr:colOff>
          <xdr:row>15</xdr:row>
          <xdr:rowOff>190500</xdr:rowOff>
        </xdr:from>
        <xdr:to>
          <xdr:col>19</xdr:col>
          <xdr:colOff>0</xdr:colOff>
          <xdr:row>17</xdr:row>
          <xdr:rowOff>0</xdr:rowOff>
        </xdr:to>
        <xdr:sp macro="" textlink="">
          <xdr:nvSpPr>
            <xdr:cNvPr id="32793" name="Check Box 25" hidden="1">
              <a:extLst>
                <a:ext uri="{63B3BB69-23CF-44E3-9099-C40C66FF867C}">
                  <a14:compatExt spid="_x0000_s32793"/>
                </a:ext>
                <a:ext uri="{FF2B5EF4-FFF2-40B4-BE49-F238E27FC236}">
                  <a16:creationId xmlns:a16="http://schemas.microsoft.com/office/drawing/2014/main" id="{00000000-0008-0000-1A00-000019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838200</xdr:colOff>
          <xdr:row>33</xdr:row>
          <xdr:rowOff>57150</xdr:rowOff>
        </xdr:from>
        <xdr:to>
          <xdr:col>17</xdr:col>
          <xdr:colOff>1009650</xdr:colOff>
          <xdr:row>35</xdr:row>
          <xdr:rowOff>0</xdr:rowOff>
        </xdr:to>
        <xdr:sp macro="" textlink="">
          <xdr:nvSpPr>
            <xdr:cNvPr id="32794" name="Check Box 26" hidden="1">
              <a:extLst>
                <a:ext uri="{63B3BB69-23CF-44E3-9099-C40C66FF867C}">
                  <a14:compatExt spid="_x0000_s32794"/>
                </a:ext>
                <a:ext uri="{FF2B5EF4-FFF2-40B4-BE49-F238E27FC236}">
                  <a16:creationId xmlns:a16="http://schemas.microsoft.com/office/drawing/2014/main" id="{00000000-0008-0000-1A00-00001A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0</xdr:col>
      <xdr:colOff>0</xdr:colOff>
      <xdr:row>38</xdr:row>
      <xdr:rowOff>133349</xdr:rowOff>
    </xdr:from>
    <xdr:ext cx="7696200" cy="7439026"/>
    <xdr:sp macro="" textlink="">
      <xdr:nvSpPr>
        <xdr:cNvPr id="15" name="TextBox 14">
          <a:extLst>
            <a:ext uri="{FF2B5EF4-FFF2-40B4-BE49-F238E27FC236}">
              <a16:creationId xmlns:a16="http://schemas.microsoft.com/office/drawing/2014/main" id="{00000000-0008-0000-1A00-00000F000000}"/>
            </a:ext>
          </a:extLst>
        </xdr:cNvPr>
        <xdr:cNvSpPr txBox="1"/>
      </xdr:nvSpPr>
      <xdr:spPr>
        <a:xfrm>
          <a:off x="0" y="7772399"/>
          <a:ext cx="7696200" cy="74390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marL="230400" lvl="0" indent="0" algn="just">
            <a:buFontTx/>
            <a:buNone/>
          </a:pPr>
          <a:r>
            <a:rPr lang="en-PH" sz="750">
              <a:solidFill>
                <a:schemeClr val="dk1"/>
              </a:solidFill>
              <a:effectLst/>
              <a:latin typeface="Century Gothic" panose="020B0502020202020204" pitchFamily="34" charset="0"/>
              <a:ea typeface="+mn-ea"/>
              <a:cs typeface="+mn-cs"/>
            </a:rPr>
            <a:t>Reservation Fee, exclusive of VAT, in order to reserve the Property for our intended purchase which shall be effective for a period of thirty (30) days from payment of the Reservation Fee. I understand and acknowledge that the Reservation fee is non-refundable. Should I decide to cancel my reservation; fail to submit all the documentary requirements, including this Reservation Agreement, under the attached Annex B; or fail to pay the amounts due on the due dates prescribed under the attached Annex A, for any reasons whatsoever, I agree that my reservation shall lapse and my Reservation Fee shall be forfeited in favor of the Company. I will hold the company free and harmless for thereafter releasing and offering the Property to other interested buyers.</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2"/>
          </a:pPr>
          <a:r>
            <a:rPr lang="en-PH" sz="750">
              <a:solidFill>
                <a:schemeClr val="dk1"/>
              </a:solidFill>
              <a:effectLst/>
              <a:latin typeface="Century Gothic" panose="020B0502020202020204" pitchFamily="34" charset="0"/>
              <a:ea typeface="+mn-ea"/>
              <a:cs typeface="+mn-cs"/>
            </a:rPr>
            <a:t>I acknowledge that the Company reserves the right to accept or deny this request for reservation and is non- transferable.</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acknowledge that in the event my application to purchase the Property is accepted, the Reservation Fee shall automatically form part of the required down payment. Upon being notified of the acceptance of my offer to purchase the Property, I shall remit, within the period required by the company, the down payment and/or balance, and the complete post-dated cheques, in accordance with the Schedule of Payment (inclusive of VAT and other charges), without need of further demand. Any and all payments made to any individual, realtor, broker, employee or to a party other than the Company for safekeeping in favor of or for transmittal to the Company shall be at my sole and exclusive risk and responsibility, and shall not bind nor make the former answerable in any way thereof unless and until actually received, receipted and validated by the Company’s Cashier or officer duly authorized by the Company. All payments shall be made ONLY through crossed-checks payable to the Company under the corporate name: </a:t>
          </a:r>
          <a:r>
            <a:rPr lang="en-PH" sz="750" b="1">
              <a:solidFill>
                <a:schemeClr val="dk1"/>
              </a:solidFill>
              <a:effectLst/>
              <a:latin typeface="Century Gothic" panose="020B0502020202020204" pitchFamily="34" charset="0"/>
              <a:ea typeface="+mn-ea"/>
              <a:cs typeface="+mn-cs"/>
            </a:rPr>
            <a:t>WEE COMMUNITY DEVELOPERS, INC.</a:t>
          </a:r>
          <a:r>
            <a:rPr lang="en-PH" sz="750">
              <a:solidFill>
                <a:schemeClr val="dk1"/>
              </a:solidFill>
              <a:effectLst/>
              <a:latin typeface="Century Gothic" panose="020B0502020202020204" pitchFamily="34" charset="0"/>
              <a:ea typeface="+mn-ea"/>
              <a:cs typeface="+mn-cs"/>
            </a:rPr>
            <a:t> or cash payable only directly to the Credit and Collection Department of the Company in its Head Office.</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further acknowledge that all payments in relation to this Reservation Agreement shall be made on or before their due dates, without the necessity of any prior notice or demand and whether or not the Contract to Sell has been signed and sent back to the Developer/Company. All overdue payments shall be subject to a penalty equivalent to a rate of 0.001 or 1/1000 of past due amount per day of delay, without prejudice to the right of the Developer/Company to cancel this Reservation Agreement.</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Unless otherwise provided, my Contract to Sell for the Property shall be prepared only after I have submitted to the Company all necessary documents and postdated checks in such amounts and on such dates as are in accordance with the Schedule of Payment. The Contract to Sell shall be executed and signed by me within thirty (30) days from date of receipt of the Contract to Sell. Should I fail to submit the duly signed Contract to Sell within the said period, this Reservation Agreement shall be cancelled.</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understand and agree that this Agreement only gives me the right to purchase the Property subject to the fulfillment of the conditions herein stated. No other right, title, or ownership is vested upon me by the execution of this Agreement. The Company retains title and ownership of the Property until I shall have </a:t>
          </a: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0" lvl="0" indent="0" algn="just">
            <a:buFontTx/>
            <a:buNone/>
          </a:pPr>
          <a:r>
            <a:rPr lang="en-PH" sz="750">
              <a:solidFill>
                <a:schemeClr val="dk1"/>
              </a:solidFill>
              <a:effectLst/>
              <a:latin typeface="Century Gothic" panose="020B0502020202020204" pitchFamily="34" charset="0"/>
              <a:ea typeface="+mn-ea"/>
              <a:cs typeface="+mn-cs"/>
            </a:rPr>
            <a:t>         fully paid all amounts due to the Company for the purchase of the Property.</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In the event that I/we avail ourselves of bank financing to finance the purchase of the subject property, I/we hereby authorize the Company to submit on my/our behalf all available income documents in its possession and my/our personal information to the banks and/or credit investigators (CMAP) for the purpose of loan application pre-assessment. </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further understand that the Total Contract Price indicated herein may vary from the Total Contract Price indicated in the Deed of Absolute Sale due to promos and discounts that may be given to me. In such event, I understand that the Total Contract stated in the Deed of Absolute Sale shall prevail.</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confirm that I have personally inspected the plans and specifications of the Property, studied and verified the Project site and its proximate location and layout of my requested Property and I find the same to be acceptable and satisfactory. I acknowledge that I have independently ascertained and evaluated all materials, facts and technical information related to the purchase of the Property and that I am satisfied with what has been explained to me by the Property Specialist/Broker who assisted me. I further understand that the sizes and/or numbering of the condominium units and parking spaces are subject to adjustments in accordance with the approved building plan or amendments thereon and I agree that the Developer reserves the right to revise architectural and floor plans without my consent.</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hereby authorize the Developer of the Project to organize the Project’s governing homeowner’s association or Condominium Corporation, as applicable.</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CANCELLATION OF RESERVATION. I /We, hereby agree that </a:t>
          </a:r>
          <a:r>
            <a:rPr lang="en-PH" sz="750" b="1">
              <a:solidFill>
                <a:schemeClr val="dk1"/>
              </a:solidFill>
              <a:effectLst/>
              <a:latin typeface="Century Gothic" panose="020B0502020202020204" pitchFamily="34" charset="0"/>
              <a:ea typeface="+mn-ea"/>
              <a:cs typeface="+mn-cs"/>
            </a:rPr>
            <a:t>WEE COMMUNITY DEVELOPERS, INC.</a:t>
          </a:r>
          <a:r>
            <a:rPr lang="en-PH" sz="750">
              <a:solidFill>
                <a:schemeClr val="dk1"/>
              </a:solidFill>
              <a:effectLst/>
              <a:latin typeface="Century Gothic" panose="020B0502020202020204" pitchFamily="34" charset="0"/>
              <a:ea typeface="+mn-ea"/>
              <a:cs typeface="+mn-cs"/>
            </a:rPr>
            <a:t> shall have the right to automatically cancel my/our reservation without further notice and without need of judicial rescission and to forfeit as liquidated damages my/our reservation fee and whatever other payments I/We have made, with any and all rights to the unit(s) considered waived by me/us in favor </a:t>
          </a:r>
          <a:r>
            <a:rPr lang="en-PH" sz="750" b="1">
              <a:solidFill>
                <a:schemeClr val="dk1"/>
              </a:solidFill>
              <a:effectLst/>
              <a:latin typeface="Century Gothic" panose="020B0502020202020204" pitchFamily="34" charset="0"/>
              <a:ea typeface="+mn-ea"/>
              <a:cs typeface="+mn-cs"/>
            </a:rPr>
            <a:t>of WEE COMMUNITY DEVELOPERS, INC.</a:t>
          </a:r>
          <a:r>
            <a:rPr lang="en-PH" sz="750">
              <a:solidFill>
                <a:schemeClr val="dk1"/>
              </a:solidFill>
              <a:effectLst/>
              <a:latin typeface="Century Gothic" panose="020B0502020202020204" pitchFamily="34" charset="0"/>
              <a:ea typeface="+mn-ea"/>
              <a:cs typeface="+mn-cs"/>
            </a:rPr>
            <a:t>, in the event of any of the following:</a:t>
          </a:r>
        </a:p>
        <a:p>
          <a:pPr algn="just"/>
          <a:r>
            <a:rPr lang="en-PH" sz="750">
              <a:solidFill>
                <a:schemeClr val="dk1"/>
              </a:solidFill>
              <a:effectLst/>
              <a:latin typeface="Century Gothic" panose="020B0502020202020204" pitchFamily="34" charset="0"/>
              <a:ea typeface="+mn-ea"/>
              <a:cs typeface="+mn-cs"/>
            </a:rPr>
            <a:t> </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undergo Counseling within Fifteen (15) days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submit complete documentary requirements under Annex B within Thirty (30) days for the locally employed and Sixty (60) days for OFW’s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pay the first equity payment within thirty (30) days from payment of Reservation Fee;</a:t>
          </a:r>
        </a:p>
        <a:p>
          <a:pPr algn="just"/>
          <a:endParaRPr lang="en-PH" sz="750">
            <a:latin typeface="Century Gothic" panose="020B0502020202020204" pitchFamily="34" charset="0"/>
          </a:endParaRPr>
        </a:p>
      </xdr:txBody>
    </xdr:sp>
    <xdr:clientData/>
  </xdr:oneCellAnchor>
  <mc:AlternateContent xmlns:mc="http://schemas.openxmlformats.org/markup-compatibility/2006">
    <mc:Choice xmlns:a14="http://schemas.microsoft.com/office/drawing/2010/main" Requires="a14">
      <xdr:twoCellAnchor editAs="oneCell">
        <xdr:from>
          <xdr:col>0</xdr:col>
          <xdr:colOff>133350</xdr:colOff>
          <xdr:row>86</xdr:row>
          <xdr:rowOff>19050</xdr:rowOff>
        </xdr:from>
        <xdr:to>
          <xdr:col>2</xdr:col>
          <xdr:colOff>57150</xdr:colOff>
          <xdr:row>87</xdr:row>
          <xdr:rowOff>0</xdr:rowOff>
        </xdr:to>
        <xdr:sp macro="" textlink="">
          <xdr:nvSpPr>
            <xdr:cNvPr id="32795" name="Check Box 27" hidden="1">
              <a:extLst>
                <a:ext uri="{63B3BB69-23CF-44E3-9099-C40C66FF867C}">
                  <a14:compatExt spid="_x0000_s32795"/>
                </a:ext>
                <a:ext uri="{FF2B5EF4-FFF2-40B4-BE49-F238E27FC236}">
                  <a16:creationId xmlns:a16="http://schemas.microsoft.com/office/drawing/2014/main" id="{00000000-0008-0000-1A00-00001B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133350</xdr:colOff>
          <xdr:row>87</xdr:row>
          <xdr:rowOff>0</xdr:rowOff>
        </xdr:from>
        <xdr:to>
          <xdr:col>2</xdr:col>
          <xdr:colOff>57150</xdr:colOff>
          <xdr:row>88</xdr:row>
          <xdr:rowOff>0</xdr:rowOff>
        </xdr:to>
        <xdr:sp macro="" textlink="">
          <xdr:nvSpPr>
            <xdr:cNvPr id="32797" name="Check Box 29" hidden="1">
              <a:extLst>
                <a:ext uri="{63B3BB69-23CF-44E3-9099-C40C66FF867C}">
                  <a14:compatExt spid="_x0000_s32797"/>
                </a:ext>
                <a:ext uri="{FF2B5EF4-FFF2-40B4-BE49-F238E27FC236}">
                  <a16:creationId xmlns:a16="http://schemas.microsoft.com/office/drawing/2014/main" id="{00000000-0008-0000-1A00-00001D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86</xdr:row>
          <xdr:rowOff>19050</xdr:rowOff>
        </xdr:from>
        <xdr:to>
          <xdr:col>10</xdr:col>
          <xdr:colOff>57150</xdr:colOff>
          <xdr:row>87</xdr:row>
          <xdr:rowOff>0</xdr:rowOff>
        </xdr:to>
        <xdr:sp macro="" textlink="">
          <xdr:nvSpPr>
            <xdr:cNvPr id="32798" name="Check Box 30" hidden="1">
              <a:extLst>
                <a:ext uri="{63B3BB69-23CF-44E3-9099-C40C66FF867C}">
                  <a14:compatExt spid="_x0000_s32798"/>
                </a:ext>
                <a:ext uri="{FF2B5EF4-FFF2-40B4-BE49-F238E27FC236}">
                  <a16:creationId xmlns:a16="http://schemas.microsoft.com/office/drawing/2014/main" id="{00000000-0008-0000-1A00-00001E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86</xdr:row>
          <xdr:rowOff>209550</xdr:rowOff>
        </xdr:from>
        <xdr:to>
          <xdr:col>10</xdr:col>
          <xdr:colOff>57150</xdr:colOff>
          <xdr:row>88</xdr:row>
          <xdr:rowOff>0</xdr:rowOff>
        </xdr:to>
        <xdr:sp macro="" textlink="">
          <xdr:nvSpPr>
            <xdr:cNvPr id="32799" name="Check Box 31" hidden="1">
              <a:extLst>
                <a:ext uri="{63B3BB69-23CF-44E3-9099-C40C66FF867C}">
                  <a14:compatExt spid="_x0000_s32799"/>
                </a:ext>
                <a:ext uri="{FF2B5EF4-FFF2-40B4-BE49-F238E27FC236}">
                  <a16:creationId xmlns:a16="http://schemas.microsoft.com/office/drawing/2014/main" id="{00000000-0008-0000-1A00-00001F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171450</xdr:colOff>
          <xdr:row>86</xdr:row>
          <xdr:rowOff>28575</xdr:rowOff>
        </xdr:from>
        <xdr:to>
          <xdr:col>17</xdr:col>
          <xdr:colOff>28575</xdr:colOff>
          <xdr:row>87</xdr:row>
          <xdr:rowOff>0</xdr:rowOff>
        </xdr:to>
        <xdr:sp macro="" textlink="">
          <xdr:nvSpPr>
            <xdr:cNvPr id="32801" name="Check Box 33" hidden="1">
              <a:extLst>
                <a:ext uri="{63B3BB69-23CF-44E3-9099-C40C66FF867C}">
                  <a14:compatExt spid="_x0000_s32801"/>
                </a:ext>
                <a:ext uri="{FF2B5EF4-FFF2-40B4-BE49-F238E27FC236}">
                  <a16:creationId xmlns:a16="http://schemas.microsoft.com/office/drawing/2014/main" id="{00000000-0008-0000-1A00-000021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171450</xdr:colOff>
          <xdr:row>87</xdr:row>
          <xdr:rowOff>19050</xdr:rowOff>
        </xdr:from>
        <xdr:to>
          <xdr:col>17</xdr:col>
          <xdr:colOff>28575</xdr:colOff>
          <xdr:row>88</xdr:row>
          <xdr:rowOff>0</xdr:rowOff>
        </xdr:to>
        <xdr:sp macro="" textlink="">
          <xdr:nvSpPr>
            <xdr:cNvPr id="32802" name="Check Box 34" hidden="1">
              <a:extLst>
                <a:ext uri="{63B3BB69-23CF-44E3-9099-C40C66FF867C}">
                  <a14:compatExt spid="_x0000_s32802"/>
                </a:ext>
                <a:ext uri="{FF2B5EF4-FFF2-40B4-BE49-F238E27FC236}">
                  <a16:creationId xmlns:a16="http://schemas.microsoft.com/office/drawing/2014/main" id="{00000000-0008-0000-1A00-000022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171450</xdr:colOff>
          <xdr:row>87</xdr:row>
          <xdr:rowOff>209550</xdr:rowOff>
        </xdr:from>
        <xdr:to>
          <xdr:col>17</xdr:col>
          <xdr:colOff>28575</xdr:colOff>
          <xdr:row>89</xdr:row>
          <xdr:rowOff>0</xdr:rowOff>
        </xdr:to>
        <xdr:sp macro="" textlink="">
          <xdr:nvSpPr>
            <xdr:cNvPr id="32803" name="Check Box 35" hidden="1">
              <a:extLst>
                <a:ext uri="{63B3BB69-23CF-44E3-9099-C40C66FF867C}">
                  <a14:compatExt spid="_x0000_s32803"/>
                </a:ext>
                <a:ext uri="{FF2B5EF4-FFF2-40B4-BE49-F238E27FC236}">
                  <a16:creationId xmlns:a16="http://schemas.microsoft.com/office/drawing/2014/main" id="{00000000-0008-0000-1A00-000023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0</xdr:colOff>
      <xdr:row>99</xdr:row>
      <xdr:rowOff>0</xdr:rowOff>
    </xdr:from>
    <xdr:to>
      <xdr:col>20</xdr:col>
      <xdr:colOff>114300</xdr:colOff>
      <xdr:row>107</xdr:row>
      <xdr:rowOff>187187</xdr:rowOff>
    </xdr:to>
    <xdr:sp macro="" textlink="">
      <xdr:nvSpPr>
        <xdr:cNvPr id="24" name="TextBox 23">
          <a:extLst>
            <a:ext uri="{FF2B5EF4-FFF2-40B4-BE49-F238E27FC236}">
              <a16:creationId xmlns:a16="http://schemas.microsoft.com/office/drawing/2014/main" id="{00000000-0008-0000-1A00-000018000000}"/>
            </a:ext>
          </a:extLst>
        </xdr:cNvPr>
        <xdr:cNvSpPr txBox="1"/>
      </xdr:nvSpPr>
      <xdr:spPr>
        <a:xfrm>
          <a:off x="0" y="18154650"/>
          <a:ext cx="7734300" cy="186358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PH" sz="750">
              <a:solidFill>
                <a:schemeClr val="dk1"/>
              </a:solidFill>
              <a:effectLst/>
              <a:latin typeface="Century Gothic" panose="020B0502020202020204" pitchFamily="34" charset="0"/>
              <a:ea typeface="+mn-ea"/>
              <a:cs typeface="+mn-cs"/>
            </a:rPr>
            <a:t>By signing this Reservation Agreement, I hereby consent to the collection, processing, disclosure and storage of my personal data and information in compliance with the Data Privacy Act of 2012, and its Implementing Rules and Regulations (IRR), by </a:t>
          </a:r>
          <a:r>
            <a:rPr lang="en-PH" sz="750" b="1">
              <a:solidFill>
                <a:schemeClr val="dk1"/>
              </a:solidFill>
              <a:effectLst/>
              <a:latin typeface="Century Gothic" panose="020B0502020202020204" pitchFamily="34" charset="0"/>
              <a:ea typeface="+mn-ea"/>
              <a:cs typeface="+mn-cs"/>
            </a:rPr>
            <a:t>WEE COMMUNITY DEVELOPERS, INC</a:t>
          </a:r>
          <a:r>
            <a:rPr lang="en-PH" sz="750">
              <a:solidFill>
                <a:schemeClr val="dk1"/>
              </a:solidFill>
              <a:effectLst/>
              <a:latin typeface="Century Gothic" panose="020B0502020202020204" pitchFamily="34" charset="0"/>
              <a:ea typeface="+mn-ea"/>
              <a:cs typeface="+mn-cs"/>
            </a:rPr>
            <a:t>. (the “Company”).</a:t>
          </a:r>
        </a:p>
        <a:p>
          <a:pPr algn="just"/>
          <a:endParaRPr lang="en-PH" sz="750">
            <a:solidFill>
              <a:schemeClr val="dk1"/>
            </a:solidFill>
            <a:effectLst/>
            <a:latin typeface="Century Gothic" panose="020B0502020202020204" pitchFamily="34" charset="0"/>
            <a:ea typeface="+mn-ea"/>
            <a:cs typeface="+mn-cs"/>
          </a:endParaRPr>
        </a:p>
        <a:p>
          <a:pPr algn="just"/>
          <a:r>
            <a:rPr lang="en-PH" sz="750">
              <a:solidFill>
                <a:schemeClr val="dk1"/>
              </a:solidFill>
              <a:effectLst/>
              <a:latin typeface="Century Gothic" panose="020B0502020202020204" pitchFamily="34" charset="0"/>
              <a:ea typeface="+mn-ea"/>
              <a:cs typeface="+mn-cs"/>
            </a:rPr>
            <a:t>As such, I hereby authorize the Company to: </a:t>
          </a:r>
          <a:r>
            <a:rPr lang="en-PH" sz="750" b="1">
              <a:solidFill>
                <a:schemeClr val="dk1"/>
              </a:solidFill>
              <a:effectLst/>
              <a:latin typeface="Century Gothic" panose="020B0502020202020204" pitchFamily="34" charset="0"/>
              <a:ea typeface="+mn-ea"/>
              <a:cs typeface="+mn-cs"/>
            </a:rPr>
            <a:t>(1)</a:t>
          </a:r>
          <a:r>
            <a:rPr lang="en-PH" sz="750">
              <a:solidFill>
                <a:schemeClr val="dk1"/>
              </a:solidFill>
              <a:effectLst/>
              <a:latin typeface="Century Gothic" panose="020B0502020202020204" pitchFamily="34" charset="0"/>
              <a:ea typeface="+mn-ea"/>
              <a:cs typeface="+mn-cs"/>
            </a:rPr>
            <a:t> use my personal information in all documents and forms requiring such information in relation to all transactions for which this Agreement is entered into; </a:t>
          </a:r>
          <a:r>
            <a:rPr lang="en-PH" sz="750" b="1">
              <a:solidFill>
                <a:schemeClr val="dk1"/>
              </a:solidFill>
              <a:effectLst/>
              <a:latin typeface="Century Gothic" panose="020B0502020202020204" pitchFamily="34" charset="0"/>
              <a:ea typeface="+mn-ea"/>
              <a:cs typeface="+mn-cs"/>
            </a:rPr>
            <a:t>(2)</a:t>
          </a:r>
          <a:r>
            <a:rPr lang="en-PH" sz="750">
              <a:solidFill>
                <a:schemeClr val="dk1"/>
              </a:solidFill>
              <a:effectLst/>
              <a:latin typeface="Century Gothic" panose="020B0502020202020204" pitchFamily="34" charset="0"/>
              <a:ea typeface="+mn-ea"/>
              <a:cs typeface="+mn-cs"/>
            </a:rPr>
            <a:t> share/disclose my personal information, subject to such limitations as may be provided for by law, to the extent necessary to enforce this Agreement or for other legitimate business purpose; and </a:t>
          </a:r>
          <a:r>
            <a:rPr lang="en-PH" sz="750" b="1">
              <a:solidFill>
                <a:schemeClr val="dk1"/>
              </a:solidFill>
              <a:effectLst/>
              <a:latin typeface="Century Gothic" panose="020B0502020202020204" pitchFamily="34" charset="0"/>
              <a:ea typeface="+mn-ea"/>
              <a:cs typeface="+mn-cs"/>
            </a:rPr>
            <a:t>(3)</a:t>
          </a:r>
          <a:r>
            <a:rPr lang="en-PH" sz="750">
              <a:solidFill>
                <a:schemeClr val="dk1"/>
              </a:solidFill>
              <a:effectLst/>
              <a:latin typeface="Century Gothic" panose="020B0502020202020204" pitchFamily="34" charset="0"/>
              <a:ea typeface="+mn-ea"/>
              <a:cs typeface="+mn-cs"/>
            </a:rPr>
            <a:t> retain my information for a reasonable period of time from the date all transactions relating to this Agreement have been either consummated or terminated for any reason whatsoever, subject to all my rights guaranteed under Section 16 of the Data Privacy Act of 2012. Pursuant to Republic Act No. 9160 otherwise known as the Anti-Money Laundering Act of 2001 dated 20 September 2001 as amended by Republic Act No. 11521 dated 29 January 2021, upon my signing of this Agreement, I agree and thereby expressly give my consent to the Company’s procedural</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reporting of pertinent details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the AMLA Committee should the provisions of the law require them</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disclose any of the information I provided herein, by virtue of the Company’s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exercise of due diligence required of them by law. I shall not hold the Company liable and shall be protected against Republic Act No. 10173 or the Data Privacy Act of 2012 dated 12 July 2012 by doing so.</a:t>
          </a:r>
        </a:p>
        <a:p>
          <a:pPr algn="just"/>
          <a:endParaRPr lang="en-PH" sz="750">
            <a:effectLst/>
            <a:latin typeface="Century Gothic" panose="020B0502020202020204" pitchFamily="34" charset="0"/>
          </a:endParaRPr>
        </a:p>
        <a:p>
          <a:pPr algn="just"/>
          <a:r>
            <a:rPr lang="en-PH" sz="750">
              <a:solidFill>
                <a:schemeClr val="dk1"/>
              </a:solidFill>
              <a:effectLst/>
              <a:latin typeface="Century Gothic" panose="020B0502020202020204" pitchFamily="34" charset="0"/>
              <a:ea typeface="+mn-ea"/>
              <a:cs typeface="+mn-cs"/>
            </a:rPr>
            <a:t>In view of the foregoing, I further certify that all information I have provided to the Company are, to the best of my knowledge, true and correct, and hold the Company free and harmless from any action or claim for damages in relation to the consent hereby given.</a:t>
          </a:r>
        </a:p>
        <a:p>
          <a:pPr algn="just"/>
          <a:endParaRPr lang="en-PH" sz="1100"/>
        </a:p>
      </xdr:txBody>
    </xdr:sp>
    <xdr:clientData/>
  </xdr:twoCellAnchor>
</xdr:wsDr>
</file>

<file path=xl/drawings/drawing1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21</xdr:col>
          <xdr:colOff>76200</xdr:colOff>
          <xdr:row>17</xdr:row>
          <xdr:rowOff>0</xdr:rowOff>
        </xdr:from>
        <xdr:to>
          <xdr:col>21</xdr:col>
          <xdr:colOff>295275</xdr:colOff>
          <xdr:row>18</xdr:row>
          <xdr:rowOff>57150</xdr:rowOff>
        </xdr:to>
        <xdr:sp macro="" textlink="">
          <xdr:nvSpPr>
            <xdr:cNvPr id="9217" name="Check Box 1" hidden="1">
              <a:extLst>
                <a:ext uri="{63B3BB69-23CF-44E3-9099-C40C66FF867C}">
                  <a14:compatExt spid="_x0000_s9217"/>
                </a:ext>
                <a:ext uri="{FF2B5EF4-FFF2-40B4-BE49-F238E27FC236}">
                  <a16:creationId xmlns:a16="http://schemas.microsoft.com/office/drawing/2014/main" id="{00000000-0008-0000-1B00-00000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76200</xdr:colOff>
          <xdr:row>19</xdr:row>
          <xdr:rowOff>0</xdr:rowOff>
        </xdr:from>
        <xdr:to>
          <xdr:col>21</xdr:col>
          <xdr:colOff>295275</xdr:colOff>
          <xdr:row>20</xdr:row>
          <xdr:rowOff>47625</xdr:rowOff>
        </xdr:to>
        <xdr:sp macro="" textlink="">
          <xdr:nvSpPr>
            <xdr:cNvPr id="9218" name="Check Box 2" hidden="1">
              <a:extLst>
                <a:ext uri="{63B3BB69-23CF-44E3-9099-C40C66FF867C}">
                  <a14:compatExt spid="_x0000_s9218"/>
                </a:ext>
                <a:ext uri="{FF2B5EF4-FFF2-40B4-BE49-F238E27FC236}">
                  <a16:creationId xmlns:a16="http://schemas.microsoft.com/office/drawing/2014/main" id="{00000000-0008-0000-1B00-00000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76200</xdr:colOff>
          <xdr:row>23</xdr:row>
          <xdr:rowOff>0</xdr:rowOff>
        </xdr:from>
        <xdr:to>
          <xdr:col>21</xdr:col>
          <xdr:colOff>285750</xdr:colOff>
          <xdr:row>24</xdr:row>
          <xdr:rowOff>57150</xdr:rowOff>
        </xdr:to>
        <xdr:sp macro="" textlink="">
          <xdr:nvSpPr>
            <xdr:cNvPr id="9219" name="Check Box 3" hidden="1">
              <a:extLst>
                <a:ext uri="{63B3BB69-23CF-44E3-9099-C40C66FF867C}">
                  <a14:compatExt spid="_x0000_s9219"/>
                </a:ext>
                <a:ext uri="{FF2B5EF4-FFF2-40B4-BE49-F238E27FC236}">
                  <a16:creationId xmlns:a16="http://schemas.microsoft.com/office/drawing/2014/main" id="{00000000-0008-0000-1B00-00000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66675</xdr:colOff>
          <xdr:row>25</xdr:row>
          <xdr:rowOff>0</xdr:rowOff>
        </xdr:from>
        <xdr:to>
          <xdr:col>21</xdr:col>
          <xdr:colOff>285750</xdr:colOff>
          <xdr:row>26</xdr:row>
          <xdr:rowOff>47625</xdr:rowOff>
        </xdr:to>
        <xdr:sp macro="" textlink="">
          <xdr:nvSpPr>
            <xdr:cNvPr id="9222" name="Check Box 6" hidden="1">
              <a:extLst>
                <a:ext uri="{63B3BB69-23CF-44E3-9099-C40C66FF867C}">
                  <a14:compatExt spid="_x0000_s9222"/>
                </a:ext>
                <a:ext uri="{FF2B5EF4-FFF2-40B4-BE49-F238E27FC236}">
                  <a16:creationId xmlns:a16="http://schemas.microsoft.com/office/drawing/2014/main" id="{00000000-0008-0000-1B00-000006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1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11</xdr:col>
          <xdr:colOff>304800</xdr:colOff>
          <xdr:row>7</xdr:row>
          <xdr:rowOff>209550</xdr:rowOff>
        </xdr:from>
        <xdr:to>
          <xdr:col>14</xdr:col>
          <xdr:colOff>171450</xdr:colOff>
          <xdr:row>9</xdr:row>
          <xdr:rowOff>0</xdr:rowOff>
        </xdr:to>
        <xdr:sp macro="" textlink="">
          <xdr:nvSpPr>
            <xdr:cNvPr id="96257" name="Check Box 1" hidden="1">
              <a:extLst>
                <a:ext uri="{63B3BB69-23CF-44E3-9099-C40C66FF867C}">
                  <a14:compatExt spid="_x0000_s96257"/>
                </a:ext>
                <a:ext uri="{FF2B5EF4-FFF2-40B4-BE49-F238E27FC236}">
                  <a16:creationId xmlns:a16="http://schemas.microsoft.com/office/drawing/2014/main" id="{00000000-0008-0000-1C00-0000017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PH" sz="800" b="0" i="0" u="none" strike="noStrike" baseline="0">
                  <a:solidFill>
                    <a:srgbClr val="000000"/>
                  </a:solidFill>
                  <a:latin typeface="Segoe UI"/>
                  <a:cs typeface="Segoe UI"/>
                </a:rPr>
                <a:t>Townhouse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304800</xdr:colOff>
          <xdr:row>9</xdr:row>
          <xdr:rowOff>0</xdr:rowOff>
        </xdr:from>
        <xdr:to>
          <xdr:col>14</xdr:col>
          <xdr:colOff>171450</xdr:colOff>
          <xdr:row>10</xdr:row>
          <xdr:rowOff>0</xdr:rowOff>
        </xdr:to>
        <xdr:sp macro="" textlink="">
          <xdr:nvSpPr>
            <xdr:cNvPr id="96258" name="Check Box 2" hidden="1">
              <a:extLst>
                <a:ext uri="{63B3BB69-23CF-44E3-9099-C40C66FF867C}">
                  <a14:compatExt spid="_x0000_s96258"/>
                </a:ext>
                <a:ext uri="{FF2B5EF4-FFF2-40B4-BE49-F238E27FC236}">
                  <a16:creationId xmlns:a16="http://schemas.microsoft.com/office/drawing/2014/main" id="{00000000-0008-0000-1C00-0000027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PH" sz="800" b="0" i="0" u="none" strike="noStrike" baseline="0">
                  <a:solidFill>
                    <a:srgbClr val="000000"/>
                  </a:solidFill>
                  <a:latin typeface="Segoe UI"/>
                  <a:cs typeface="Segoe UI"/>
                </a:rPr>
                <a:t>Commercial / Office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57150</xdr:colOff>
          <xdr:row>8</xdr:row>
          <xdr:rowOff>19050</xdr:rowOff>
        </xdr:from>
        <xdr:to>
          <xdr:col>8</xdr:col>
          <xdr:colOff>285750</xdr:colOff>
          <xdr:row>9</xdr:row>
          <xdr:rowOff>19050</xdr:rowOff>
        </xdr:to>
        <xdr:sp macro="" textlink="">
          <xdr:nvSpPr>
            <xdr:cNvPr id="96259" name="Check Box 3" hidden="1">
              <a:extLst>
                <a:ext uri="{63B3BB69-23CF-44E3-9099-C40C66FF867C}">
                  <a14:compatExt spid="_x0000_s96259"/>
                </a:ext>
                <a:ext uri="{FF2B5EF4-FFF2-40B4-BE49-F238E27FC236}">
                  <a16:creationId xmlns:a16="http://schemas.microsoft.com/office/drawing/2014/main" id="{00000000-0008-0000-1C00-0000037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PH" sz="800" b="0" i="0" u="none" strike="noStrike" baseline="0">
                  <a:solidFill>
                    <a:srgbClr val="000000"/>
                  </a:solidFill>
                  <a:latin typeface="Segoe UI"/>
                  <a:cs typeface="Segoe UI"/>
                </a:rPr>
                <a:t>Residential Condominium</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57150</xdr:colOff>
          <xdr:row>8</xdr:row>
          <xdr:rowOff>209550</xdr:rowOff>
        </xdr:from>
        <xdr:to>
          <xdr:col>8</xdr:col>
          <xdr:colOff>285750</xdr:colOff>
          <xdr:row>10</xdr:row>
          <xdr:rowOff>0</xdr:rowOff>
        </xdr:to>
        <xdr:sp macro="" textlink="">
          <xdr:nvSpPr>
            <xdr:cNvPr id="96260" name="Check Box 4" hidden="1">
              <a:extLst>
                <a:ext uri="{63B3BB69-23CF-44E3-9099-C40C66FF867C}">
                  <a14:compatExt spid="_x0000_s96260"/>
                </a:ext>
                <a:ext uri="{FF2B5EF4-FFF2-40B4-BE49-F238E27FC236}">
                  <a16:creationId xmlns:a16="http://schemas.microsoft.com/office/drawing/2014/main" id="{00000000-0008-0000-1C00-0000047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PH" sz="800" b="0" i="0" u="none" strike="noStrike" baseline="0">
                  <a:solidFill>
                    <a:srgbClr val="000000"/>
                  </a:solidFill>
                  <a:latin typeface="Segoe UI"/>
                  <a:cs typeface="Segoe UI"/>
                </a:rPr>
                <a:t>House and Lot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476250</xdr:colOff>
          <xdr:row>8</xdr:row>
          <xdr:rowOff>0</xdr:rowOff>
        </xdr:from>
        <xdr:to>
          <xdr:col>19</xdr:col>
          <xdr:colOff>180975</xdr:colOff>
          <xdr:row>9</xdr:row>
          <xdr:rowOff>0</xdr:rowOff>
        </xdr:to>
        <xdr:sp macro="" textlink="">
          <xdr:nvSpPr>
            <xdr:cNvPr id="96261" name="Check Box 5" hidden="1">
              <a:extLst>
                <a:ext uri="{63B3BB69-23CF-44E3-9099-C40C66FF867C}">
                  <a14:compatExt spid="_x0000_s96261"/>
                </a:ext>
                <a:ext uri="{FF2B5EF4-FFF2-40B4-BE49-F238E27FC236}">
                  <a16:creationId xmlns:a16="http://schemas.microsoft.com/office/drawing/2014/main" id="{00000000-0008-0000-1C00-0000057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PH" sz="800" b="0" i="0" u="none" strike="noStrike" baseline="0">
                  <a:solidFill>
                    <a:srgbClr val="000000"/>
                  </a:solidFill>
                  <a:latin typeface="Segoe UI"/>
                  <a:cs typeface="Segoe UI"/>
                </a:rPr>
                <a:t>Parking Slot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476250</xdr:colOff>
          <xdr:row>9</xdr:row>
          <xdr:rowOff>0</xdr:rowOff>
        </xdr:from>
        <xdr:to>
          <xdr:col>19</xdr:col>
          <xdr:colOff>180975</xdr:colOff>
          <xdr:row>10</xdr:row>
          <xdr:rowOff>0</xdr:rowOff>
        </xdr:to>
        <xdr:sp macro="" textlink="">
          <xdr:nvSpPr>
            <xdr:cNvPr id="96262" name="Check Box 6" hidden="1">
              <a:extLst>
                <a:ext uri="{63B3BB69-23CF-44E3-9099-C40C66FF867C}">
                  <a14:compatExt spid="_x0000_s96262"/>
                </a:ext>
                <a:ext uri="{FF2B5EF4-FFF2-40B4-BE49-F238E27FC236}">
                  <a16:creationId xmlns:a16="http://schemas.microsoft.com/office/drawing/2014/main" id="{00000000-0008-0000-1C00-0000067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PH" sz="800" b="0" i="0" u="none" strike="noStrike" baseline="0">
                  <a:solidFill>
                    <a:srgbClr val="000000"/>
                  </a:solidFill>
                  <a:latin typeface="Segoe UI"/>
                  <a:cs typeface="Segoe UI"/>
                </a:rPr>
                <a:t>Lot only</a:t>
              </a:r>
            </a:p>
          </xdr:txBody>
        </xdr:sp>
        <xdr:clientData/>
      </xdr:twoCellAnchor>
    </mc:Choice>
    <mc:Fallback/>
  </mc:AlternateContent>
</xdr:wsDr>
</file>

<file path=xl/drawings/drawing20.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38100</xdr:colOff>
          <xdr:row>35</xdr:row>
          <xdr:rowOff>19050</xdr:rowOff>
        </xdr:from>
        <xdr:to>
          <xdr:col>2</xdr:col>
          <xdr:colOff>285750</xdr:colOff>
          <xdr:row>36</xdr:row>
          <xdr:rowOff>19050</xdr:rowOff>
        </xdr:to>
        <xdr:sp macro="" textlink="">
          <xdr:nvSpPr>
            <xdr:cNvPr id="20493" name="Check Box 13" hidden="1">
              <a:extLst>
                <a:ext uri="{63B3BB69-23CF-44E3-9099-C40C66FF867C}">
                  <a14:compatExt spid="_x0000_s20493"/>
                </a:ext>
                <a:ext uri="{FF2B5EF4-FFF2-40B4-BE49-F238E27FC236}">
                  <a16:creationId xmlns:a16="http://schemas.microsoft.com/office/drawing/2014/main" id="{00000000-0008-0000-1D00-00000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361950</xdr:colOff>
          <xdr:row>35</xdr:row>
          <xdr:rowOff>0</xdr:rowOff>
        </xdr:from>
        <xdr:to>
          <xdr:col>12</xdr:col>
          <xdr:colOff>171450</xdr:colOff>
          <xdr:row>36</xdr:row>
          <xdr:rowOff>19050</xdr:rowOff>
        </xdr:to>
        <xdr:sp macro="" textlink="">
          <xdr:nvSpPr>
            <xdr:cNvPr id="20495" name="Check Box 15" hidden="1">
              <a:extLst>
                <a:ext uri="{63B3BB69-23CF-44E3-9099-C40C66FF867C}">
                  <a14:compatExt spid="_x0000_s20495"/>
                </a:ext>
                <a:ext uri="{FF2B5EF4-FFF2-40B4-BE49-F238E27FC236}">
                  <a16:creationId xmlns:a16="http://schemas.microsoft.com/office/drawing/2014/main" id="{00000000-0008-0000-1D00-00000F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257175</xdr:colOff>
          <xdr:row>16</xdr:row>
          <xdr:rowOff>0</xdr:rowOff>
        </xdr:from>
        <xdr:to>
          <xdr:col>3</xdr:col>
          <xdr:colOff>133350</xdr:colOff>
          <xdr:row>17</xdr:row>
          <xdr:rowOff>19050</xdr:rowOff>
        </xdr:to>
        <xdr:sp macro="" textlink="">
          <xdr:nvSpPr>
            <xdr:cNvPr id="20496" name="Check Box 16" hidden="1">
              <a:extLst>
                <a:ext uri="{63B3BB69-23CF-44E3-9099-C40C66FF867C}">
                  <a14:compatExt spid="_x0000_s20496"/>
                </a:ext>
                <a:ext uri="{FF2B5EF4-FFF2-40B4-BE49-F238E27FC236}">
                  <a16:creationId xmlns:a16="http://schemas.microsoft.com/office/drawing/2014/main" id="{00000000-0008-0000-1D00-00001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257175</xdr:colOff>
          <xdr:row>15</xdr:row>
          <xdr:rowOff>19050</xdr:rowOff>
        </xdr:from>
        <xdr:to>
          <xdr:col>3</xdr:col>
          <xdr:colOff>133350</xdr:colOff>
          <xdr:row>16</xdr:row>
          <xdr:rowOff>19050</xdr:rowOff>
        </xdr:to>
        <xdr:sp macro="" textlink="">
          <xdr:nvSpPr>
            <xdr:cNvPr id="20497" name="Check Box 17" hidden="1">
              <a:extLst>
                <a:ext uri="{63B3BB69-23CF-44E3-9099-C40C66FF867C}">
                  <a14:compatExt spid="_x0000_s20497"/>
                </a:ext>
                <a:ext uri="{FF2B5EF4-FFF2-40B4-BE49-F238E27FC236}">
                  <a16:creationId xmlns:a16="http://schemas.microsoft.com/office/drawing/2014/main" id="{00000000-0008-0000-1D00-000011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133350</xdr:colOff>
          <xdr:row>15</xdr:row>
          <xdr:rowOff>209550</xdr:rowOff>
        </xdr:from>
        <xdr:to>
          <xdr:col>11</xdr:col>
          <xdr:colOff>0</xdr:colOff>
          <xdr:row>17</xdr:row>
          <xdr:rowOff>0</xdr:rowOff>
        </xdr:to>
        <xdr:sp macro="" textlink="">
          <xdr:nvSpPr>
            <xdr:cNvPr id="20498" name="Check Box 18" hidden="1">
              <a:extLst>
                <a:ext uri="{63B3BB69-23CF-44E3-9099-C40C66FF867C}">
                  <a14:compatExt spid="_x0000_s20498"/>
                </a:ext>
                <a:ext uri="{FF2B5EF4-FFF2-40B4-BE49-F238E27FC236}">
                  <a16:creationId xmlns:a16="http://schemas.microsoft.com/office/drawing/2014/main" id="{00000000-0008-0000-1D00-00001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133350</xdr:colOff>
          <xdr:row>15</xdr:row>
          <xdr:rowOff>0</xdr:rowOff>
        </xdr:from>
        <xdr:to>
          <xdr:col>11</xdr:col>
          <xdr:colOff>0</xdr:colOff>
          <xdr:row>16</xdr:row>
          <xdr:rowOff>19050</xdr:rowOff>
        </xdr:to>
        <xdr:sp macro="" textlink="">
          <xdr:nvSpPr>
            <xdr:cNvPr id="20499" name="Check Box 19" hidden="1">
              <a:extLst>
                <a:ext uri="{63B3BB69-23CF-44E3-9099-C40C66FF867C}">
                  <a14:compatExt spid="_x0000_s20499"/>
                </a:ext>
                <a:ext uri="{FF2B5EF4-FFF2-40B4-BE49-F238E27FC236}">
                  <a16:creationId xmlns:a16="http://schemas.microsoft.com/office/drawing/2014/main" id="{00000000-0008-0000-1D00-00001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952500</xdr:colOff>
          <xdr:row>15</xdr:row>
          <xdr:rowOff>0</xdr:rowOff>
        </xdr:from>
        <xdr:to>
          <xdr:col>18</xdr:col>
          <xdr:colOff>66675</xdr:colOff>
          <xdr:row>16</xdr:row>
          <xdr:rowOff>19050</xdr:rowOff>
        </xdr:to>
        <xdr:sp macro="" textlink="">
          <xdr:nvSpPr>
            <xdr:cNvPr id="20500" name="Check Box 20" hidden="1">
              <a:extLst>
                <a:ext uri="{63B3BB69-23CF-44E3-9099-C40C66FF867C}">
                  <a14:compatExt spid="_x0000_s20500"/>
                </a:ext>
                <a:ext uri="{FF2B5EF4-FFF2-40B4-BE49-F238E27FC236}">
                  <a16:creationId xmlns:a16="http://schemas.microsoft.com/office/drawing/2014/main" id="{00000000-0008-0000-1D00-00001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95250</xdr:colOff>
          <xdr:row>84</xdr:row>
          <xdr:rowOff>0</xdr:rowOff>
        </xdr:from>
        <xdr:to>
          <xdr:col>1</xdr:col>
          <xdr:colOff>57150</xdr:colOff>
          <xdr:row>85</xdr:row>
          <xdr:rowOff>0</xdr:rowOff>
        </xdr:to>
        <xdr:sp macro="" textlink="">
          <xdr:nvSpPr>
            <xdr:cNvPr id="20501" name="Check Box 21" hidden="1">
              <a:extLst>
                <a:ext uri="{63B3BB69-23CF-44E3-9099-C40C66FF867C}">
                  <a14:compatExt spid="_x0000_s20501"/>
                </a:ext>
                <a:ext uri="{FF2B5EF4-FFF2-40B4-BE49-F238E27FC236}">
                  <a16:creationId xmlns:a16="http://schemas.microsoft.com/office/drawing/2014/main" id="{00000000-0008-0000-1D00-00001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84</xdr:row>
          <xdr:rowOff>0</xdr:rowOff>
        </xdr:from>
        <xdr:to>
          <xdr:col>9</xdr:col>
          <xdr:colOff>209550</xdr:colOff>
          <xdr:row>85</xdr:row>
          <xdr:rowOff>0</xdr:rowOff>
        </xdr:to>
        <xdr:sp macro="" textlink="">
          <xdr:nvSpPr>
            <xdr:cNvPr id="20502" name="Check Box 22" hidden="1">
              <a:extLst>
                <a:ext uri="{63B3BB69-23CF-44E3-9099-C40C66FF867C}">
                  <a14:compatExt spid="_x0000_s20502"/>
                </a:ext>
                <a:ext uri="{FF2B5EF4-FFF2-40B4-BE49-F238E27FC236}">
                  <a16:creationId xmlns:a16="http://schemas.microsoft.com/office/drawing/2014/main" id="{00000000-0008-0000-1D00-00001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114300</xdr:colOff>
          <xdr:row>84</xdr:row>
          <xdr:rowOff>0</xdr:rowOff>
        </xdr:from>
        <xdr:to>
          <xdr:col>16</xdr:col>
          <xdr:colOff>295275</xdr:colOff>
          <xdr:row>85</xdr:row>
          <xdr:rowOff>19050</xdr:rowOff>
        </xdr:to>
        <xdr:sp macro="" textlink="">
          <xdr:nvSpPr>
            <xdr:cNvPr id="20503" name="Check Box 23" hidden="1">
              <a:extLst>
                <a:ext uri="{63B3BB69-23CF-44E3-9099-C40C66FF867C}">
                  <a14:compatExt spid="_x0000_s20503"/>
                </a:ext>
                <a:ext uri="{FF2B5EF4-FFF2-40B4-BE49-F238E27FC236}">
                  <a16:creationId xmlns:a16="http://schemas.microsoft.com/office/drawing/2014/main" id="{00000000-0008-0000-1D00-00001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952500</xdr:colOff>
          <xdr:row>15</xdr:row>
          <xdr:rowOff>190500</xdr:rowOff>
        </xdr:from>
        <xdr:to>
          <xdr:col>18</xdr:col>
          <xdr:colOff>66675</xdr:colOff>
          <xdr:row>17</xdr:row>
          <xdr:rowOff>0</xdr:rowOff>
        </xdr:to>
        <xdr:sp macro="" textlink="">
          <xdr:nvSpPr>
            <xdr:cNvPr id="20504" name="Check Box 24" hidden="1">
              <a:extLst>
                <a:ext uri="{63B3BB69-23CF-44E3-9099-C40C66FF867C}">
                  <a14:compatExt spid="_x0000_s20504"/>
                </a:ext>
                <a:ext uri="{FF2B5EF4-FFF2-40B4-BE49-F238E27FC236}">
                  <a16:creationId xmlns:a16="http://schemas.microsoft.com/office/drawing/2014/main" id="{00000000-0008-0000-1D00-00001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895350</xdr:colOff>
          <xdr:row>35</xdr:row>
          <xdr:rowOff>0</xdr:rowOff>
        </xdr:from>
        <xdr:to>
          <xdr:col>18</xdr:col>
          <xdr:colOff>0</xdr:colOff>
          <xdr:row>36</xdr:row>
          <xdr:rowOff>19050</xdr:rowOff>
        </xdr:to>
        <xdr:sp macro="" textlink="">
          <xdr:nvSpPr>
            <xdr:cNvPr id="20505" name="Check Box 25" hidden="1">
              <a:extLst>
                <a:ext uri="{63B3BB69-23CF-44E3-9099-C40C66FF867C}">
                  <a14:compatExt spid="_x0000_s20505"/>
                </a:ext>
                <a:ext uri="{FF2B5EF4-FFF2-40B4-BE49-F238E27FC236}">
                  <a16:creationId xmlns:a16="http://schemas.microsoft.com/office/drawing/2014/main" id="{00000000-0008-0000-1D00-000019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0</xdr:col>
      <xdr:colOff>9526</xdr:colOff>
      <xdr:row>39</xdr:row>
      <xdr:rowOff>142875</xdr:rowOff>
    </xdr:from>
    <xdr:ext cx="7696200" cy="7684190"/>
    <xdr:sp macro="" textlink="">
      <xdr:nvSpPr>
        <xdr:cNvPr id="18" name="TextBox 17">
          <a:extLst>
            <a:ext uri="{FF2B5EF4-FFF2-40B4-BE49-F238E27FC236}">
              <a16:creationId xmlns:a16="http://schemas.microsoft.com/office/drawing/2014/main" id="{00000000-0008-0000-1D00-000012000000}"/>
            </a:ext>
          </a:extLst>
        </xdr:cNvPr>
        <xdr:cNvSpPr txBox="1"/>
      </xdr:nvSpPr>
      <xdr:spPr>
        <a:xfrm>
          <a:off x="9526" y="7704897"/>
          <a:ext cx="7696200" cy="768419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marL="230400" lvl="0" indent="0" algn="just">
            <a:buFontTx/>
            <a:buNone/>
          </a:pPr>
          <a:r>
            <a:rPr lang="en-PH" sz="750">
              <a:solidFill>
                <a:schemeClr val="dk1"/>
              </a:solidFill>
              <a:effectLst/>
              <a:latin typeface="Century Gothic" panose="020B0502020202020204" pitchFamily="34" charset="0"/>
              <a:ea typeface="+mn-ea"/>
              <a:cs typeface="+mn-cs"/>
            </a:rPr>
            <a:t>Reservation Fee, exclusive of VAT, in order to reserve the Property for our intended purchase which shall be effective for a period of thirty (30) days from payment of the Reservation Fee. I understand and acknowledge that the Reservation fee is non-refundable. Should I decide to cancel my reservation; fail to submit all the documentary requirements, including this Reservation Agreement, under the attached Annex B; or fail to pay the amounts due on the due dates prescribed under the attached Annex A, for any reasons whatsoever, I agree that my reservation shall lapse and my Reservation Fee shall be forfeited in favor of the Company. I will hold the company free and harmless for thereafter releasing and offering the Property to other interested buyers.</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2"/>
          </a:pPr>
          <a:r>
            <a:rPr lang="en-PH" sz="750">
              <a:solidFill>
                <a:schemeClr val="dk1"/>
              </a:solidFill>
              <a:effectLst/>
              <a:latin typeface="Century Gothic" panose="020B0502020202020204" pitchFamily="34" charset="0"/>
              <a:ea typeface="+mn-ea"/>
              <a:cs typeface="+mn-cs"/>
            </a:rPr>
            <a:t>I acknowledge that the Company reserves the right to accept or deny this request for reservation and is non- transferable. </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acknowledge that in the event my application to purchase the Property is accepted, the Reservation Fee shall automatically form part of the required down payment. Upon being notified of the acceptance of my offer to purchase the Property, I shall remit, within the period required by the company, the down payment and/or balance, and the complete post-dated cheques, in accordance with the Schedule of Payment (inclusive of VAT and other charges), without need of further demand. Any and all payments made to any individual, realtor, broker, employee or to a party other than the Company for safekeeping in favor of or for transmittal to the Company shall be at my sole and exclusive risk and responsibility, and shall not bind nor make the former answerable in any way thereof unless and until actually received, receipted and validated by the Company’s Cashier or officer duly authorized by the Company. All payments shall be made ONLY through crossed-checks payable to the Company under the corporate name: </a:t>
          </a:r>
          <a:r>
            <a:rPr lang="en-PH" sz="750" b="1">
              <a:solidFill>
                <a:schemeClr val="dk1"/>
              </a:solidFill>
              <a:effectLst/>
              <a:latin typeface="Century Gothic" panose="020B0502020202020204" pitchFamily="34" charset="0"/>
              <a:ea typeface="+mn-ea"/>
              <a:cs typeface="+mn-cs"/>
            </a:rPr>
            <a:t>WEE COMMUNITY DEVELOPERS, INC.</a:t>
          </a:r>
          <a:r>
            <a:rPr lang="en-PH" sz="750">
              <a:solidFill>
                <a:schemeClr val="dk1"/>
              </a:solidFill>
              <a:effectLst/>
              <a:latin typeface="Century Gothic" panose="020B0502020202020204" pitchFamily="34" charset="0"/>
              <a:ea typeface="+mn-ea"/>
              <a:cs typeface="+mn-cs"/>
            </a:rPr>
            <a:t> or cash payable only directly to the Credit and Collection Department of the Company in its Head Office.</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further acknowledge that all payments in relation to this Reservation Agreement shall be made on or before their due dates, without the necessity of any prior notice or demand and whether or not the Contract to Sell has been signed and sent back to the Developer/Company. All overdue payments shall be subject to a penalty equivalent to a rate of 0.001 or 1/1000 of past due amount per day of delay, without prejudice to the right of the Developer/Company to cancel this Reservation Agreement.</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Unless otherwise provided, my Contract to Sell for the Property shall be prepared only after I have submitted to the Company all necessary documents and postdated checks in such amounts and on such dates as are in accordance with the Schedule of Payment. The Contract to Sell shall be executed and signed by me within thirty (30) days from date of receipt of the Contract to Sell. Should I fail to submit the duly signed Contract to Sell within the said period, this Reservation Agreement shall be cancelled.</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understand and agree that this Agreement only gives me the right to purchase the Property subject to the fulfillment of the conditions herein stated. No other right, title, or ownership is vested upon me by the execution of this Agreement. The Company retains title and ownership of the Property until I shall have </a:t>
          </a: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0" lvl="0" indent="0" algn="just">
            <a:buFontTx/>
            <a:buNone/>
          </a:pPr>
          <a:r>
            <a:rPr lang="en-PH" sz="750">
              <a:solidFill>
                <a:schemeClr val="dk1"/>
              </a:solidFill>
              <a:effectLst/>
              <a:latin typeface="Century Gothic" panose="020B0502020202020204" pitchFamily="34" charset="0"/>
              <a:ea typeface="+mn-ea"/>
              <a:cs typeface="+mn-cs"/>
            </a:rPr>
            <a:t>        fully paid all amounts due to the Company for the purchase of the Property.</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In the event that I/we avail ourselves of bank financing to finance the purchase of the subject property, I/we hereby authorize the Company to submit on my/our behalf all available income documents in its possession and my/our personal information to the banks and/or credit investigators (CMAP) for the purpose of loan application pre-assessment. </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further understand that the Total Contract Price indicated herein may vary from the Total Contract Price indicated in the Deed of Absolute Sale due to promos and discounts that may be given to me. In such event, I understand that the Total Contract stated in the Deed of Absolute Sale shall prevail.</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confirm that I have personally inspected the plans and specifications of the Property, studied and verified the Project site and its proximate location and layout of my requested Property and I find the same to be acceptable and satisfactory. I acknowledge that I have independently ascertained and evaluated all materials, facts and technical information related to the purchase of the Property and that I am satisfied with what has been explained to me by the Property Specialist/Broker who assisted me. I further understand that the sizes and/or numbering of the condominium units and parking spaces are subject to adjustments in accordance with the approved building plan or amendments thereon and I agree that the Developer reserves the right to revise architectural and floor plans without my consent.</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hereby authorize the Developer of the Project to organize the Project’s governing homeowner’s association or Condominium Corporation, as applicable.</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CANCELLATION OF RESERVATION. I /We, hereby agree that </a:t>
          </a:r>
          <a:r>
            <a:rPr lang="en-PH" sz="750" b="1">
              <a:solidFill>
                <a:schemeClr val="dk1"/>
              </a:solidFill>
              <a:effectLst/>
              <a:latin typeface="Century Gothic" panose="020B0502020202020204" pitchFamily="34" charset="0"/>
              <a:ea typeface="+mn-ea"/>
              <a:cs typeface="+mn-cs"/>
            </a:rPr>
            <a:t>WEE COMMUNITY DEVELOPERS, INC.</a:t>
          </a:r>
          <a:r>
            <a:rPr lang="en-PH" sz="750">
              <a:solidFill>
                <a:schemeClr val="dk1"/>
              </a:solidFill>
              <a:effectLst/>
              <a:latin typeface="Century Gothic" panose="020B0502020202020204" pitchFamily="34" charset="0"/>
              <a:ea typeface="+mn-ea"/>
              <a:cs typeface="+mn-cs"/>
            </a:rPr>
            <a:t> shall have the right to automatically cancel my/our reservation without further notice and without need of judicial rescission and to forfeit as liquidated damages my/our reservation fee and whatever other payments I/We have made, with any and all rights to the unit(s) considered waived by me/us in favor </a:t>
          </a:r>
          <a:r>
            <a:rPr lang="en-PH" sz="750" b="1">
              <a:solidFill>
                <a:schemeClr val="dk1"/>
              </a:solidFill>
              <a:effectLst/>
              <a:latin typeface="Century Gothic" panose="020B0502020202020204" pitchFamily="34" charset="0"/>
              <a:ea typeface="+mn-ea"/>
              <a:cs typeface="+mn-cs"/>
            </a:rPr>
            <a:t>of WEE COMMUNITY DEVELOPERS, INC.</a:t>
          </a:r>
          <a:r>
            <a:rPr lang="en-PH" sz="750">
              <a:solidFill>
                <a:schemeClr val="dk1"/>
              </a:solidFill>
              <a:effectLst/>
              <a:latin typeface="Century Gothic" panose="020B0502020202020204" pitchFamily="34" charset="0"/>
              <a:ea typeface="+mn-ea"/>
              <a:cs typeface="+mn-cs"/>
            </a:rPr>
            <a:t>, in the event of any of the following:</a:t>
          </a:r>
        </a:p>
        <a:p>
          <a:pPr algn="just"/>
          <a:r>
            <a:rPr lang="en-PH" sz="750">
              <a:solidFill>
                <a:schemeClr val="dk1"/>
              </a:solidFill>
              <a:effectLst/>
              <a:latin typeface="Century Gothic" panose="020B0502020202020204" pitchFamily="34" charset="0"/>
              <a:ea typeface="+mn-ea"/>
              <a:cs typeface="+mn-cs"/>
            </a:rPr>
            <a:t> </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undergo Counseling within Fifteen (15) days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submit complete documentary requirements under Annex B within Thirty (30) days for the locally employed and Sixty (60) days for OFW’s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pay the first equity payment within thirty (30) days from payment of Reservation Fee;</a:t>
          </a:r>
        </a:p>
        <a:p>
          <a:pPr algn="just"/>
          <a:endParaRPr lang="en-PH" sz="750">
            <a:latin typeface="Century Gothic" panose="020B0502020202020204" pitchFamily="34" charset="0"/>
          </a:endParaRPr>
        </a:p>
      </xdr:txBody>
    </xdr:sp>
    <xdr:clientData/>
  </xdr:oneCellAnchor>
  <mc:AlternateContent xmlns:mc="http://schemas.openxmlformats.org/markup-compatibility/2006">
    <mc:Choice xmlns:a14="http://schemas.microsoft.com/office/drawing/2010/main" Requires="a14">
      <xdr:twoCellAnchor editAs="oneCell">
        <xdr:from>
          <xdr:col>16</xdr:col>
          <xdr:colOff>171450</xdr:colOff>
          <xdr:row>87</xdr:row>
          <xdr:rowOff>19050</xdr:rowOff>
        </xdr:from>
        <xdr:to>
          <xdr:col>17</xdr:col>
          <xdr:colOff>38100</xdr:colOff>
          <xdr:row>88</xdr:row>
          <xdr:rowOff>0</xdr:rowOff>
        </xdr:to>
        <xdr:sp macro="" textlink="">
          <xdr:nvSpPr>
            <xdr:cNvPr id="20506" name="Check Box 26" hidden="1">
              <a:extLst>
                <a:ext uri="{63B3BB69-23CF-44E3-9099-C40C66FF867C}">
                  <a14:compatExt spid="_x0000_s20506"/>
                </a:ext>
                <a:ext uri="{FF2B5EF4-FFF2-40B4-BE49-F238E27FC236}">
                  <a16:creationId xmlns:a16="http://schemas.microsoft.com/office/drawing/2014/main" id="{00000000-0008-0000-1D00-00001A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171450</xdr:colOff>
          <xdr:row>86</xdr:row>
          <xdr:rowOff>19050</xdr:rowOff>
        </xdr:from>
        <xdr:to>
          <xdr:col>17</xdr:col>
          <xdr:colOff>38100</xdr:colOff>
          <xdr:row>87</xdr:row>
          <xdr:rowOff>0</xdr:rowOff>
        </xdr:to>
        <xdr:sp macro="" textlink="">
          <xdr:nvSpPr>
            <xdr:cNvPr id="20508" name="Check Box 28" hidden="1">
              <a:extLst>
                <a:ext uri="{63B3BB69-23CF-44E3-9099-C40C66FF867C}">
                  <a14:compatExt spid="_x0000_s20508"/>
                </a:ext>
                <a:ext uri="{FF2B5EF4-FFF2-40B4-BE49-F238E27FC236}">
                  <a16:creationId xmlns:a16="http://schemas.microsoft.com/office/drawing/2014/main" id="{00000000-0008-0000-1D00-00001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171450</xdr:colOff>
          <xdr:row>85</xdr:row>
          <xdr:rowOff>19050</xdr:rowOff>
        </xdr:from>
        <xdr:to>
          <xdr:col>17</xdr:col>
          <xdr:colOff>38100</xdr:colOff>
          <xdr:row>86</xdr:row>
          <xdr:rowOff>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1D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86</xdr:row>
          <xdr:rowOff>19050</xdr:rowOff>
        </xdr:from>
        <xdr:to>
          <xdr:col>10</xdr:col>
          <xdr:colOff>57150</xdr:colOff>
          <xdr:row>87</xdr:row>
          <xdr:rowOff>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1D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85</xdr:row>
          <xdr:rowOff>19050</xdr:rowOff>
        </xdr:from>
        <xdr:to>
          <xdr:col>10</xdr:col>
          <xdr:colOff>57150</xdr:colOff>
          <xdr:row>86</xdr:row>
          <xdr:rowOff>0</xdr:rowOff>
        </xdr:to>
        <xdr:sp macro="" textlink="">
          <xdr:nvSpPr>
            <xdr:cNvPr id="20511" name="Check Box 31" hidden="1">
              <a:extLst>
                <a:ext uri="{63B3BB69-23CF-44E3-9099-C40C66FF867C}">
                  <a14:compatExt spid="_x0000_s20511"/>
                </a:ext>
                <a:ext uri="{FF2B5EF4-FFF2-40B4-BE49-F238E27FC236}">
                  <a16:creationId xmlns:a16="http://schemas.microsoft.com/office/drawing/2014/main" id="{00000000-0008-0000-1D00-00001F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133350</xdr:colOff>
          <xdr:row>85</xdr:row>
          <xdr:rowOff>28575</xdr:rowOff>
        </xdr:from>
        <xdr:to>
          <xdr:col>1</xdr:col>
          <xdr:colOff>76200</xdr:colOff>
          <xdr:row>86</xdr:row>
          <xdr:rowOff>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1D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133350</xdr:colOff>
          <xdr:row>86</xdr:row>
          <xdr:rowOff>0</xdr:rowOff>
        </xdr:from>
        <xdr:to>
          <xdr:col>1</xdr:col>
          <xdr:colOff>76200</xdr:colOff>
          <xdr:row>87</xdr:row>
          <xdr:rowOff>0</xdr:rowOff>
        </xdr:to>
        <xdr:sp macro="" textlink="">
          <xdr:nvSpPr>
            <xdr:cNvPr id="20513" name="Check Box 33" hidden="1">
              <a:extLst>
                <a:ext uri="{63B3BB69-23CF-44E3-9099-C40C66FF867C}">
                  <a14:compatExt spid="_x0000_s20513"/>
                </a:ext>
                <a:ext uri="{FF2B5EF4-FFF2-40B4-BE49-F238E27FC236}">
                  <a16:creationId xmlns:a16="http://schemas.microsoft.com/office/drawing/2014/main" id="{00000000-0008-0000-1D00-000021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0</xdr:colOff>
      <xdr:row>98</xdr:row>
      <xdr:rowOff>0</xdr:rowOff>
    </xdr:from>
    <xdr:to>
      <xdr:col>20</xdr:col>
      <xdr:colOff>47625</xdr:colOff>
      <xdr:row>106</xdr:row>
      <xdr:rowOff>187187</xdr:rowOff>
    </xdr:to>
    <xdr:sp macro="" textlink="">
      <xdr:nvSpPr>
        <xdr:cNvPr id="23" name="TextBox 22">
          <a:extLst>
            <a:ext uri="{FF2B5EF4-FFF2-40B4-BE49-F238E27FC236}">
              <a16:creationId xmlns:a16="http://schemas.microsoft.com/office/drawing/2014/main" id="{00000000-0008-0000-1D00-000017000000}"/>
            </a:ext>
          </a:extLst>
        </xdr:cNvPr>
        <xdr:cNvSpPr txBox="1"/>
      </xdr:nvSpPr>
      <xdr:spPr>
        <a:xfrm>
          <a:off x="0" y="18230850"/>
          <a:ext cx="7705725" cy="186358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PH" sz="750">
              <a:solidFill>
                <a:schemeClr val="dk1"/>
              </a:solidFill>
              <a:effectLst/>
              <a:latin typeface="Century Gothic" panose="020B0502020202020204" pitchFamily="34" charset="0"/>
              <a:ea typeface="+mn-ea"/>
              <a:cs typeface="+mn-cs"/>
            </a:rPr>
            <a:t>By signing this Reservation Agreement, I hereby consent to the collection, processing, disclosure and storage of my personal data and information in compliance with the Data Privacy Act of 2012, and its Implementing Rules and Regulations (IRR), by </a:t>
          </a:r>
          <a:r>
            <a:rPr lang="en-PH" sz="750" b="1">
              <a:solidFill>
                <a:schemeClr val="dk1"/>
              </a:solidFill>
              <a:effectLst/>
              <a:latin typeface="Century Gothic" panose="020B0502020202020204" pitchFamily="34" charset="0"/>
              <a:ea typeface="+mn-ea"/>
              <a:cs typeface="+mn-cs"/>
            </a:rPr>
            <a:t>WEE COMMUNITY DEVELOPERS, INC</a:t>
          </a:r>
          <a:r>
            <a:rPr lang="en-PH" sz="750">
              <a:solidFill>
                <a:schemeClr val="dk1"/>
              </a:solidFill>
              <a:effectLst/>
              <a:latin typeface="Century Gothic" panose="020B0502020202020204" pitchFamily="34" charset="0"/>
              <a:ea typeface="+mn-ea"/>
              <a:cs typeface="+mn-cs"/>
            </a:rPr>
            <a:t>. (the “Company”).</a:t>
          </a:r>
        </a:p>
        <a:p>
          <a:pPr algn="just"/>
          <a:endParaRPr lang="en-PH" sz="750">
            <a:solidFill>
              <a:schemeClr val="dk1"/>
            </a:solidFill>
            <a:effectLst/>
            <a:latin typeface="Century Gothic" panose="020B0502020202020204" pitchFamily="34" charset="0"/>
            <a:ea typeface="+mn-ea"/>
            <a:cs typeface="+mn-cs"/>
          </a:endParaRPr>
        </a:p>
        <a:p>
          <a:pPr algn="just"/>
          <a:r>
            <a:rPr lang="en-PH" sz="750">
              <a:solidFill>
                <a:schemeClr val="dk1"/>
              </a:solidFill>
              <a:effectLst/>
              <a:latin typeface="Century Gothic" panose="020B0502020202020204" pitchFamily="34" charset="0"/>
              <a:ea typeface="+mn-ea"/>
              <a:cs typeface="+mn-cs"/>
            </a:rPr>
            <a:t>As such, I hereby authorize the Company to: </a:t>
          </a:r>
          <a:r>
            <a:rPr lang="en-PH" sz="750" b="1">
              <a:solidFill>
                <a:schemeClr val="dk1"/>
              </a:solidFill>
              <a:effectLst/>
              <a:latin typeface="Century Gothic" panose="020B0502020202020204" pitchFamily="34" charset="0"/>
              <a:ea typeface="+mn-ea"/>
              <a:cs typeface="+mn-cs"/>
            </a:rPr>
            <a:t>(1)</a:t>
          </a:r>
          <a:r>
            <a:rPr lang="en-PH" sz="750">
              <a:solidFill>
                <a:schemeClr val="dk1"/>
              </a:solidFill>
              <a:effectLst/>
              <a:latin typeface="Century Gothic" panose="020B0502020202020204" pitchFamily="34" charset="0"/>
              <a:ea typeface="+mn-ea"/>
              <a:cs typeface="+mn-cs"/>
            </a:rPr>
            <a:t> use my personal information in all documents and forms requiring such information in relation to all transactions for which this Agreement is entered into; </a:t>
          </a:r>
          <a:r>
            <a:rPr lang="en-PH" sz="750" b="1">
              <a:solidFill>
                <a:schemeClr val="dk1"/>
              </a:solidFill>
              <a:effectLst/>
              <a:latin typeface="Century Gothic" panose="020B0502020202020204" pitchFamily="34" charset="0"/>
              <a:ea typeface="+mn-ea"/>
              <a:cs typeface="+mn-cs"/>
            </a:rPr>
            <a:t>(2)</a:t>
          </a:r>
          <a:r>
            <a:rPr lang="en-PH" sz="750">
              <a:solidFill>
                <a:schemeClr val="dk1"/>
              </a:solidFill>
              <a:effectLst/>
              <a:latin typeface="Century Gothic" panose="020B0502020202020204" pitchFamily="34" charset="0"/>
              <a:ea typeface="+mn-ea"/>
              <a:cs typeface="+mn-cs"/>
            </a:rPr>
            <a:t> share/disclose my personal information, subject to such limitations as may be provided for by law, to the extent necessary to enforce this Agreement or for other legitimate business purpose; and </a:t>
          </a:r>
          <a:r>
            <a:rPr lang="en-PH" sz="750" b="1">
              <a:solidFill>
                <a:schemeClr val="dk1"/>
              </a:solidFill>
              <a:effectLst/>
              <a:latin typeface="Century Gothic" panose="020B0502020202020204" pitchFamily="34" charset="0"/>
              <a:ea typeface="+mn-ea"/>
              <a:cs typeface="+mn-cs"/>
            </a:rPr>
            <a:t>(3)</a:t>
          </a:r>
          <a:r>
            <a:rPr lang="en-PH" sz="750">
              <a:solidFill>
                <a:schemeClr val="dk1"/>
              </a:solidFill>
              <a:effectLst/>
              <a:latin typeface="Century Gothic" panose="020B0502020202020204" pitchFamily="34" charset="0"/>
              <a:ea typeface="+mn-ea"/>
              <a:cs typeface="+mn-cs"/>
            </a:rPr>
            <a:t> retain my information for a reasonable period of time from the date all transactions relating to this Agreement have been either consummated or terminated for any reason whatsoever, subject to all my rights guaranteed under Section 16 of the Data Privacy Act of 2012. Pursuant to Republic Act No. 9160 otherwise known as the Anti-Money Laundering Act of 2001 dated 20 September 2001 as amended by Republic Act No. 11521 dated 29 January 2021, upon my signing of this Agreement, I agree and thereby expressly give my consent to the Company’s procedural</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reporting of pertinent details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the AMLA Committee should the provisions of the law require them</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disclose any of the information I provided herein, by virtue of the Company’s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exercise of due diligence required of them by law. I shall not hold the Company liable and shall be protected against Republic Act No. 10173 or the Data Privacy Act of 2012 dated 12 July 2012 by doing so.</a:t>
          </a:r>
        </a:p>
        <a:p>
          <a:pPr algn="just"/>
          <a:endParaRPr lang="en-PH" sz="750">
            <a:effectLst/>
            <a:latin typeface="Century Gothic" panose="020B0502020202020204" pitchFamily="34" charset="0"/>
          </a:endParaRPr>
        </a:p>
        <a:p>
          <a:pPr algn="just"/>
          <a:r>
            <a:rPr lang="en-PH" sz="750">
              <a:solidFill>
                <a:schemeClr val="dk1"/>
              </a:solidFill>
              <a:effectLst/>
              <a:latin typeface="Century Gothic" panose="020B0502020202020204" pitchFamily="34" charset="0"/>
              <a:ea typeface="+mn-ea"/>
              <a:cs typeface="+mn-cs"/>
            </a:rPr>
            <a:t>In view of the foregoing, I further certify that all information I have provided to the Company are, to the best of my knowledge, true and correct, and hold the Company free and harmless from any action or claim for damages in relation to the consent hereby given.</a:t>
          </a:r>
        </a:p>
        <a:p>
          <a:pPr algn="just"/>
          <a:endParaRPr lang="en-PH" sz="1100"/>
        </a:p>
      </xdr:txBody>
    </xdr:sp>
    <xdr:clientData/>
  </xdr:twoCellAnchor>
</xdr:wsDr>
</file>

<file path=xl/drawings/drawing2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28575</xdr:colOff>
          <xdr:row>3</xdr:row>
          <xdr:rowOff>190500</xdr:rowOff>
        </xdr:from>
        <xdr:to>
          <xdr:col>0</xdr:col>
          <xdr:colOff>209550</xdr:colOff>
          <xdr:row>5</xdr:row>
          <xdr:rowOff>28575</xdr:rowOff>
        </xdr:to>
        <xdr:sp macro="" textlink="">
          <xdr:nvSpPr>
            <xdr:cNvPr id="46142" name="Check Box 62" hidden="1">
              <a:extLst>
                <a:ext uri="{63B3BB69-23CF-44E3-9099-C40C66FF867C}">
                  <a14:compatExt spid="_x0000_s46142"/>
                </a:ext>
                <a:ext uri="{FF2B5EF4-FFF2-40B4-BE49-F238E27FC236}">
                  <a16:creationId xmlns:a16="http://schemas.microsoft.com/office/drawing/2014/main" id="{00000000-0008-0000-1E00-00003E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4</xdr:row>
          <xdr:rowOff>209550</xdr:rowOff>
        </xdr:from>
        <xdr:to>
          <xdr:col>0</xdr:col>
          <xdr:colOff>209550</xdr:colOff>
          <xdr:row>6</xdr:row>
          <xdr:rowOff>19050</xdr:rowOff>
        </xdr:to>
        <xdr:sp macro="" textlink="">
          <xdr:nvSpPr>
            <xdr:cNvPr id="46143" name="Check Box 63" hidden="1">
              <a:extLst>
                <a:ext uri="{63B3BB69-23CF-44E3-9099-C40C66FF867C}">
                  <a14:compatExt spid="_x0000_s46143"/>
                </a:ext>
                <a:ext uri="{FF2B5EF4-FFF2-40B4-BE49-F238E27FC236}">
                  <a16:creationId xmlns:a16="http://schemas.microsoft.com/office/drawing/2014/main" id="{00000000-0008-0000-1E00-00003F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5</xdr:row>
          <xdr:rowOff>171450</xdr:rowOff>
        </xdr:from>
        <xdr:to>
          <xdr:col>0</xdr:col>
          <xdr:colOff>209550</xdr:colOff>
          <xdr:row>6</xdr:row>
          <xdr:rowOff>180975</xdr:rowOff>
        </xdr:to>
        <xdr:sp macro="" textlink="">
          <xdr:nvSpPr>
            <xdr:cNvPr id="46144" name="Check Box 64" hidden="1">
              <a:extLst>
                <a:ext uri="{63B3BB69-23CF-44E3-9099-C40C66FF867C}">
                  <a14:compatExt spid="_x0000_s46144"/>
                </a:ext>
                <a:ext uri="{FF2B5EF4-FFF2-40B4-BE49-F238E27FC236}">
                  <a16:creationId xmlns:a16="http://schemas.microsoft.com/office/drawing/2014/main" id="{00000000-0008-0000-1E00-000040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6</xdr:row>
          <xdr:rowOff>171450</xdr:rowOff>
        </xdr:from>
        <xdr:to>
          <xdr:col>0</xdr:col>
          <xdr:colOff>209550</xdr:colOff>
          <xdr:row>7</xdr:row>
          <xdr:rowOff>180975</xdr:rowOff>
        </xdr:to>
        <xdr:sp macro="" textlink="">
          <xdr:nvSpPr>
            <xdr:cNvPr id="46145" name="Check Box 65" hidden="1">
              <a:extLst>
                <a:ext uri="{63B3BB69-23CF-44E3-9099-C40C66FF867C}">
                  <a14:compatExt spid="_x0000_s46145"/>
                </a:ext>
                <a:ext uri="{FF2B5EF4-FFF2-40B4-BE49-F238E27FC236}">
                  <a16:creationId xmlns:a16="http://schemas.microsoft.com/office/drawing/2014/main" id="{00000000-0008-0000-1E00-000041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7</xdr:row>
          <xdr:rowOff>171450</xdr:rowOff>
        </xdr:from>
        <xdr:to>
          <xdr:col>0</xdr:col>
          <xdr:colOff>209550</xdr:colOff>
          <xdr:row>8</xdr:row>
          <xdr:rowOff>180975</xdr:rowOff>
        </xdr:to>
        <xdr:sp macro="" textlink="">
          <xdr:nvSpPr>
            <xdr:cNvPr id="46146" name="Check Box 66" hidden="1">
              <a:extLst>
                <a:ext uri="{63B3BB69-23CF-44E3-9099-C40C66FF867C}">
                  <a14:compatExt spid="_x0000_s46146"/>
                </a:ext>
                <a:ext uri="{FF2B5EF4-FFF2-40B4-BE49-F238E27FC236}">
                  <a16:creationId xmlns:a16="http://schemas.microsoft.com/office/drawing/2014/main" id="{00000000-0008-0000-1E00-000042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8</xdr:row>
          <xdr:rowOff>171450</xdr:rowOff>
        </xdr:from>
        <xdr:to>
          <xdr:col>0</xdr:col>
          <xdr:colOff>209550</xdr:colOff>
          <xdr:row>9</xdr:row>
          <xdr:rowOff>180975</xdr:rowOff>
        </xdr:to>
        <xdr:sp macro="" textlink="">
          <xdr:nvSpPr>
            <xdr:cNvPr id="46147" name="Check Box 67" hidden="1">
              <a:extLst>
                <a:ext uri="{63B3BB69-23CF-44E3-9099-C40C66FF867C}">
                  <a14:compatExt spid="_x0000_s46147"/>
                </a:ext>
                <a:ext uri="{FF2B5EF4-FFF2-40B4-BE49-F238E27FC236}">
                  <a16:creationId xmlns:a16="http://schemas.microsoft.com/office/drawing/2014/main" id="{00000000-0008-0000-1E00-000043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10</xdr:row>
          <xdr:rowOff>0</xdr:rowOff>
        </xdr:from>
        <xdr:to>
          <xdr:col>0</xdr:col>
          <xdr:colOff>209550</xdr:colOff>
          <xdr:row>11</xdr:row>
          <xdr:rowOff>19050</xdr:rowOff>
        </xdr:to>
        <xdr:sp macro="" textlink="">
          <xdr:nvSpPr>
            <xdr:cNvPr id="46148" name="Check Box 68" hidden="1">
              <a:extLst>
                <a:ext uri="{63B3BB69-23CF-44E3-9099-C40C66FF867C}">
                  <a14:compatExt spid="_x0000_s46148"/>
                </a:ext>
                <a:ext uri="{FF2B5EF4-FFF2-40B4-BE49-F238E27FC236}">
                  <a16:creationId xmlns:a16="http://schemas.microsoft.com/office/drawing/2014/main" id="{00000000-0008-0000-1E00-000044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10</xdr:row>
          <xdr:rowOff>180975</xdr:rowOff>
        </xdr:from>
        <xdr:to>
          <xdr:col>0</xdr:col>
          <xdr:colOff>209550</xdr:colOff>
          <xdr:row>12</xdr:row>
          <xdr:rowOff>0</xdr:rowOff>
        </xdr:to>
        <xdr:sp macro="" textlink="">
          <xdr:nvSpPr>
            <xdr:cNvPr id="46149" name="Check Box 69" hidden="1">
              <a:extLst>
                <a:ext uri="{63B3BB69-23CF-44E3-9099-C40C66FF867C}">
                  <a14:compatExt spid="_x0000_s46149"/>
                </a:ext>
                <a:ext uri="{FF2B5EF4-FFF2-40B4-BE49-F238E27FC236}">
                  <a16:creationId xmlns:a16="http://schemas.microsoft.com/office/drawing/2014/main" id="{00000000-0008-0000-1E00-000045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12</xdr:row>
          <xdr:rowOff>0</xdr:rowOff>
        </xdr:from>
        <xdr:to>
          <xdr:col>0</xdr:col>
          <xdr:colOff>209550</xdr:colOff>
          <xdr:row>13</xdr:row>
          <xdr:rowOff>19050</xdr:rowOff>
        </xdr:to>
        <xdr:sp macro="" textlink="">
          <xdr:nvSpPr>
            <xdr:cNvPr id="46150" name="Check Box 70" hidden="1">
              <a:extLst>
                <a:ext uri="{63B3BB69-23CF-44E3-9099-C40C66FF867C}">
                  <a14:compatExt spid="_x0000_s46150"/>
                </a:ext>
                <a:ext uri="{FF2B5EF4-FFF2-40B4-BE49-F238E27FC236}">
                  <a16:creationId xmlns:a16="http://schemas.microsoft.com/office/drawing/2014/main" id="{00000000-0008-0000-1E00-000046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12</xdr:row>
          <xdr:rowOff>190500</xdr:rowOff>
        </xdr:from>
        <xdr:to>
          <xdr:col>0</xdr:col>
          <xdr:colOff>209550</xdr:colOff>
          <xdr:row>14</xdr:row>
          <xdr:rowOff>0</xdr:rowOff>
        </xdr:to>
        <xdr:sp macro="" textlink="">
          <xdr:nvSpPr>
            <xdr:cNvPr id="46151" name="Check Box 71" hidden="1">
              <a:extLst>
                <a:ext uri="{63B3BB69-23CF-44E3-9099-C40C66FF867C}">
                  <a14:compatExt spid="_x0000_s46151"/>
                </a:ext>
                <a:ext uri="{FF2B5EF4-FFF2-40B4-BE49-F238E27FC236}">
                  <a16:creationId xmlns:a16="http://schemas.microsoft.com/office/drawing/2014/main" id="{00000000-0008-0000-1E00-000047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14</xdr:row>
          <xdr:rowOff>190500</xdr:rowOff>
        </xdr:from>
        <xdr:to>
          <xdr:col>0</xdr:col>
          <xdr:colOff>209550</xdr:colOff>
          <xdr:row>16</xdr:row>
          <xdr:rowOff>0</xdr:rowOff>
        </xdr:to>
        <xdr:sp macro="" textlink="">
          <xdr:nvSpPr>
            <xdr:cNvPr id="46152" name="Check Box 72" hidden="1">
              <a:extLst>
                <a:ext uri="{63B3BB69-23CF-44E3-9099-C40C66FF867C}">
                  <a14:compatExt spid="_x0000_s46152"/>
                </a:ext>
                <a:ext uri="{FF2B5EF4-FFF2-40B4-BE49-F238E27FC236}">
                  <a16:creationId xmlns:a16="http://schemas.microsoft.com/office/drawing/2014/main" id="{00000000-0008-0000-1E00-000048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15</xdr:row>
          <xdr:rowOff>190500</xdr:rowOff>
        </xdr:from>
        <xdr:to>
          <xdr:col>0</xdr:col>
          <xdr:colOff>209550</xdr:colOff>
          <xdr:row>17</xdr:row>
          <xdr:rowOff>0</xdr:rowOff>
        </xdr:to>
        <xdr:sp macro="" textlink="">
          <xdr:nvSpPr>
            <xdr:cNvPr id="46153" name="Check Box 73" hidden="1">
              <a:extLst>
                <a:ext uri="{63B3BB69-23CF-44E3-9099-C40C66FF867C}">
                  <a14:compatExt spid="_x0000_s46153"/>
                </a:ext>
                <a:ext uri="{FF2B5EF4-FFF2-40B4-BE49-F238E27FC236}">
                  <a16:creationId xmlns:a16="http://schemas.microsoft.com/office/drawing/2014/main" id="{00000000-0008-0000-1E00-000049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16</xdr:row>
          <xdr:rowOff>190500</xdr:rowOff>
        </xdr:from>
        <xdr:to>
          <xdr:col>0</xdr:col>
          <xdr:colOff>209550</xdr:colOff>
          <xdr:row>18</xdr:row>
          <xdr:rowOff>0</xdr:rowOff>
        </xdr:to>
        <xdr:sp macro="" textlink="">
          <xdr:nvSpPr>
            <xdr:cNvPr id="46154" name="Check Box 74" hidden="1">
              <a:extLst>
                <a:ext uri="{63B3BB69-23CF-44E3-9099-C40C66FF867C}">
                  <a14:compatExt spid="_x0000_s46154"/>
                </a:ext>
                <a:ext uri="{FF2B5EF4-FFF2-40B4-BE49-F238E27FC236}">
                  <a16:creationId xmlns:a16="http://schemas.microsoft.com/office/drawing/2014/main" id="{00000000-0008-0000-1E00-00004A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17</xdr:row>
          <xdr:rowOff>190500</xdr:rowOff>
        </xdr:from>
        <xdr:to>
          <xdr:col>0</xdr:col>
          <xdr:colOff>209550</xdr:colOff>
          <xdr:row>19</xdr:row>
          <xdr:rowOff>0</xdr:rowOff>
        </xdr:to>
        <xdr:sp macro="" textlink="">
          <xdr:nvSpPr>
            <xdr:cNvPr id="46155" name="Check Box 75" hidden="1">
              <a:extLst>
                <a:ext uri="{63B3BB69-23CF-44E3-9099-C40C66FF867C}">
                  <a14:compatExt spid="_x0000_s46155"/>
                </a:ext>
                <a:ext uri="{FF2B5EF4-FFF2-40B4-BE49-F238E27FC236}">
                  <a16:creationId xmlns:a16="http://schemas.microsoft.com/office/drawing/2014/main" id="{00000000-0008-0000-1E00-00004B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18</xdr:row>
          <xdr:rowOff>190500</xdr:rowOff>
        </xdr:from>
        <xdr:to>
          <xdr:col>0</xdr:col>
          <xdr:colOff>209550</xdr:colOff>
          <xdr:row>20</xdr:row>
          <xdr:rowOff>0</xdr:rowOff>
        </xdr:to>
        <xdr:sp macro="" textlink="">
          <xdr:nvSpPr>
            <xdr:cNvPr id="46156" name="Check Box 76" hidden="1">
              <a:extLst>
                <a:ext uri="{63B3BB69-23CF-44E3-9099-C40C66FF867C}">
                  <a14:compatExt spid="_x0000_s46156"/>
                </a:ext>
                <a:ext uri="{FF2B5EF4-FFF2-40B4-BE49-F238E27FC236}">
                  <a16:creationId xmlns:a16="http://schemas.microsoft.com/office/drawing/2014/main" id="{00000000-0008-0000-1E00-00004C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19</xdr:row>
          <xdr:rowOff>190500</xdr:rowOff>
        </xdr:from>
        <xdr:to>
          <xdr:col>0</xdr:col>
          <xdr:colOff>209550</xdr:colOff>
          <xdr:row>21</xdr:row>
          <xdr:rowOff>0</xdr:rowOff>
        </xdr:to>
        <xdr:sp macro="" textlink="">
          <xdr:nvSpPr>
            <xdr:cNvPr id="46157" name="Check Box 77" hidden="1">
              <a:extLst>
                <a:ext uri="{63B3BB69-23CF-44E3-9099-C40C66FF867C}">
                  <a14:compatExt spid="_x0000_s46157"/>
                </a:ext>
                <a:ext uri="{FF2B5EF4-FFF2-40B4-BE49-F238E27FC236}">
                  <a16:creationId xmlns:a16="http://schemas.microsoft.com/office/drawing/2014/main" id="{00000000-0008-0000-1E00-00004D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20</xdr:row>
          <xdr:rowOff>190500</xdr:rowOff>
        </xdr:from>
        <xdr:to>
          <xdr:col>0</xdr:col>
          <xdr:colOff>209550</xdr:colOff>
          <xdr:row>22</xdr:row>
          <xdr:rowOff>0</xdr:rowOff>
        </xdr:to>
        <xdr:sp macro="" textlink="">
          <xdr:nvSpPr>
            <xdr:cNvPr id="46158" name="Check Box 78" hidden="1">
              <a:extLst>
                <a:ext uri="{63B3BB69-23CF-44E3-9099-C40C66FF867C}">
                  <a14:compatExt spid="_x0000_s46158"/>
                </a:ext>
                <a:ext uri="{FF2B5EF4-FFF2-40B4-BE49-F238E27FC236}">
                  <a16:creationId xmlns:a16="http://schemas.microsoft.com/office/drawing/2014/main" id="{00000000-0008-0000-1E00-00004E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21</xdr:row>
          <xdr:rowOff>190500</xdr:rowOff>
        </xdr:from>
        <xdr:to>
          <xdr:col>0</xdr:col>
          <xdr:colOff>209550</xdr:colOff>
          <xdr:row>23</xdr:row>
          <xdr:rowOff>0</xdr:rowOff>
        </xdr:to>
        <xdr:sp macro="" textlink="">
          <xdr:nvSpPr>
            <xdr:cNvPr id="46159" name="Check Box 79" hidden="1">
              <a:extLst>
                <a:ext uri="{63B3BB69-23CF-44E3-9099-C40C66FF867C}">
                  <a14:compatExt spid="_x0000_s46159"/>
                </a:ext>
                <a:ext uri="{FF2B5EF4-FFF2-40B4-BE49-F238E27FC236}">
                  <a16:creationId xmlns:a16="http://schemas.microsoft.com/office/drawing/2014/main" id="{00000000-0008-0000-1E00-00004F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22</xdr:row>
          <xdr:rowOff>190500</xdr:rowOff>
        </xdr:from>
        <xdr:to>
          <xdr:col>0</xdr:col>
          <xdr:colOff>209550</xdr:colOff>
          <xdr:row>24</xdr:row>
          <xdr:rowOff>0</xdr:rowOff>
        </xdr:to>
        <xdr:sp macro="" textlink="">
          <xdr:nvSpPr>
            <xdr:cNvPr id="46160" name="Check Box 80" hidden="1">
              <a:extLst>
                <a:ext uri="{63B3BB69-23CF-44E3-9099-C40C66FF867C}">
                  <a14:compatExt spid="_x0000_s46160"/>
                </a:ext>
                <a:ext uri="{FF2B5EF4-FFF2-40B4-BE49-F238E27FC236}">
                  <a16:creationId xmlns:a16="http://schemas.microsoft.com/office/drawing/2014/main" id="{00000000-0008-0000-1E00-000050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23</xdr:row>
          <xdr:rowOff>190500</xdr:rowOff>
        </xdr:from>
        <xdr:to>
          <xdr:col>0</xdr:col>
          <xdr:colOff>209550</xdr:colOff>
          <xdr:row>25</xdr:row>
          <xdr:rowOff>0</xdr:rowOff>
        </xdr:to>
        <xdr:sp macro="" textlink="">
          <xdr:nvSpPr>
            <xdr:cNvPr id="46161" name="Check Box 81" hidden="1">
              <a:extLst>
                <a:ext uri="{63B3BB69-23CF-44E3-9099-C40C66FF867C}">
                  <a14:compatExt spid="_x0000_s46161"/>
                </a:ext>
                <a:ext uri="{FF2B5EF4-FFF2-40B4-BE49-F238E27FC236}">
                  <a16:creationId xmlns:a16="http://schemas.microsoft.com/office/drawing/2014/main" id="{00000000-0008-0000-1E00-000051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24</xdr:row>
          <xdr:rowOff>190500</xdr:rowOff>
        </xdr:from>
        <xdr:to>
          <xdr:col>0</xdr:col>
          <xdr:colOff>209550</xdr:colOff>
          <xdr:row>26</xdr:row>
          <xdr:rowOff>0</xdr:rowOff>
        </xdr:to>
        <xdr:sp macro="" textlink="">
          <xdr:nvSpPr>
            <xdr:cNvPr id="46162" name="Check Box 82" hidden="1">
              <a:extLst>
                <a:ext uri="{63B3BB69-23CF-44E3-9099-C40C66FF867C}">
                  <a14:compatExt spid="_x0000_s46162"/>
                </a:ext>
                <a:ext uri="{FF2B5EF4-FFF2-40B4-BE49-F238E27FC236}">
                  <a16:creationId xmlns:a16="http://schemas.microsoft.com/office/drawing/2014/main" id="{00000000-0008-0000-1E00-000052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25</xdr:row>
          <xdr:rowOff>190500</xdr:rowOff>
        </xdr:from>
        <xdr:to>
          <xdr:col>0</xdr:col>
          <xdr:colOff>209550</xdr:colOff>
          <xdr:row>27</xdr:row>
          <xdr:rowOff>0</xdr:rowOff>
        </xdr:to>
        <xdr:sp macro="" textlink="">
          <xdr:nvSpPr>
            <xdr:cNvPr id="46163" name="Check Box 83" hidden="1">
              <a:extLst>
                <a:ext uri="{63B3BB69-23CF-44E3-9099-C40C66FF867C}">
                  <a14:compatExt spid="_x0000_s46163"/>
                </a:ext>
                <a:ext uri="{FF2B5EF4-FFF2-40B4-BE49-F238E27FC236}">
                  <a16:creationId xmlns:a16="http://schemas.microsoft.com/office/drawing/2014/main" id="{00000000-0008-0000-1E00-000053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26</xdr:row>
          <xdr:rowOff>190500</xdr:rowOff>
        </xdr:from>
        <xdr:to>
          <xdr:col>0</xdr:col>
          <xdr:colOff>209550</xdr:colOff>
          <xdr:row>28</xdr:row>
          <xdr:rowOff>0</xdr:rowOff>
        </xdr:to>
        <xdr:sp macro="" textlink="">
          <xdr:nvSpPr>
            <xdr:cNvPr id="46164" name="Check Box 84" hidden="1">
              <a:extLst>
                <a:ext uri="{63B3BB69-23CF-44E3-9099-C40C66FF867C}">
                  <a14:compatExt spid="_x0000_s46164"/>
                </a:ext>
                <a:ext uri="{FF2B5EF4-FFF2-40B4-BE49-F238E27FC236}">
                  <a16:creationId xmlns:a16="http://schemas.microsoft.com/office/drawing/2014/main" id="{00000000-0008-0000-1E00-000054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27</xdr:row>
          <xdr:rowOff>190500</xdr:rowOff>
        </xdr:from>
        <xdr:to>
          <xdr:col>0</xdr:col>
          <xdr:colOff>209550</xdr:colOff>
          <xdr:row>29</xdr:row>
          <xdr:rowOff>0</xdr:rowOff>
        </xdr:to>
        <xdr:sp macro="" textlink="">
          <xdr:nvSpPr>
            <xdr:cNvPr id="46165" name="Check Box 85" hidden="1">
              <a:extLst>
                <a:ext uri="{63B3BB69-23CF-44E3-9099-C40C66FF867C}">
                  <a14:compatExt spid="_x0000_s46165"/>
                </a:ext>
                <a:ext uri="{FF2B5EF4-FFF2-40B4-BE49-F238E27FC236}">
                  <a16:creationId xmlns:a16="http://schemas.microsoft.com/office/drawing/2014/main" id="{00000000-0008-0000-1E00-000055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29</xdr:row>
          <xdr:rowOff>190500</xdr:rowOff>
        </xdr:from>
        <xdr:to>
          <xdr:col>0</xdr:col>
          <xdr:colOff>209550</xdr:colOff>
          <xdr:row>31</xdr:row>
          <xdr:rowOff>0</xdr:rowOff>
        </xdr:to>
        <xdr:sp macro="" textlink="">
          <xdr:nvSpPr>
            <xdr:cNvPr id="46166" name="Check Box 86" hidden="1">
              <a:extLst>
                <a:ext uri="{63B3BB69-23CF-44E3-9099-C40C66FF867C}">
                  <a14:compatExt spid="_x0000_s46166"/>
                </a:ext>
                <a:ext uri="{FF2B5EF4-FFF2-40B4-BE49-F238E27FC236}">
                  <a16:creationId xmlns:a16="http://schemas.microsoft.com/office/drawing/2014/main" id="{00000000-0008-0000-1E00-000056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30</xdr:row>
          <xdr:rowOff>190500</xdr:rowOff>
        </xdr:from>
        <xdr:to>
          <xdr:col>0</xdr:col>
          <xdr:colOff>209550</xdr:colOff>
          <xdr:row>32</xdr:row>
          <xdr:rowOff>0</xdr:rowOff>
        </xdr:to>
        <xdr:sp macro="" textlink="">
          <xdr:nvSpPr>
            <xdr:cNvPr id="46167" name="Check Box 87" hidden="1">
              <a:extLst>
                <a:ext uri="{63B3BB69-23CF-44E3-9099-C40C66FF867C}">
                  <a14:compatExt spid="_x0000_s46167"/>
                </a:ext>
                <a:ext uri="{FF2B5EF4-FFF2-40B4-BE49-F238E27FC236}">
                  <a16:creationId xmlns:a16="http://schemas.microsoft.com/office/drawing/2014/main" id="{00000000-0008-0000-1E00-000057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31</xdr:row>
          <xdr:rowOff>190500</xdr:rowOff>
        </xdr:from>
        <xdr:to>
          <xdr:col>0</xdr:col>
          <xdr:colOff>209550</xdr:colOff>
          <xdr:row>33</xdr:row>
          <xdr:rowOff>19050</xdr:rowOff>
        </xdr:to>
        <xdr:sp macro="" textlink="">
          <xdr:nvSpPr>
            <xdr:cNvPr id="46168" name="Check Box 88" hidden="1">
              <a:extLst>
                <a:ext uri="{63B3BB69-23CF-44E3-9099-C40C66FF867C}">
                  <a14:compatExt spid="_x0000_s46168"/>
                </a:ext>
                <a:ext uri="{FF2B5EF4-FFF2-40B4-BE49-F238E27FC236}">
                  <a16:creationId xmlns:a16="http://schemas.microsoft.com/office/drawing/2014/main" id="{00000000-0008-0000-1E00-000058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32</xdr:row>
          <xdr:rowOff>190500</xdr:rowOff>
        </xdr:from>
        <xdr:to>
          <xdr:col>0</xdr:col>
          <xdr:colOff>209550</xdr:colOff>
          <xdr:row>34</xdr:row>
          <xdr:rowOff>19050</xdr:rowOff>
        </xdr:to>
        <xdr:sp macro="" textlink="">
          <xdr:nvSpPr>
            <xdr:cNvPr id="46169" name="Check Box 89" hidden="1">
              <a:extLst>
                <a:ext uri="{63B3BB69-23CF-44E3-9099-C40C66FF867C}">
                  <a14:compatExt spid="_x0000_s46169"/>
                </a:ext>
                <a:ext uri="{FF2B5EF4-FFF2-40B4-BE49-F238E27FC236}">
                  <a16:creationId xmlns:a16="http://schemas.microsoft.com/office/drawing/2014/main" id="{00000000-0008-0000-1E00-000059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33</xdr:row>
          <xdr:rowOff>190500</xdr:rowOff>
        </xdr:from>
        <xdr:to>
          <xdr:col>0</xdr:col>
          <xdr:colOff>209550</xdr:colOff>
          <xdr:row>35</xdr:row>
          <xdr:rowOff>19050</xdr:rowOff>
        </xdr:to>
        <xdr:sp macro="" textlink="">
          <xdr:nvSpPr>
            <xdr:cNvPr id="46170" name="Check Box 90" hidden="1">
              <a:extLst>
                <a:ext uri="{63B3BB69-23CF-44E3-9099-C40C66FF867C}">
                  <a14:compatExt spid="_x0000_s46170"/>
                </a:ext>
                <a:ext uri="{FF2B5EF4-FFF2-40B4-BE49-F238E27FC236}">
                  <a16:creationId xmlns:a16="http://schemas.microsoft.com/office/drawing/2014/main" id="{00000000-0008-0000-1E00-00005A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34</xdr:row>
          <xdr:rowOff>190500</xdr:rowOff>
        </xdr:from>
        <xdr:to>
          <xdr:col>0</xdr:col>
          <xdr:colOff>209550</xdr:colOff>
          <xdr:row>36</xdr:row>
          <xdr:rowOff>19050</xdr:rowOff>
        </xdr:to>
        <xdr:sp macro="" textlink="">
          <xdr:nvSpPr>
            <xdr:cNvPr id="46171" name="Check Box 91" hidden="1">
              <a:extLst>
                <a:ext uri="{63B3BB69-23CF-44E3-9099-C40C66FF867C}">
                  <a14:compatExt spid="_x0000_s46171"/>
                </a:ext>
                <a:ext uri="{FF2B5EF4-FFF2-40B4-BE49-F238E27FC236}">
                  <a16:creationId xmlns:a16="http://schemas.microsoft.com/office/drawing/2014/main" id="{00000000-0008-0000-1E00-00005B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35</xdr:row>
          <xdr:rowOff>190500</xdr:rowOff>
        </xdr:from>
        <xdr:to>
          <xdr:col>0</xdr:col>
          <xdr:colOff>209550</xdr:colOff>
          <xdr:row>37</xdr:row>
          <xdr:rowOff>19050</xdr:rowOff>
        </xdr:to>
        <xdr:sp macro="" textlink="">
          <xdr:nvSpPr>
            <xdr:cNvPr id="46172" name="Check Box 92" hidden="1">
              <a:extLst>
                <a:ext uri="{63B3BB69-23CF-44E3-9099-C40C66FF867C}">
                  <a14:compatExt spid="_x0000_s46172"/>
                </a:ext>
                <a:ext uri="{FF2B5EF4-FFF2-40B4-BE49-F238E27FC236}">
                  <a16:creationId xmlns:a16="http://schemas.microsoft.com/office/drawing/2014/main" id="{00000000-0008-0000-1E00-00005C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36</xdr:row>
          <xdr:rowOff>190500</xdr:rowOff>
        </xdr:from>
        <xdr:to>
          <xdr:col>0</xdr:col>
          <xdr:colOff>209550</xdr:colOff>
          <xdr:row>38</xdr:row>
          <xdr:rowOff>19050</xdr:rowOff>
        </xdr:to>
        <xdr:sp macro="" textlink="">
          <xdr:nvSpPr>
            <xdr:cNvPr id="46173" name="Check Box 93" hidden="1">
              <a:extLst>
                <a:ext uri="{63B3BB69-23CF-44E3-9099-C40C66FF867C}">
                  <a14:compatExt spid="_x0000_s46173"/>
                </a:ext>
                <a:ext uri="{FF2B5EF4-FFF2-40B4-BE49-F238E27FC236}">
                  <a16:creationId xmlns:a16="http://schemas.microsoft.com/office/drawing/2014/main" id="{00000000-0008-0000-1E00-00005D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37</xdr:row>
          <xdr:rowOff>190500</xdr:rowOff>
        </xdr:from>
        <xdr:to>
          <xdr:col>0</xdr:col>
          <xdr:colOff>209550</xdr:colOff>
          <xdr:row>39</xdr:row>
          <xdr:rowOff>19050</xdr:rowOff>
        </xdr:to>
        <xdr:sp macro="" textlink="">
          <xdr:nvSpPr>
            <xdr:cNvPr id="46174" name="Check Box 94" hidden="1">
              <a:extLst>
                <a:ext uri="{63B3BB69-23CF-44E3-9099-C40C66FF867C}">
                  <a14:compatExt spid="_x0000_s46174"/>
                </a:ext>
                <a:ext uri="{FF2B5EF4-FFF2-40B4-BE49-F238E27FC236}">
                  <a16:creationId xmlns:a16="http://schemas.microsoft.com/office/drawing/2014/main" id="{00000000-0008-0000-1E00-00005E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38</xdr:row>
          <xdr:rowOff>190500</xdr:rowOff>
        </xdr:from>
        <xdr:to>
          <xdr:col>0</xdr:col>
          <xdr:colOff>209550</xdr:colOff>
          <xdr:row>40</xdr:row>
          <xdr:rowOff>19050</xdr:rowOff>
        </xdr:to>
        <xdr:sp macro="" textlink="">
          <xdr:nvSpPr>
            <xdr:cNvPr id="46175" name="Check Box 95" hidden="1">
              <a:extLst>
                <a:ext uri="{63B3BB69-23CF-44E3-9099-C40C66FF867C}">
                  <a14:compatExt spid="_x0000_s46175"/>
                </a:ext>
                <a:ext uri="{FF2B5EF4-FFF2-40B4-BE49-F238E27FC236}">
                  <a16:creationId xmlns:a16="http://schemas.microsoft.com/office/drawing/2014/main" id="{00000000-0008-0000-1E00-00005F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39</xdr:row>
          <xdr:rowOff>190500</xdr:rowOff>
        </xdr:from>
        <xdr:to>
          <xdr:col>0</xdr:col>
          <xdr:colOff>209550</xdr:colOff>
          <xdr:row>41</xdr:row>
          <xdr:rowOff>19050</xdr:rowOff>
        </xdr:to>
        <xdr:sp macro="" textlink="">
          <xdr:nvSpPr>
            <xdr:cNvPr id="46176" name="Check Box 96" hidden="1">
              <a:extLst>
                <a:ext uri="{63B3BB69-23CF-44E3-9099-C40C66FF867C}">
                  <a14:compatExt spid="_x0000_s46176"/>
                </a:ext>
                <a:ext uri="{FF2B5EF4-FFF2-40B4-BE49-F238E27FC236}">
                  <a16:creationId xmlns:a16="http://schemas.microsoft.com/office/drawing/2014/main" id="{00000000-0008-0000-1E00-000060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40</xdr:row>
          <xdr:rowOff>190500</xdr:rowOff>
        </xdr:from>
        <xdr:to>
          <xdr:col>0</xdr:col>
          <xdr:colOff>209550</xdr:colOff>
          <xdr:row>42</xdr:row>
          <xdr:rowOff>19050</xdr:rowOff>
        </xdr:to>
        <xdr:sp macro="" textlink="">
          <xdr:nvSpPr>
            <xdr:cNvPr id="46177" name="Check Box 97" hidden="1">
              <a:extLst>
                <a:ext uri="{63B3BB69-23CF-44E3-9099-C40C66FF867C}">
                  <a14:compatExt spid="_x0000_s46177"/>
                </a:ext>
                <a:ext uri="{FF2B5EF4-FFF2-40B4-BE49-F238E27FC236}">
                  <a16:creationId xmlns:a16="http://schemas.microsoft.com/office/drawing/2014/main" id="{00000000-0008-0000-1E00-000061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41</xdr:row>
          <xdr:rowOff>190500</xdr:rowOff>
        </xdr:from>
        <xdr:to>
          <xdr:col>0</xdr:col>
          <xdr:colOff>209550</xdr:colOff>
          <xdr:row>43</xdr:row>
          <xdr:rowOff>19050</xdr:rowOff>
        </xdr:to>
        <xdr:sp macro="" textlink="">
          <xdr:nvSpPr>
            <xdr:cNvPr id="46178" name="Check Box 98" hidden="1">
              <a:extLst>
                <a:ext uri="{63B3BB69-23CF-44E3-9099-C40C66FF867C}">
                  <a14:compatExt spid="_x0000_s46178"/>
                </a:ext>
                <a:ext uri="{FF2B5EF4-FFF2-40B4-BE49-F238E27FC236}">
                  <a16:creationId xmlns:a16="http://schemas.microsoft.com/office/drawing/2014/main" id="{00000000-0008-0000-1E00-000062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43</xdr:row>
          <xdr:rowOff>190500</xdr:rowOff>
        </xdr:from>
        <xdr:to>
          <xdr:col>0</xdr:col>
          <xdr:colOff>209550</xdr:colOff>
          <xdr:row>45</xdr:row>
          <xdr:rowOff>0</xdr:rowOff>
        </xdr:to>
        <xdr:sp macro="" textlink="">
          <xdr:nvSpPr>
            <xdr:cNvPr id="46179" name="Check Box 99" hidden="1">
              <a:extLst>
                <a:ext uri="{63B3BB69-23CF-44E3-9099-C40C66FF867C}">
                  <a14:compatExt spid="_x0000_s46179"/>
                </a:ext>
                <a:ext uri="{FF2B5EF4-FFF2-40B4-BE49-F238E27FC236}">
                  <a16:creationId xmlns:a16="http://schemas.microsoft.com/office/drawing/2014/main" id="{00000000-0008-0000-1E00-000063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44</xdr:row>
          <xdr:rowOff>190500</xdr:rowOff>
        </xdr:from>
        <xdr:to>
          <xdr:col>0</xdr:col>
          <xdr:colOff>209550</xdr:colOff>
          <xdr:row>46</xdr:row>
          <xdr:rowOff>0</xdr:rowOff>
        </xdr:to>
        <xdr:sp macro="" textlink="">
          <xdr:nvSpPr>
            <xdr:cNvPr id="46180" name="Check Box 100" hidden="1">
              <a:extLst>
                <a:ext uri="{63B3BB69-23CF-44E3-9099-C40C66FF867C}">
                  <a14:compatExt spid="_x0000_s46180"/>
                </a:ext>
                <a:ext uri="{FF2B5EF4-FFF2-40B4-BE49-F238E27FC236}">
                  <a16:creationId xmlns:a16="http://schemas.microsoft.com/office/drawing/2014/main" id="{00000000-0008-0000-1E00-000064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45</xdr:row>
          <xdr:rowOff>190500</xdr:rowOff>
        </xdr:from>
        <xdr:to>
          <xdr:col>0</xdr:col>
          <xdr:colOff>209550</xdr:colOff>
          <xdr:row>47</xdr:row>
          <xdr:rowOff>19050</xdr:rowOff>
        </xdr:to>
        <xdr:sp macro="" textlink="">
          <xdr:nvSpPr>
            <xdr:cNvPr id="46181" name="Check Box 101" hidden="1">
              <a:extLst>
                <a:ext uri="{63B3BB69-23CF-44E3-9099-C40C66FF867C}">
                  <a14:compatExt spid="_x0000_s46181"/>
                </a:ext>
                <a:ext uri="{FF2B5EF4-FFF2-40B4-BE49-F238E27FC236}">
                  <a16:creationId xmlns:a16="http://schemas.microsoft.com/office/drawing/2014/main" id="{00000000-0008-0000-1E00-000065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46</xdr:row>
          <xdr:rowOff>209550</xdr:rowOff>
        </xdr:from>
        <xdr:to>
          <xdr:col>0</xdr:col>
          <xdr:colOff>209550</xdr:colOff>
          <xdr:row>48</xdr:row>
          <xdr:rowOff>19050</xdr:rowOff>
        </xdr:to>
        <xdr:sp macro="" textlink="">
          <xdr:nvSpPr>
            <xdr:cNvPr id="46182" name="Check Box 102" hidden="1">
              <a:extLst>
                <a:ext uri="{63B3BB69-23CF-44E3-9099-C40C66FF867C}">
                  <a14:compatExt spid="_x0000_s46182"/>
                </a:ext>
                <a:ext uri="{FF2B5EF4-FFF2-40B4-BE49-F238E27FC236}">
                  <a16:creationId xmlns:a16="http://schemas.microsoft.com/office/drawing/2014/main" id="{00000000-0008-0000-1E00-000066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47</xdr:row>
          <xdr:rowOff>190500</xdr:rowOff>
        </xdr:from>
        <xdr:to>
          <xdr:col>0</xdr:col>
          <xdr:colOff>209550</xdr:colOff>
          <xdr:row>49</xdr:row>
          <xdr:rowOff>19050</xdr:rowOff>
        </xdr:to>
        <xdr:sp macro="" textlink="">
          <xdr:nvSpPr>
            <xdr:cNvPr id="46183" name="Check Box 103" hidden="1">
              <a:extLst>
                <a:ext uri="{63B3BB69-23CF-44E3-9099-C40C66FF867C}">
                  <a14:compatExt spid="_x0000_s46183"/>
                </a:ext>
                <a:ext uri="{FF2B5EF4-FFF2-40B4-BE49-F238E27FC236}">
                  <a16:creationId xmlns:a16="http://schemas.microsoft.com/office/drawing/2014/main" id="{00000000-0008-0000-1E00-000067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48</xdr:row>
          <xdr:rowOff>190500</xdr:rowOff>
        </xdr:from>
        <xdr:to>
          <xdr:col>0</xdr:col>
          <xdr:colOff>209550</xdr:colOff>
          <xdr:row>50</xdr:row>
          <xdr:rowOff>19050</xdr:rowOff>
        </xdr:to>
        <xdr:sp macro="" textlink="">
          <xdr:nvSpPr>
            <xdr:cNvPr id="46184" name="Check Box 104" hidden="1">
              <a:extLst>
                <a:ext uri="{63B3BB69-23CF-44E3-9099-C40C66FF867C}">
                  <a14:compatExt spid="_x0000_s46184"/>
                </a:ext>
                <a:ext uri="{FF2B5EF4-FFF2-40B4-BE49-F238E27FC236}">
                  <a16:creationId xmlns:a16="http://schemas.microsoft.com/office/drawing/2014/main" id="{00000000-0008-0000-1E00-000068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49</xdr:row>
          <xdr:rowOff>190500</xdr:rowOff>
        </xdr:from>
        <xdr:to>
          <xdr:col>0</xdr:col>
          <xdr:colOff>209550</xdr:colOff>
          <xdr:row>51</xdr:row>
          <xdr:rowOff>19050</xdr:rowOff>
        </xdr:to>
        <xdr:sp macro="" textlink="">
          <xdr:nvSpPr>
            <xdr:cNvPr id="46185" name="Check Box 105" hidden="1">
              <a:extLst>
                <a:ext uri="{63B3BB69-23CF-44E3-9099-C40C66FF867C}">
                  <a14:compatExt spid="_x0000_s46185"/>
                </a:ext>
                <a:ext uri="{FF2B5EF4-FFF2-40B4-BE49-F238E27FC236}">
                  <a16:creationId xmlns:a16="http://schemas.microsoft.com/office/drawing/2014/main" id="{00000000-0008-0000-1E00-000069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50</xdr:row>
          <xdr:rowOff>190500</xdr:rowOff>
        </xdr:from>
        <xdr:to>
          <xdr:col>0</xdr:col>
          <xdr:colOff>209550</xdr:colOff>
          <xdr:row>52</xdr:row>
          <xdr:rowOff>19050</xdr:rowOff>
        </xdr:to>
        <xdr:sp macro="" textlink="">
          <xdr:nvSpPr>
            <xdr:cNvPr id="46186" name="Check Box 106" hidden="1">
              <a:extLst>
                <a:ext uri="{63B3BB69-23CF-44E3-9099-C40C66FF867C}">
                  <a14:compatExt spid="_x0000_s46186"/>
                </a:ext>
                <a:ext uri="{FF2B5EF4-FFF2-40B4-BE49-F238E27FC236}">
                  <a16:creationId xmlns:a16="http://schemas.microsoft.com/office/drawing/2014/main" id="{00000000-0008-0000-1E00-00006A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52</xdr:row>
          <xdr:rowOff>190500</xdr:rowOff>
        </xdr:from>
        <xdr:to>
          <xdr:col>0</xdr:col>
          <xdr:colOff>209550</xdr:colOff>
          <xdr:row>54</xdr:row>
          <xdr:rowOff>0</xdr:rowOff>
        </xdr:to>
        <xdr:sp macro="" textlink="">
          <xdr:nvSpPr>
            <xdr:cNvPr id="46187" name="Check Box 107" hidden="1">
              <a:extLst>
                <a:ext uri="{63B3BB69-23CF-44E3-9099-C40C66FF867C}">
                  <a14:compatExt spid="_x0000_s46187"/>
                </a:ext>
                <a:ext uri="{FF2B5EF4-FFF2-40B4-BE49-F238E27FC236}">
                  <a16:creationId xmlns:a16="http://schemas.microsoft.com/office/drawing/2014/main" id="{00000000-0008-0000-1E00-00006B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53</xdr:row>
          <xdr:rowOff>190500</xdr:rowOff>
        </xdr:from>
        <xdr:to>
          <xdr:col>0</xdr:col>
          <xdr:colOff>209550</xdr:colOff>
          <xdr:row>55</xdr:row>
          <xdr:rowOff>0</xdr:rowOff>
        </xdr:to>
        <xdr:sp macro="" textlink="">
          <xdr:nvSpPr>
            <xdr:cNvPr id="46188" name="Check Box 108" hidden="1">
              <a:extLst>
                <a:ext uri="{63B3BB69-23CF-44E3-9099-C40C66FF867C}">
                  <a14:compatExt spid="_x0000_s46188"/>
                </a:ext>
                <a:ext uri="{FF2B5EF4-FFF2-40B4-BE49-F238E27FC236}">
                  <a16:creationId xmlns:a16="http://schemas.microsoft.com/office/drawing/2014/main" id="{00000000-0008-0000-1E00-00006C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54</xdr:row>
          <xdr:rowOff>190500</xdr:rowOff>
        </xdr:from>
        <xdr:to>
          <xdr:col>0</xdr:col>
          <xdr:colOff>209550</xdr:colOff>
          <xdr:row>56</xdr:row>
          <xdr:rowOff>0</xdr:rowOff>
        </xdr:to>
        <xdr:sp macro="" textlink="">
          <xdr:nvSpPr>
            <xdr:cNvPr id="46189" name="Check Box 109" hidden="1">
              <a:extLst>
                <a:ext uri="{63B3BB69-23CF-44E3-9099-C40C66FF867C}">
                  <a14:compatExt spid="_x0000_s46189"/>
                </a:ext>
                <a:ext uri="{FF2B5EF4-FFF2-40B4-BE49-F238E27FC236}">
                  <a16:creationId xmlns:a16="http://schemas.microsoft.com/office/drawing/2014/main" id="{00000000-0008-0000-1E00-00006D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55</xdr:row>
          <xdr:rowOff>190500</xdr:rowOff>
        </xdr:from>
        <xdr:to>
          <xdr:col>0</xdr:col>
          <xdr:colOff>209550</xdr:colOff>
          <xdr:row>57</xdr:row>
          <xdr:rowOff>0</xdr:rowOff>
        </xdr:to>
        <xdr:sp macro="" textlink="">
          <xdr:nvSpPr>
            <xdr:cNvPr id="46190" name="Check Box 110" hidden="1">
              <a:extLst>
                <a:ext uri="{63B3BB69-23CF-44E3-9099-C40C66FF867C}">
                  <a14:compatExt spid="_x0000_s46190"/>
                </a:ext>
                <a:ext uri="{FF2B5EF4-FFF2-40B4-BE49-F238E27FC236}">
                  <a16:creationId xmlns:a16="http://schemas.microsoft.com/office/drawing/2014/main" id="{00000000-0008-0000-1E00-00006E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56</xdr:row>
          <xdr:rowOff>190500</xdr:rowOff>
        </xdr:from>
        <xdr:to>
          <xdr:col>0</xdr:col>
          <xdr:colOff>209550</xdr:colOff>
          <xdr:row>58</xdr:row>
          <xdr:rowOff>0</xdr:rowOff>
        </xdr:to>
        <xdr:sp macro="" textlink="">
          <xdr:nvSpPr>
            <xdr:cNvPr id="46191" name="Check Box 111" hidden="1">
              <a:extLst>
                <a:ext uri="{63B3BB69-23CF-44E3-9099-C40C66FF867C}">
                  <a14:compatExt spid="_x0000_s46191"/>
                </a:ext>
                <a:ext uri="{FF2B5EF4-FFF2-40B4-BE49-F238E27FC236}">
                  <a16:creationId xmlns:a16="http://schemas.microsoft.com/office/drawing/2014/main" id="{00000000-0008-0000-1E00-00006F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57</xdr:row>
          <xdr:rowOff>190500</xdr:rowOff>
        </xdr:from>
        <xdr:to>
          <xdr:col>0</xdr:col>
          <xdr:colOff>209550</xdr:colOff>
          <xdr:row>59</xdr:row>
          <xdr:rowOff>0</xdr:rowOff>
        </xdr:to>
        <xdr:sp macro="" textlink="">
          <xdr:nvSpPr>
            <xdr:cNvPr id="46192" name="Check Box 112" hidden="1">
              <a:extLst>
                <a:ext uri="{63B3BB69-23CF-44E3-9099-C40C66FF867C}">
                  <a14:compatExt spid="_x0000_s46192"/>
                </a:ext>
                <a:ext uri="{FF2B5EF4-FFF2-40B4-BE49-F238E27FC236}">
                  <a16:creationId xmlns:a16="http://schemas.microsoft.com/office/drawing/2014/main" id="{00000000-0008-0000-1E00-000070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58</xdr:row>
          <xdr:rowOff>190500</xdr:rowOff>
        </xdr:from>
        <xdr:to>
          <xdr:col>0</xdr:col>
          <xdr:colOff>209550</xdr:colOff>
          <xdr:row>60</xdr:row>
          <xdr:rowOff>0</xdr:rowOff>
        </xdr:to>
        <xdr:sp macro="" textlink="">
          <xdr:nvSpPr>
            <xdr:cNvPr id="46193" name="Check Box 113" hidden="1">
              <a:extLst>
                <a:ext uri="{63B3BB69-23CF-44E3-9099-C40C66FF867C}">
                  <a14:compatExt spid="_x0000_s46193"/>
                </a:ext>
                <a:ext uri="{FF2B5EF4-FFF2-40B4-BE49-F238E27FC236}">
                  <a16:creationId xmlns:a16="http://schemas.microsoft.com/office/drawing/2014/main" id="{00000000-0008-0000-1E00-000071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59</xdr:row>
          <xdr:rowOff>190500</xdr:rowOff>
        </xdr:from>
        <xdr:to>
          <xdr:col>0</xdr:col>
          <xdr:colOff>209550</xdr:colOff>
          <xdr:row>61</xdr:row>
          <xdr:rowOff>0</xdr:rowOff>
        </xdr:to>
        <xdr:sp macro="" textlink="">
          <xdr:nvSpPr>
            <xdr:cNvPr id="46194" name="Check Box 114" hidden="1">
              <a:extLst>
                <a:ext uri="{63B3BB69-23CF-44E3-9099-C40C66FF867C}">
                  <a14:compatExt spid="_x0000_s46194"/>
                </a:ext>
                <a:ext uri="{FF2B5EF4-FFF2-40B4-BE49-F238E27FC236}">
                  <a16:creationId xmlns:a16="http://schemas.microsoft.com/office/drawing/2014/main" id="{00000000-0008-0000-1E00-000072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62</xdr:row>
          <xdr:rowOff>190500</xdr:rowOff>
        </xdr:from>
        <xdr:to>
          <xdr:col>0</xdr:col>
          <xdr:colOff>209550</xdr:colOff>
          <xdr:row>64</xdr:row>
          <xdr:rowOff>19050</xdr:rowOff>
        </xdr:to>
        <xdr:sp macro="" textlink="">
          <xdr:nvSpPr>
            <xdr:cNvPr id="46195" name="Check Box 115" hidden="1">
              <a:extLst>
                <a:ext uri="{63B3BB69-23CF-44E3-9099-C40C66FF867C}">
                  <a14:compatExt spid="_x0000_s46195"/>
                </a:ext>
                <a:ext uri="{FF2B5EF4-FFF2-40B4-BE49-F238E27FC236}">
                  <a16:creationId xmlns:a16="http://schemas.microsoft.com/office/drawing/2014/main" id="{00000000-0008-0000-1E00-000073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63</xdr:row>
          <xdr:rowOff>190500</xdr:rowOff>
        </xdr:from>
        <xdr:to>
          <xdr:col>0</xdr:col>
          <xdr:colOff>209550</xdr:colOff>
          <xdr:row>65</xdr:row>
          <xdr:rowOff>0</xdr:rowOff>
        </xdr:to>
        <xdr:sp macro="" textlink="">
          <xdr:nvSpPr>
            <xdr:cNvPr id="46196" name="Check Box 116" hidden="1">
              <a:extLst>
                <a:ext uri="{63B3BB69-23CF-44E3-9099-C40C66FF867C}">
                  <a14:compatExt spid="_x0000_s46196"/>
                </a:ext>
                <a:ext uri="{FF2B5EF4-FFF2-40B4-BE49-F238E27FC236}">
                  <a16:creationId xmlns:a16="http://schemas.microsoft.com/office/drawing/2014/main" id="{00000000-0008-0000-1E00-000074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65</xdr:row>
          <xdr:rowOff>190500</xdr:rowOff>
        </xdr:from>
        <xdr:to>
          <xdr:col>0</xdr:col>
          <xdr:colOff>209550</xdr:colOff>
          <xdr:row>67</xdr:row>
          <xdr:rowOff>0</xdr:rowOff>
        </xdr:to>
        <xdr:sp macro="" textlink="">
          <xdr:nvSpPr>
            <xdr:cNvPr id="46197" name="Check Box 117" hidden="1">
              <a:extLst>
                <a:ext uri="{63B3BB69-23CF-44E3-9099-C40C66FF867C}">
                  <a14:compatExt spid="_x0000_s46197"/>
                </a:ext>
                <a:ext uri="{FF2B5EF4-FFF2-40B4-BE49-F238E27FC236}">
                  <a16:creationId xmlns:a16="http://schemas.microsoft.com/office/drawing/2014/main" id="{00000000-0008-0000-1E00-000075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66</xdr:row>
          <xdr:rowOff>190500</xdr:rowOff>
        </xdr:from>
        <xdr:to>
          <xdr:col>0</xdr:col>
          <xdr:colOff>209550</xdr:colOff>
          <xdr:row>68</xdr:row>
          <xdr:rowOff>0</xdr:rowOff>
        </xdr:to>
        <xdr:sp macro="" textlink="">
          <xdr:nvSpPr>
            <xdr:cNvPr id="46198" name="Check Box 118" hidden="1">
              <a:extLst>
                <a:ext uri="{63B3BB69-23CF-44E3-9099-C40C66FF867C}">
                  <a14:compatExt spid="_x0000_s46198"/>
                </a:ext>
                <a:ext uri="{FF2B5EF4-FFF2-40B4-BE49-F238E27FC236}">
                  <a16:creationId xmlns:a16="http://schemas.microsoft.com/office/drawing/2014/main" id="{00000000-0008-0000-1E00-000076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67</xdr:row>
          <xdr:rowOff>190500</xdr:rowOff>
        </xdr:from>
        <xdr:to>
          <xdr:col>0</xdr:col>
          <xdr:colOff>209550</xdr:colOff>
          <xdr:row>69</xdr:row>
          <xdr:rowOff>0</xdr:rowOff>
        </xdr:to>
        <xdr:sp macro="" textlink="">
          <xdr:nvSpPr>
            <xdr:cNvPr id="46199" name="Check Box 119" hidden="1">
              <a:extLst>
                <a:ext uri="{63B3BB69-23CF-44E3-9099-C40C66FF867C}">
                  <a14:compatExt spid="_x0000_s46199"/>
                </a:ext>
                <a:ext uri="{FF2B5EF4-FFF2-40B4-BE49-F238E27FC236}">
                  <a16:creationId xmlns:a16="http://schemas.microsoft.com/office/drawing/2014/main" id="{00000000-0008-0000-1E00-000077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68</xdr:row>
          <xdr:rowOff>190500</xdr:rowOff>
        </xdr:from>
        <xdr:to>
          <xdr:col>0</xdr:col>
          <xdr:colOff>209550</xdr:colOff>
          <xdr:row>70</xdr:row>
          <xdr:rowOff>0</xdr:rowOff>
        </xdr:to>
        <xdr:sp macro="" textlink="">
          <xdr:nvSpPr>
            <xdr:cNvPr id="46200" name="Check Box 120" hidden="1">
              <a:extLst>
                <a:ext uri="{63B3BB69-23CF-44E3-9099-C40C66FF867C}">
                  <a14:compatExt spid="_x0000_s46200"/>
                </a:ext>
                <a:ext uri="{FF2B5EF4-FFF2-40B4-BE49-F238E27FC236}">
                  <a16:creationId xmlns:a16="http://schemas.microsoft.com/office/drawing/2014/main" id="{00000000-0008-0000-1E00-000078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69</xdr:row>
          <xdr:rowOff>190500</xdr:rowOff>
        </xdr:from>
        <xdr:to>
          <xdr:col>0</xdr:col>
          <xdr:colOff>209550</xdr:colOff>
          <xdr:row>71</xdr:row>
          <xdr:rowOff>0</xdr:rowOff>
        </xdr:to>
        <xdr:sp macro="" textlink="">
          <xdr:nvSpPr>
            <xdr:cNvPr id="46201" name="Check Box 121" hidden="1">
              <a:extLst>
                <a:ext uri="{63B3BB69-23CF-44E3-9099-C40C66FF867C}">
                  <a14:compatExt spid="_x0000_s46201"/>
                </a:ext>
                <a:ext uri="{FF2B5EF4-FFF2-40B4-BE49-F238E27FC236}">
                  <a16:creationId xmlns:a16="http://schemas.microsoft.com/office/drawing/2014/main" id="{00000000-0008-0000-1E00-000079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71</xdr:row>
          <xdr:rowOff>209550</xdr:rowOff>
        </xdr:from>
        <xdr:to>
          <xdr:col>0</xdr:col>
          <xdr:colOff>209550</xdr:colOff>
          <xdr:row>73</xdr:row>
          <xdr:rowOff>0</xdr:rowOff>
        </xdr:to>
        <xdr:sp macro="" textlink="">
          <xdr:nvSpPr>
            <xdr:cNvPr id="46202" name="Check Box 122" hidden="1">
              <a:extLst>
                <a:ext uri="{63B3BB69-23CF-44E3-9099-C40C66FF867C}">
                  <a14:compatExt spid="_x0000_s46202"/>
                </a:ext>
                <a:ext uri="{FF2B5EF4-FFF2-40B4-BE49-F238E27FC236}">
                  <a16:creationId xmlns:a16="http://schemas.microsoft.com/office/drawing/2014/main" id="{00000000-0008-0000-1E00-00007A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60</xdr:row>
          <xdr:rowOff>190500</xdr:rowOff>
        </xdr:from>
        <xdr:to>
          <xdr:col>0</xdr:col>
          <xdr:colOff>209550</xdr:colOff>
          <xdr:row>62</xdr:row>
          <xdr:rowOff>0</xdr:rowOff>
        </xdr:to>
        <xdr:sp macro="" textlink="">
          <xdr:nvSpPr>
            <xdr:cNvPr id="46203" name="Check Box 123" hidden="1">
              <a:extLst>
                <a:ext uri="{63B3BB69-23CF-44E3-9099-C40C66FF867C}">
                  <a14:compatExt spid="_x0000_s46203"/>
                </a:ext>
                <a:ext uri="{FF2B5EF4-FFF2-40B4-BE49-F238E27FC236}">
                  <a16:creationId xmlns:a16="http://schemas.microsoft.com/office/drawing/2014/main" id="{00000000-0008-0000-1E00-00007B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62</xdr:row>
          <xdr:rowOff>0</xdr:rowOff>
        </xdr:from>
        <xdr:to>
          <xdr:col>0</xdr:col>
          <xdr:colOff>209550</xdr:colOff>
          <xdr:row>63</xdr:row>
          <xdr:rowOff>19050</xdr:rowOff>
        </xdr:to>
        <xdr:sp macro="" textlink="">
          <xdr:nvSpPr>
            <xdr:cNvPr id="46204" name="Check Box 124" hidden="1">
              <a:extLst>
                <a:ext uri="{63B3BB69-23CF-44E3-9099-C40C66FF867C}">
                  <a14:compatExt spid="_x0000_s46204"/>
                </a:ext>
                <a:ext uri="{FF2B5EF4-FFF2-40B4-BE49-F238E27FC236}">
                  <a16:creationId xmlns:a16="http://schemas.microsoft.com/office/drawing/2014/main" id="{00000000-0008-0000-1E00-00007C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72</xdr:row>
          <xdr:rowOff>190500</xdr:rowOff>
        </xdr:from>
        <xdr:to>
          <xdr:col>0</xdr:col>
          <xdr:colOff>209550</xdr:colOff>
          <xdr:row>74</xdr:row>
          <xdr:rowOff>0</xdr:rowOff>
        </xdr:to>
        <xdr:sp macro="" textlink="">
          <xdr:nvSpPr>
            <xdr:cNvPr id="46205" name="Check Box 125" hidden="1">
              <a:extLst>
                <a:ext uri="{63B3BB69-23CF-44E3-9099-C40C66FF867C}">
                  <a14:compatExt spid="_x0000_s46205"/>
                </a:ext>
                <a:ext uri="{FF2B5EF4-FFF2-40B4-BE49-F238E27FC236}">
                  <a16:creationId xmlns:a16="http://schemas.microsoft.com/office/drawing/2014/main" id="{00000000-0008-0000-1E00-00007D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Users\Dulce%20Acosta\Downloads\MQC%20Data\YEAR-END%20AUDIT\CANELLE-\2008\WFS%20TEMPLATE%20FOR%202008-finale.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d.docs.live.net/7cf0ea5653f734db/Desktop/BARON%20HEIGHTS/jacinta%20package%20breakdown.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andzeliiie/Desktop/GCW9%20LAND%20Inc.,/ACCOUNTING%20DEPARTMENT/Maam%20Mael/FS_DH_PHASE1_%202017%20july%202017.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E:\Users\Dulce%20Acosta\Downloads\mqc%20data\Ria-May\Drv%20C\reeya%202007\SCHEDULES\2007%20ADJUSTING%20ENTRIES.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Users\Dulce%20Acosta\Downloads\MQC%20New%20Storage\YEAR-END%20AUDIT\PKTR\2012\DOCUME~1\Gerlie\LOCALS~1\Temp\AR070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E:\Users\Dulce%20Acosta\Downloads\MQC%20New%20Storage\YEAR-END%20AUDIT\PKTR\2012\DOCUME~1\Gerlie\LOCALS~1\Temp\AR040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MQC-FILESERVER\MQC%20New%20Storage\mqc%20data\YEAR-END%20AUDIT\BPI-MS\2009\WFS_BPI%20MS_2009_NEW_updated2410_final.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E:\Users\Dulce%20Acosta\Downloads\Ria-May\Drv%20C\reeya%202007\SCHEDULES\2007%20PB%20ENTRIES%20.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Ria-May/Drv%20C/reeya%202007/SCHEDULES/2007%20PB%20ENTRIES%20.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E:\Users\lsitjar\Downloads\MQC%20Data\YEAR-END%20AUDIT\CANELLE-\2008\WFS%20TEMPLATE%20FOR%202008-finale.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E:\Users\Dulce%20Acosta\Downloads\MQC%20New%20Storage\YEAR-END%20AUDIT\Krazy%20Crepe\FS%20Draft.xls" TargetMode="External"/></Relationships>
</file>

<file path=xl/externalLinks/_rels/externalLink12.xml.rels><?xml version="1.0" encoding="UTF-8" standalone="yes"?>
<Relationships xmlns="http://schemas.openxmlformats.org/package/2006/relationships"><Relationship Id="rId1" Type="http://schemas.microsoft.com/office/2006/relationships/xlExternalLinkPath/xlPathMissing" Target="Itr_20001"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MQC-FILESERVER\MQC%20New%20Storage\mqc%20new%20storage\Documents%20and%20Settings\sss\Desktop\Zachelle\2011\SPC\NICEVIEW%202011\SPC%20MONITORING%20TEMPLATE%20Version%202.0.xls" TargetMode="External"/></Relationships>
</file>

<file path=xl/externalLinks/_rels/externalLink14.xml.rels><?xml version="1.0" encoding="UTF-8" standalone="yes"?>
<Relationships xmlns="http://schemas.openxmlformats.org/package/2006/relationships"><Relationship Id="rId1" Type="http://schemas.microsoft.com/office/2006/relationships/xlExternalLinkPath/xlPathMissing" Target="1702_JAN'951"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https://d.docs.live.net/c535ec07c2cd3051/Tinio%20Business%20Plan%2010212021%20-%20Casas.xlsx"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Users/gntangsoc/Downloads/Baron%20Luxe%20-%20Cash%20Flow.xlsx"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Users/gntangsoc/Desktop/WCDI/Madarang/WCDI/Seaview/Seaview%20Business%20Plan.xlsx"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Users/Shiela%20Oaman/Documents/Documents/C&amp;C%20Documents/WEECOMM%20CENTRE%20(WCC)/Pricelist/Automated/WCC%20BARE%20AND%20FITTED%20PRICELIST%20WITH%20SAMPLE%20PACKAGE%20COMPUTATION_V4.%20GENE.xlsx"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Users/gntangsoc/Desktop/WCDI/Tinio/Tinio%20Business%20Plan%20071521%20-%20PCFI%20-%20Fully%20Fitted%20-%20Supplier's%20Discount%20-%201BRs.xlsx"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https://d.docs.live.net/c535ec07c2cd3051/Tinio%20Business%20Plan%2010112021%20-%20Casas.xlsx"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https://d.docs.live.net/c535ec07c2cd3051/Tinio%20Business%20Plan%2008192021%20-%20PCFI%20-%20Fully%20Fitted%20-%201BR%20-%20CTS%20Availment%20-%20Updated%20Permits%20-%20PS%20Groups.xlsx" TargetMode="External"/></Relationships>
</file>

<file path=xl/externalLinks/_rels/externalLink22.xml.rels><?xml version="1.0" encoding="UTF-8" standalone="yes"?>
<Relationships xmlns="http://schemas.openxmlformats.org/package/2006/relationships"><Relationship Id="rId1" Type="http://schemas.microsoft.com/office/2006/relationships/xlExternalLinkPath/xlPathMissing" Target="Sheet1"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Users/WCDI-Laptop001/Downloads/SAMPLE%20PACKAGE%20COMPUTATION_HPR%20TOWER%201_09.21.20%20updated%20step%20up.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lder Cover"/>
      <sheetName val="Top"/>
      <sheetName val="validation"/>
      <sheetName val="financial highlights"/>
      <sheetName val="key mgt ratios"/>
      <sheetName val="1702"/>
      <sheetName val="A"/>
      <sheetName val="E"/>
      <sheetName val="TaxLic"/>
      <sheetName val="List"/>
      <sheetName val="TB"/>
      <sheetName val="BS"/>
      <sheetName val="IS"/>
      <sheetName val="SHE"/>
      <sheetName val="CF"/>
      <sheetName val="note_2008"/>
      <sheetName val="WBS"/>
      <sheetName val="WIS"/>
      <sheetName val="CAJE"/>
      <sheetName val="PAJE1"/>
      <sheetName val="INCOME TAX"/>
      <sheetName val="DIT"/>
      <sheetName val="TAX RECON"/>
      <sheetName val="POSTED ADJ"/>
      <sheetName val="DETAILS"/>
      <sheetName val="Note 1"/>
      <sheetName val="Notes 2"/>
      <sheetName val="Recon"/>
      <sheetName val="taxes"/>
      <sheetName val="PASSED ADJ"/>
      <sheetName val="RF RE"/>
      <sheetName val="analytic review"/>
    </sheetNames>
    <sheetDataSet>
      <sheetData sheetId="0"/>
      <sheetData sheetId="1"/>
      <sheetData sheetId="2"/>
      <sheetData sheetId="3"/>
      <sheetData sheetId="4"/>
      <sheetData sheetId="5"/>
      <sheetData sheetId="6"/>
      <sheetData sheetId="7" refreshError="1"/>
      <sheetData sheetId="8"/>
      <sheetData sheetId="9"/>
      <sheetData sheetId="10" refreshError="1"/>
      <sheetData sheetId="11" refreshError="1"/>
      <sheetData sheetId="12"/>
      <sheetData sheetId="13"/>
      <sheetData sheetId="14" refreshError="1"/>
      <sheetData sheetId="15" refreshError="1"/>
      <sheetData sheetId="16"/>
      <sheetData sheetId="17" refreshError="1"/>
      <sheetData sheetId="18"/>
      <sheetData sheetId="19"/>
      <sheetData sheetId="20" refreshError="1"/>
      <sheetData sheetId="21"/>
      <sheetData sheetId="22"/>
      <sheetData sheetId="23" refreshError="1"/>
      <sheetData sheetId="24" refreshError="1"/>
      <sheetData sheetId="25" refreshError="1"/>
      <sheetData sheetId="26" refreshError="1"/>
      <sheetData sheetId="27"/>
      <sheetData sheetId="28"/>
      <sheetData sheetId="29"/>
      <sheetData sheetId="30"/>
      <sheetData sheetId="3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HEME-D B1"/>
      <sheetName val="SCHEME-D B2"/>
      <sheetName val="SCHEME-D B3"/>
      <sheetName val="SCHEME-D B4"/>
      <sheetName val="SCHEME-D CLUBHOUSE"/>
      <sheetName val="SCHEME-D SUMMARY"/>
      <sheetName val="Bank Presentation Outline"/>
      <sheetName val="Cash Flow 582MAXNEGA (2)"/>
      <sheetName val="Cash Flow 546MAX NEG (2)"/>
      <sheetName val="Basis of Other Costs"/>
      <sheetName val="BUILDING 1 CONSTRUCTION COST"/>
      <sheetName val="Marketing (2)"/>
      <sheetName val="Other Technical Cost"/>
      <sheetName val="Construction (2 Towers)"/>
      <sheetName val="Commissions Parking Unsold"/>
      <sheetName val="Commissions (T1) - Unit Sold"/>
      <sheetName val="OSM-CBC (2)"/>
      <sheetName val="NOTES"/>
      <sheetName val="Project Data"/>
      <sheetName val="Loan Calculator"/>
      <sheetName val="Package Breakdown"/>
      <sheetName val="UPDATES"/>
      <sheetName val="Sheet1"/>
      <sheetName val="Income Statement_initial"/>
      <sheetName val="Income Statement_linkedcashflow"/>
      <sheetName val="Cash Flow 436MAX NEGA"/>
      <sheetName val="Cash Flow"/>
      <sheetName val="Timetable (2)"/>
      <sheetName val="Timetable"/>
      <sheetName val="Cons Cost Clubhouse"/>
      <sheetName val="B4 Cons Cost"/>
      <sheetName val="B3 Cons Cost"/>
      <sheetName val="B2 Cons Cost"/>
      <sheetName val="B1 Cost Cost"/>
      <sheetName val="Collection Parking"/>
      <sheetName val="Marketing"/>
      <sheetName val="Other Costs (2)"/>
      <sheetName val="Overhead Expenses"/>
      <sheetName val="Land Schedule"/>
      <sheetName val="Collection Projection (B1)"/>
      <sheetName val="Collection Projection (B2)"/>
      <sheetName val="Collection Projection (B3)"/>
      <sheetName val="Collection Projection (B4) new"/>
      <sheetName val="Collection Projection (B4)"/>
    </sheetNames>
    <definedNames>
      <definedName name="Interest_Rate" refersTo="='Loan Calculator'!$E$4" sheetId="19"/>
      <definedName name="Loan_Amount" refersTo="='Loan Calculator'!$E$3" sheetId="19"/>
      <definedName name="Loan_Start" refersTo="='Loan Calculator'!$E$6" sheetId="19"/>
      <definedName name="Monthly_Payment" refersTo="#REF!" sheetId="19"/>
      <definedName name="Number_of_Payments" refersTo="='Loan Calculator'!$E$9" sheetId="19"/>
      <definedName name="Values_Entered" refersTo="#REF!" sheetId="1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 val="Sheet5"/>
      <sheetName val="Sheet6"/>
      <sheetName val="Sheet4"/>
      <sheetName val="JAN"/>
      <sheetName val="FEB"/>
      <sheetName val="MARCH"/>
      <sheetName val="APRIL"/>
      <sheetName val="MAY"/>
      <sheetName val="COLLECTION SUMMARY"/>
      <sheetName val="Sheet7"/>
      <sheetName val="CHART OF ACCOUNT"/>
      <sheetName val="JUNE"/>
      <sheetName val="JULY"/>
      <sheetName val="Sheet9"/>
      <sheetName val="PHASE1"/>
      <sheetName val="PHASE2"/>
      <sheetName val="PERLAS PROPERTY"/>
      <sheetName val="PROPERTY"/>
      <sheetName val="INVESTMENT 2017"/>
      <sheetName val="INVESTMENT"/>
      <sheetName val="JHAYMART&amp;JHACOR"/>
      <sheetName val="LAPSING"/>
      <sheetName val="Model House"/>
      <sheetName val="LEASEHOLD IMPROVEMENTS"/>
      <sheetName val="CASHFLOW"/>
      <sheetName val="LIST"/>
      <sheetName val="TRIAL BALANCE"/>
      <sheetName val="cash flow"/>
      <sheetName val="Projection"/>
      <sheetName val="Cash-Out"/>
      <sheetName val="Jan 2017"/>
      <sheetName val="Feb 2017"/>
      <sheetName val="March 2017"/>
      <sheetName val="April 2017"/>
      <sheetName val="May 2017"/>
      <sheetName val="June 2017"/>
      <sheetName val="EXCEL JOURNAL"/>
      <sheetName val="CASH IN BANK"/>
      <sheetName val="July 2017"/>
      <sheetName val="August 2017"/>
      <sheetName val="Sept 2017"/>
      <sheetName val="Sheet3"/>
      <sheetName val="Sheet8"/>
      <sheetName val="Purchases"/>
      <sheetName val="Bank Recon"/>
      <sheetName val="House Construction Cost"/>
      <sheetName val="brokers comms"/>
      <sheetName val="Cash -In SOLD"/>
      <sheetName val="Sheet1"/>
      <sheetName val="Land Acquisition"/>
      <sheetName val="Estimated Land Dev Cost"/>
      <sheetName val="Cash Flow &amp; Schedule"/>
      <sheetName val="Oct 2017"/>
      <sheetName val="Nov 2017"/>
      <sheetName val="Dec 2017"/>
      <sheetName val="Data Validation"/>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LCODE-OLD"/>
      <sheetName val="january2007"/>
      <sheetName val="fEBRUARY2007"/>
      <sheetName val="Sheet2"/>
      <sheetName val="March"/>
      <sheetName val="new GL Code"/>
      <sheetName val="APRIL"/>
      <sheetName val="MAY"/>
      <sheetName val="JUNE"/>
      <sheetName val="JULY- OLD ACCT"/>
      <sheetName val="JULY"/>
      <sheetName val="acctcode"/>
      <sheetName val="AUGUST"/>
      <sheetName val="Sheet1"/>
      <sheetName val="COASEP"/>
      <sheetName val="SEPTEMBER"/>
      <sheetName val="OCTOBER"/>
      <sheetName val="NOVEMBER"/>
      <sheetName val="DECEMBER"/>
      <sheetName val="Sheet3"/>
      <sheetName val="SUSPENSE TRANS"/>
      <sheetName val="PDC TRANS"/>
      <sheetName val="monthly journal entry"/>
      <sheetName val="amortization- issued check"/>
      <sheetName val="TEMPLATE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pi"/>
      <sheetName val="tmp"/>
      <sheetName val="hcpi"/>
      <sheetName val="Aging"/>
      <sheetName val="Expected"/>
      <sheetName val="colection"/>
      <sheetName val="GRAPH"/>
    </sheetNames>
    <sheetDataSet>
      <sheetData sheetId="0"/>
      <sheetData sheetId="1"/>
      <sheetData sheetId="2"/>
      <sheetData sheetId="3"/>
      <sheetData sheetId="4"/>
      <sheetData sheetId="5"/>
      <sheetData sheetId="6"/>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pi"/>
      <sheetName val="tmp"/>
      <sheetName val="hcpi"/>
      <sheetName val="Aging"/>
      <sheetName val="Aging_audited"/>
      <sheetName val="Expected"/>
      <sheetName val="GRAPH"/>
      <sheetName val="colection"/>
    </sheetNames>
    <sheetDataSet>
      <sheetData sheetId="0"/>
      <sheetData sheetId="1"/>
      <sheetData sheetId="2"/>
      <sheetData sheetId="3"/>
      <sheetData sheetId="4"/>
      <sheetData sheetId="5"/>
      <sheetData sheetId="6"/>
      <sheetData sheetId="7"/>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p"/>
      <sheetName val="AIF"/>
      <sheetName val="2"/>
      <sheetName val="3"/>
      <sheetName val="4"/>
      <sheetName val="5"/>
      <sheetName val="6"/>
      <sheetName val="TaxLic"/>
      <sheetName val="Recon"/>
      <sheetName val="tax recon"/>
      <sheetName val="1702pg1"/>
      <sheetName val="1702pg2-new"/>
      <sheetName val="List"/>
      <sheetName val="1702"/>
      <sheetName val="A"/>
      <sheetName val="E"/>
      <sheetName val="BS_updated"/>
      <sheetName val="IS (2)"/>
      <sheetName val="CF (2)"/>
      <sheetName val="SHE_updated"/>
      <sheetName val="fv thru pnl - bpiMS"/>
      <sheetName val="TRANSACTIONS"/>
      <sheetName val="NOTES_updated"/>
      <sheetName val="TRANSACTIONS (2)"/>
      <sheetName val="fv thru pnl - bpiMS (2)"/>
      <sheetName val="Aging BONDS"/>
      <sheetName val="NOTES"/>
      <sheetName val="WBS"/>
      <sheetName val="WIS"/>
      <sheetName val="PAJE"/>
      <sheetName val="BS"/>
      <sheetName val="IS"/>
      <sheetName val="CF"/>
      <sheetName val="SHE"/>
      <sheetName val="WTB"/>
      <sheetName val="POSTED ADJ"/>
      <sheetName val="CAJE"/>
      <sheetName val="PASSED ADJ"/>
      <sheetName val="INCOME TAX"/>
      <sheetName val="DIT"/>
      <sheetName val="taxes"/>
      <sheetName val="RF RE"/>
      <sheetName val="validation"/>
      <sheetName val="KMR"/>
      <sheetName val="FH"/>
      <sheetName val="PFD"/>
      <sheetName val="AR"/>
      <sheetName val="gl cod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sheetData sheetId="18" refreshError="1"/>
      <sheetData sheetId="19" refreshError="1"/>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 val="JANUARY 07"/>
      <sheetName val="JV-LIQ- JAN 07"/>
      <sheetName val="jv amor_exp"/>
      <sheetName val="voucher template"/>
      <sheetName val="gl code"/>
      <sheetName val="FEBRUARY 07"/>
      <sheetName val="FEB JV-LIQ"/>
      <sheetName val="NEW GL CODE"/>
      <sheetName val="MARCH"/>
      <sheetName val="mar liq"/>
      <sheetName val="april"/>
      <sheetName val="apr lig"/>
      <sheetName val="may"/>
      <sheetName val="JUNE"/>
      <sheetName val="JULY"/>
      <sheetName val="AUGUST"/>
      <sheetName val="SEPTEMBER 10_09_07"/>
      <sheetName val="october 11_15_07"/>
      <sheetName val="NOVEMB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 val="JANUARY 07"/>
      <sheetName val="JV-LIQ- JAN 07"/>
      <sheetName val="jv amor_exp"/>
      <sheetName val="voucher template"/>
      <sheetName val="gl code"/>
      <sheetName val="FEBRUARY 07"/>
      <sheetName val="FEB JV-LIQ"/>
      <sheetName val="NEW GL CODE"/>
      <sheetName val="MARCH"/>
      <sheetName val="mar liq"/>
      <sheetName val="april"/>
      <sheetName val="apr lig"/>
      <sheetName val="may"/>
      <sheetName val="JUNE"/>
      <sheetName val="JULY"/>
      <sheetName val="AUGUST"/>
      <sheetName val="SEPTEMBER 10_09_07"/>
      <sheetName val="october 11_15_07"/>
      <sheetName val="NOVEMBER"/>
      <sheetName val="JANUARY_07"/>
      <sheetName val="JV-LIQ-_JAN_07"/>
      <sheetName val="jv_amor_exp"/>
      <sheetName val="voucher_template"/>
      <sheetName val="gl_code"/>
      <sheetName val="FEBRUARY_07"/>
      <sheetName val="FEB_JV-LIQ"/>
      <sheetName val="NEW_GL_CODE"/>
      <sheetName val="mar_liq"/>
      <sheetName val="apr_lig"/>
      <sheetName val="SEPTEMBER_10_09_07"/>
      <sheetName val="october_11_15_07"/>
      <sheetName val="JANUARY_071"/>
      <sheetName val="JV-LIQ-_JAN_071"/>
      <sheetName val="jv_amor_exp1"/>
      <sheetName val="voucher_template1"/>
      <sheetName val="gl_code1"/>
      <sheetName val="FEBRUARY_071"/>
      <sheetName val="FEB_JV-LIQ1"/>
      <sheetName val="NEW_GL_CODE1"/>
      <sheetName val="mar_liq1"/>
      <sheetName val="apr_lig1"/>
      <sheetName val="SEPTEMBER_10_09_071"/>
      <sheetName val="october_11_15_071"/>
      <sheetName val="JANUARY_073"/>
      <sheetName val="JV-LIQ-_JAN_073"/>
      <sheetName val="jv_amor_exp3"/>
      <sheetName val="voucher_template3"/>
      <sheetName val="gl_code3"/>
      <sheetName val="FEBRUARY_073"/>
      <sheetName val="FEB_JV-LIQ3"/>
      <sheetName val="NEW_GL_CODE3"/>
      <sheetName val="mar_liq3"/>
      <sheetName val="apr_lig3"/>
      <sheetName val="SEPTEMBER_10_09_073"/>
      <sheetName val="october_11_15_073"/>
      <sheetName val="JANUARY_072"/>
      <sheetName val="JV-LIQ-_JAN_072"/>
      <sheetName val="jv_amor_exp2"/>
      <sheetName val="voucher_template2"/>
      <sheetName val="gl_code2"/>
      <sheetName val="FEBRUARY_072"/>
      <sheetName val="FEB_JV-LIQ2"/>
      <sheetName val="NEW_GL_CODE2"/>
      <sheetName val="mar_liq2"/>
      <sheetName val="apr_lig2"/>
      <sheetName val="SEPTEMBER_10_09_072"/>
      <sheetName val="october_11_15_07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lder Cover"/>
      <sheetName val="Top"/>
      <sheetName val="validation"/>
      <sheetName val="financial highlights"/>
      <sheetName val="key mgt ratios"/>
      <sheetName val="1702"/>
      <sheetName val="A"/>
      <sheetName val="E"/>
      <sheetName val="TaxLic"/>
      <sheetName val="List"/>
      <sheetName val="TB"/>
      <sheetName val="BS"/>
      <sheetName val="IS"/>
      <sheetName val="SHE"/>
      <sheetName val="CF"/>
      <sheetName val="note_2008"/>
      <sheetName val="WBS"/>
      <sheetName val="WIS"/>
      <sheetName val="CAJE"/>
      <sheetName val="PAJE1"/>
      <sheetName val="INCOME TAX"/>
      <sheetName val="DIT"/>
      <sheetName val="TAX RECON"/>
      <sheetName val="POSTED ADJ"/>
      <sheetName val="DETAILS"/>
      <sheetName val="Note 1"/>
      <sheetName val="Notes 2"/>
      <sheetName val="Recon"/>
      <sheetName val="taxes"/>
      <sheetName val="PASSED ADJ"/>
      <sheetName val="RF RE"/>
      <sheetName val="analytic review"/>
    </sheetNames>
    <sheetDataSet>
      <sheetData sheetId="0"/>
      <sheetData sheetId="1"/>
      <sheetData sheetId="2"/>
      <sheetData sheetId="3"/>
      <sheetData sheetId="4"/>
      <sheetData sheetId="5"/>
      <sheetData sheetId="6"/>
      <sheetData sheetId="7" refreshError="1"/>
      <sheetData sheetId="8"/>
      <sheetData sheetId="9"/>
      <sheetData sheetId="10" refreshError="1"/>
      <sheetData sheetId="11" refreshError="1"/>
      <sheetData sheetId="12"/>
      <sheetData sheetId="13"/>
      <sheetData sheetId="14" refreshError="1"/>
      <sheetData sheetId="15" refreshError="1"/>
      <sheetData sheetId="16"/>
      <sheetData sheetId="17" refreshError="1"/>
      <sheetData sheetId="18"/>
      <sheetData sheetId="19"/>
      <sheetData sheetId="20" refreshError="1"/>
      <sheetData sheetId="21"/>
      <sheetData sheetId="22"/>
      <sheetData sheetId="23" refreshError="1"/>
      <sheetData sheetId="24" refreshError="1"/>
      <sheetData sheetId="25" refreshError="1"/>
      <sheetData sheetId="26" refreshError="1"/>
      <sheetData sheetId="27"/>
      <sheetData sheetId="28"/>
      <sheetData sheetId="29"/>
      <sheetData sheetId="30"/>
      <sheetData sheetId="3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WBS"/>
      <sheetName val="WIS"/>
      <sheetName val="DIT"/>
      <sheetName val="INCOME TAX"/>
      <sheetName val="BS"/>
      <sheetName val="IS"/>
      <sheetName val="SHE"/>
      <sheetName val="CF"/>
      <sheetName val="NOTES 2010-SME"/>
    </sheetNames>
    <sheetDataSet>
      <sheetData sheetId="0"/>
      <sheetData sheetId="1"/>
      <sheetData sheetId="2"/>
      <sheetData sheetId="3"/>
      <sheetData sheetId="4"/>
      <sheetData sheetId="5"/>
      <sheetData sheetId="6" refreshError="1"/>
      <sheetData sheetId="7"/>
      <sheetData sheetId="8"/>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00"/>
      <sheetName val="1702"/>
      <sheetName val="A"/>
      <sheetName val="E"/>
      <sheetName val="AIF"/>
      <sheetName val="2"/>
      <sheetName val="3"/>
      <sheetName val="4"/>
      <sheetName val="5"/>
      <sheetName val="6"/>
      <sheetName val="List"/>
      <sheetName val="CAP.STOCK"/>
      <sheetName val="Recon"/>
      <sheetName val="Sheet1"/>
      <sheetName val="Deds"/>
      <sheetName val="TaxLic"/>
      <sheetName val="Sales"/>
      <sheetName val="Marks"/>
      <sheetName val="Dep"/>
      <sheetName val="PM"/>
      <sheetName val="A4-1"/>
      <sheetName val="A4-2"/>
      <sheetName val="A4-3"/>
      <sheetName val="C"/>
      <sheetName val="CC-1"/>
      <sheetName val="C-5"/>
      <sheetName val="C-6"/>
      <sheetName val="E-1"/>
      <sheetName val="EE-1"/>
      <sheetName val="E-1l2 memo"/>
      <sheetName val="E-2"/>
      <sheetName val="E-2l2"/>
      <sheetName val="EE-2"/>
      <sheetName val="J"/>
      <sheetName val="K"/>
      <sheetName val="K-1"/>
      <sheetName val="K-2"/>
      <sheetName val="K-5"/>
      <sheetName val="N"/>
      <sheetName val="N memo"/>
      <sheetName val="N-3"/>
      <sheetName val="N-4"/>
      <sheetName val="N-5"/>
      <sheetName val="U-1"/>
      <sheetName val="U-1l3"/>
      <sheetName val="U-1l4"/>
      <sheetName val="U-2"/>
      <sheetName val="U-2l2"/>
      <sheetName val="U-2l3 memo"/>
      <sheetName val="T-ACCT"/>
      <sheetName val="PAJE"/>
      <sheetName val="CAP_STOCK"/>
      <sheetName val="E-1l2_memo"/>
      <sheetName val="N_memo"/>
      <sheetName val="U-2l3_memo"/>
      <sheetName val="CAP_STOCK1"/>
      <sheetName val="E-1l2_memo1"/>
      <sheetName val="N_memo1"/>
      <sheetName val="U-2l3_memo1"/>
      <sheetName val="CAP_STOCK2"/>
      <sheetName val="E-1l2_memo2"/>
      <sheetName val="N_memo2"/>
      <sheetName val="U-2l3_memo2"/>
      <sheetName val="Register"/>
      <sheetName val="Trial Bal."/>
      <sheetName val="SPC_LIST"/>
      <sheetName val="REV_1702"/>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refreshError="1"/>
      <sheetData sheetId="64" refreshError="1"/>
      <sheetData sheetId="65" refreshError="1"/>
      <sheetData sheetId="66"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_SPC_LIST"/>
      <sheetName val="SPC_LIST"/>
      <sheetName val="SPC_SCHED"/>
      <sheetName val="MAIN_SPC_PAY_DUE"/>
      <sheetName val="MAIN_SPC_PAY_INV"/>
      <sheetName val="POST_PAYMENT"/>
      <sheetName val="SPC_TRANSACTIONS"/>
      <sheetName val="GLBOOKING"/>
      <sheetName val="BOOKING_ENTRY_ORIG"/>
      <sheetName val="BOOKING_SUMMARY_ORIG"/>
      <sheetName val="MAIN_SPC_PAY_DUE_ORIG"/>
      <sheetName val="MAIN_SPC_PAY_BOOK_ORIG"/>
      <sheetName val="MAIN"/>
      <sheetName val="CHART OF ACCOUNTS"/>
      <sheetName val="CASH DIS"/>
      <sheetName val="SUMMARYCD"/>
      <sheetName val="CASH REC"/>
      <sheetName val="SUMMARYCR"/>
      <sheetName val="GEN JOUR"/>
      <sheetName val="SUMMARYGJ"/>
      <sheetName val="LEDGER"/>
      <sheetName val="BS"/>
      <sheetName val="IS"/>
      <sheetName val="BS-PREVYR"/>
      <sheetName val="REV_1702"/>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1"/>
      <sheetName val="P2"/>
      <sheetName val="P3"/>
      <sheetName val="LIST"/>
      <sheetName val="TAX-LIC"/>
      <sheetName val="DEPR"/>
      <sheetName val="DEDT"/>
      <sheetName val="REV_1702"/>
      <sheetName val="RECONCILIATION"/>
      <sheetName val="ATTACHMENTS"/>
      <sheetName val="RECON"/>
      <sheetName val="F-1"/>
      <sheetName val="F-2"/>
      <sheetName val="F-4"/>
      <sheetName val="FF"/>
      <sheetName val="DIT"/>
      <sheetName val="ITR RECON"/>
      <sheetName val="TB(tenta)"/>
      <sheetName val="A"/>
      <sheetName val="B"/>
      <sheetName val="C"/>
      <sheetName val="L"/>
      <sheetName val="U"/>
      <sheetName val="Z"/>
      <sheetName val="AA"/>
      <sheetName val="BB"/>
      <sheetName val="MM"/>
      <sheetName val="SS"/>
      <sheetName val="10"/>
      <sheetName val="20"/>
      <sheetName val="30"/>
      <sheetName val="70"/>
      <sheetName val="40"/>
      <sheetName val="Top"/>
      <sheetName val="validation"/>
      <sheetName val="PFD"/>
      <sheetName val="financial highlights"/>
      <sheetName val="key mgt ratios"/>
      <sheetName val="1702"/>
      <sheetName val="E"/>
      <sheetName val="tax recon"/>
      <sheetName val="TaxLic"/>
      <sheetName val="taxes"/>
      <sheetName val="INCOME TAX"/>
      <sheetName val="TB"/>
      <sheetName val="BS"/>
      <sheetName val="IS"/>
      <sheetName val="SHE"/>
      <sheetName val="notes updated"/>
      <sheetName val="CF"/>
      <sheetName val="WBS"/>
      <sheetName val="WIS"/>
      <sheetName val="POSTED ADJ"/>
      <sheetName val="PAJE"/>
      <sheetName val="CAJE"/>
      <sheetName val="RF RE"/>
      <sheetName val="PASSED ADJ"/>
      <sheetName val="analytic review"/>
      <sheetName val="yup"/>
      <sheetName val="COS"/>
      <sheetName val="OPEX"/>
      <sheetName val="summary"/>
      <sheetName val="cos_itr"/>
      <sheetName val="opex_itr"/>
      <sheetName val="z-score"/>
      <sheetName val="recon-ni"/>
      <sheetName val="lead"/>
      <sheetName val="gdr"/>
      <sheetName val="US-TB"/>
      <sheetName val="F-9"/>
      <sheetName val="BPR"/>
      <sheetName val="paje-equity"/>
      <sheetName val="int-notes"/>
      <sheetName val="notes"/>
      <sheetName val="90"/>
      <sheetName val="mcit"/>
      <sheetName val="tor-int. expense"/>
      <sheetName val="PPE-COST"/>
      <sheetName val="PPE-AD"/>
      <sheetName val="tor-depn"/>
      <sheetName val="MES"/>
      <sheetName val="mcit (sb)"/>
      <sheetName val="elimEntr"/>
      <sheetName val="WPL"/>
      <sheetName val="balansyet"/>
      <sheetName val="incomsttmnt"/>
      <sheetName val="cashflw"/>
      <sheetName val="cashflwsupprt"/>
      <sheetName val="notes2fs"/>
      <sheetName val="pperollfrwd"/>
      <sheetName val="Analytics"/>
      <sheetName val="nt²"/>
      <sheetName val="AIF"/>
      <sheetName val="2"/>
      <sheetName val="3"/>
      <sheetName val="4"/>
      <sheetName val="5"/>
      <sheetName val="6"/>
      <sheetName val="Deds"/>
      <sheetName val="Sales"/>
      <sheetName val="Marks"/>
      <sheetName val="Dep"/>
      <sheetName val="O-1"/>
      <sheetName val="O-2"/>
      <sheetName val="O-3"/>
      <sheetName val="O-4"/>
      <sheetName val="O-5"/>
      <sheetName val="O-6"/>
      <sheetName val="O-7"/>
      <sheetName val="O-8"/>
      <sheetName val="O-9"/>
      <sheetName val="FOREX (2)"/>
      <sheetName val="FOREX"/>
      <sheetName val="Amortization_PSC"/>
      <sheetName val="PM"/>
      <sheetName val="A4-1"/>
      <sheetName val="A4-2"/>
      <sheetName val="A4-3"/>
      <sheetName val="CC-1"/>
      <sheetName val="C-5"/>
      <sheetName val="C-6"/>
      <sheetName val="E-1"/>
      <sheetName val="EE-1"/>
      <sheetName val="E-1l2 memo"/>
      <sheetName val="E-2"/>
      <sheetName val="E-2l2"/>
      <sheetName val="EE-2"/>
      <sheetName val="J"/>
      <sheetName val="K"/>
      <sheetName val="K-1"/>
      <sheetName val="K-2"/>
      <sheetName val="K-5"/>
      <sheetName val="N"/>
      <sheetName val="N memo"/>
      <sheetName val="N-3"/>
      <sheetName val="N-4"/>
      <sheetName val="N-5"/>
      <sheetName val="U-1"/>
      <sheetName val="U-1l3"/>
      <sheetName val="U-1l4"/>
      <sheetName val="U-2"/>
      <sheetName val="U-2l2"/>
      <sheetName val="U-2l3 memo"/>
      <sheetName val="T-ACCT"/>
      <sheetName val="D"/>
      <sheetName val="G"/>
      <sheetName val="G-2"/>
      <sheetName val="JJ-1"/>
      <sheetName val="N-2"/>
      <sheetName val="U-1l1"/>
      <sheetName val="U-1l2"/>
      <sheetName val="U-3"/>
      <sheetName val="U-4"/>
      <sheetName val="DACION"/>
      <sheetName val="ASSETS"/>
      <sheetName val="LIAB.SHE"/>
      <sheetName val="FF-1"/>
      <sheetName val="SAD"/>
      <sheetName val="NI_RECON"/>
      <sheetName val="Prop&amp;eqpt-analysis"/>
      <sheetName val="REVALUATION_revised"/>
      <sheetName val="REVALUATION"/>
      <sheetName val="list of pend.8.25.03"/>
      <sheetName val="CashFlow"/>
      <sheetName val="PM,TE,SAD"/>
      <sheetName val="pending"/>
      <sheetName val="nfs-ppe"/>
      <sheetName val="AR-analysis"/>
      <sheetName val="specific i.d."/>
      <sheetName val="list of pend.9.1.03"/>
      <sheetName val="[_x0010__x0000__x0010__x0000__x0006__x0000__x0006__x0000__x0019__x0000__x0019__x0000__x0006__x0000__x0006__x0000_Ģ_x0000_Ģ_x0000__x0005__x0000__x0005__x0000_d."/>
      <sheetName val="Sheet9"/>
      <sheetName val="[_x0010_?_x0010_?_x0006_?_x0006_?_x0019_?_x0019_?_x0006_?_x0006_?Ģ?Ģ?_x0005_?_x0005_?d."/>
      <sheetName val="Significant Processes"/>
      <sheetName val="table"/>
      <sheetName val="SSS"/>
      <sheetName val="PACK"/>
      <sheetName val="2006-3 Asia_Reimb"/>
      <sheetName val="Bertha Yuen"/>
      <sheetName val="David Schaefer"/>
      <sheetName val="Elise Lai"/>
      <sheetName val="Guy Fulton"/>
      <sheetName val="Howard Zhang"/>
      <sheetName val="Juno Hwang"/>
      <sheetName val="Kate B"/>
      <sheetName val="Leo Chen"/>
      <sheetName val="Marco Ho"/>
      <sheetName val="Pius Ho"/>
      <sheetName val="Ravi Hansoty"/>
      <sheetName val="Sarina Chau"/>
      <sheetName val="Suresh M"/>
      <sheetName val="Main"/>
      <sheetName val="Sheet1"/>
      <sheetName val="eWTB"/>
      <sheetName val="Profit &amp; Loss"/>
      <sheetName val="Data"/>
      <sheetName val="WTB"/>
      <sheetName val="99 FM - NFM"/>
      <sheetName val="Week 1"/>
      <sheetName val="Week 2"/>
      <sheetName val="Week 3"/>
      <sheetName val="Week 4"/>
      <sheetName val="Week 5"/>
      <sheetName val="Quezon Ave"/>
      <sheetName val="RE recon"/>
      <sheetName val="wbs fsa"/>
      <sheetName val="ARP-U501"/>
      <sheetName val="MPAGC"/>
      <sheetName val="DB"/>
      <sheetName val="MCIT10_Tent"/>
      <sheetName val="Std Time A"/>
      <sheetName val="NOV"/>
      <sheetName val="TotNA"/>
      <sheetName val="Aug Dump"/>
      <sheetName val="현금흐름표"/>
      <sheetName val="SAP Extract"/>
      <sheetName val="Stock Div Accural"/>
      <sheetName val="Apr"/>
      <sheetName val="JUN_MAY05"/>
      <sheetName val="SUPCODE"/>
      <sheetName val="100172"/>
      <sheetName val="N201"/>
      <sheetName val="1210"/>
      <sheetName val="026"/>
      <sheetName val="067"/>
      <sheetName val="068"/>
      <sheetName val="069"/>
      <sheetName val="500"/>
      <sheetName val="DATA2"/>
      <sheetName val="General"/>
      <sheetName val="COLLN&amp;ROYLTY"/>
      <sheetName val="__x0010_"/>
      <sheetName val="1120"/>
      <sheetName val="PDPC0908"/>
      <sheetName val="translist (2)"/>
      <sheetName val="gà "/>
      <sheetName val="wwww"/>
      <sheetName val="RD"/>
      <sheetName val="Master"/>
      <sheetName val="PopCache_Sheet1"/>
      <sheetName val="Revenues"/>
      <sheetName val="[_x0010__x0000_傄_x0004__x0000__x0000__x0000_☁_x0000_蠤Ã_x0000__x0000__x0000__x0000__x0000__x0000__x0000__x0000__x0000__x0000__x0000__x0000__x0000__x0000__xffff_"/>
      <sheetName val="rcs_truck"/>
      <sheetName val="Rollforward"/>
      <sheetName val="09.30.03 Recon"/>
      <sheetName val="Threshold"/>
      <sheetName val="FA Movement"/>
      <sheetName val="Voc 1 VL"/>
      <sheetName val="Voc 2 VL"/>
      <sheetName val="SL VOC"/>
      <sheetName val="account name"/>
      <sheetName val="pcc niigata"/>
      <sheetName val="NL290 WGACC &amp; DEHYDR."/>
      <sheetName val="Toyota"/>
      <sheetName val="Interest Rates"/>
      <sheetName val="Foreign Details"/>
      <sheetName val="JAN_TRADE "/>
      <sheetName val="MFO Lookup"/>
      <sheetName val="outside services, gen &amp; bus exp"/>
      <sheetName val="Input SFR"/>
      <sheetName val="__x005f_x0010__x005f_x0000__x005f_x0010__x005f_x0000__x"/>
      <sheetName val="__x005f_x0010___x005f_x0010___x005f_x0006___x0006"/>
      <sheetName val="__x005f_x0010_"/>
      <sheetName val="DOLPHIN-EPCIB"/>
      <sheetName val="CONSOLIDATED-INPUT"/>
      <sheetName val="Summary of AR"/>
      <sheetName val="CONSO"/>
      <sheetName val="2-cash CRAM"/>
      <sheetName val="2-2022 AP SUBS"/>
      <sheetName val="CRB"/>
      <sheetName val="Variance Report Reorganized"/>
      <sheetName val="SCHED"/>
      <sheetName val="POV"/>
      <sheetName val="InputPO_Del"/>
      <sheetName val="Notes to Accounts"/>
      <sheetName val="lookup"/>
      <sheetName val="SLRP"/>
      <sheetName val="Server Ratios"/>
      <sheetName val="471"/>
      <sheetName val="Assumptions"/>
      <sheetName val="Int. &amp; Inv. Details"/>
      <sheetName val="acc"/>
      <sheetName val="__x005f_x005f_x005f_x0010__x005f_x005f_x005f_x0000__x00"/>
      <sheetName val="__x005f_x005f_x005f_x0010___x005f_x005f_x005f_x0010___x"/>
      <sheetName val="__x005f_x005f_x005f_x0010_"/>
      <sheetName val="__x005f_x0010__x005f_x0000_傄_x005f_x0004__x005f_x0000__"/>
      <sheetName val="LTFV-Subs"/>
      <sheetName val="[_x0010__x0000_ꂽ_x0004__x0000__x0000__x0000__x0000__x0000__x0000__x0000__x0000__x0000__x0000__x0000__x0000__x0000__x0000__x0000__x0000__x0000__x0000__x0000__x0000_倞"/>
      <sheetName val="__x0010___x0010___x0006___x0006___x0019___x0019___x0006___x0006__Ģ_Ģ__x0005___x0005__d."/>
      <sheetName val="Financials"/>
      <sheetName val="VENDOR"/>
      <sheetName val="[_x0010_?傄_x0004_???☁?蠤Ã??????????????_xffff_"/>
      <sheetName val="DLBS"/>
      <sheetName val="OH"/>
      <sheetName val="[_x0010_"/>
      <sheetName val="1702_JAN'951"/>
      <sheetName val="Take-Up"/>
      <sheetName val="BAGGING"/>
      <sheetName val="WEEKLY-BUD INJECTION-BAG-TOTAL"/>
      <sheetName val="BUD_INJECTION"/>
      <sheetName val="ot"/>
      <sheetName val="VOL"/>
      <sheetName val="recomputation"/>
      <sheetName val="map-VENDOR CODE"/>
      <sheetName val="Cover"/>
      <sheetName val="3-Confirmation"/>
      <sheetName val="XREF"/>
      <sheetName val="WBS_Conso"/>
      <sheetName val="Company"/>
      <sheetName val="WBSDETAILED"/>
      <sheetName val="PC_duty"/>
      <sheetName val="Usage"/>
      <sheetName val="PLINK1"/>
      <sheetName val="K513 (2)"/>
      <sheetName val="Sheet1 (4)"/>
      <sheetName val="Qry_AssetLocation (2)"/>
      <sheetName val="Qry_AssetLocation"/>
      <sheetName val="Sheet1 (3)"/>
      <sheetName val="Sheet1 (2)"/>
      <sheetName val="bora"/>
      <sheetName val="bisc"/>
      <sheetName val="lhi"/>
      <sheetName val="li"/>
      <sheetName val="irri"/>
      <sheetName val="lk"/>
      <sheetName val="soft"/>
      <sheetName val="te"/>
      <sheetName val="ta"/>
      <sheetName val="sb"/>
      <sheetName val="lb"/>
      <sheetName val="lbIRRI"/>
      <sheetName val="K509-ffe"/>
      <sheetName val="K513"/>
      <sheetName val="additions"/>
      <sheetName val="database-s"/>
      <sheetName val="Cash"/>
      <sheetName val="HHM"/>
      <sheetName val="Add"/>
      <sheetName val="Income Statement"/>
      <sheetName val="fms"/>
      <sheetName val="JULY"/>
      <sheetName val="E&amp;GC-Australia"/>
      <sheetName val="__x005f_x0010__傄_x005f_x0004____☁_蠤Ã_______"/>
      <sheetName val="__x005f_x005f_x005f_x005f_x005f_x005f_x005f_x0010__x005"/>
      <sheetName val="__x005f_x005f_x005f_x005f_x005f_x005f_x005f_x0010___x00"/>
      <sheetName val="__x005f_x005f_x005f_x005f_x005f_x005f_x005f_x0010_"/>
      <sheetName val="__x005f_x005f_x005f_x0010__x005f_x005f_x005f_x0000_傄_x0"/>
      <sheetName val="__x005f_x0010__x005f_x0000_ꂽ_x005f_x0004__x005f_x0000__"/>
      <sheetName val="Sheet3"/>
      <sheetName val="[_x0010__x0000_ꂽ_x0004__x0000__x0000__x0000__x0000__x0000__x0000__x0000__x0000__x0000__x0000__x0000__x0000__x0000__x0000__x0000__x0000__x0000__x0000__x0000__x0000__x0000_倞"/>
      <sheetName val="US Codes"/>
      <sheetName val="plink2"/>
      <sheetName val="BNISS98"/>
      <sheetName val="AugR"/>
      <sheetName val="Other Investment"/>
      <sheetName val="Constants"/>
      <sheetName val="SLIP"/>
      <sheetName val="[_x0010_?ꂽ_x0004_????????????????????倞"/>
      <sheetName val="__x0010__傄_x0004____☁_蠤Ã_______________xffff_"/>
      <sheetName val="2201 - Due to Media"/>
      <sheetName val="DETAILS"/>
      <sheetName val="PPPI"/>
      <sheetName val="R5 - PBC_2009 Opex Schedule"/>
      <sheetName val="R6 -Interim PBC_2010 Opex Sched"/>
      <sheetName val="R9 - Interim_Utilities Exp TOR"/>
      <sheetName val="R4 - Interim Operating Expense"/>
      <sheetName val="FC switches"/>
      <sheetName val="GUIANGA"/>
      <sheetName val="SRP FH"/>
      <sheetName val="INPUT"/>
      <sheetName val="Tables"/>
      <sheetName val="template"/>
      <sheetName val="input_4qr"/>
      <sheetName val="acctcode"/>
      <sheetName val="ExcavationWorks Type IV"/>
      <sheetName val="Schedule E"/>
      <sheetName val="Schedule A "/>
      <sheetName val="Schedule B"/>
      <sheetName val="code_note"/>
      <sheetName val="__x005f_x005f_x005f_x005f_x005f_x005f_x005f_x005f_x005f"/>
      <sheetName val="[_x0010_?ꂽ_x0004_?????????????????????倞"/>
      <sheetName val="ACTUALSALARIES AS OF_0502"/>
      <sheetName val="POSTED ŁDJ"/>
      <sheetName val="[_x005f_x0010__x005f_x0000__x005f_x0010__x005f_x0000__x"/>
      <sheetName val="[_x005f_x0010_?_x005f_x0010_?_x005f_x0006_?_x0006"/>
      <sheetName val="[_x005f_x0010__x005f_x0000_傄_x005f_x0004__x005f_x0000__"/>
      <sheetName val="Specific Question Report"/>
      <sheetName val="[_x005f_x0010_?傄_x005f_x0004_???☁?蠤Ã???????"/>
      <sheetName val="[_x005f_x0010__x005f_x0000_ꂽ_x005f_x0004__x005f_x0000__"/>
      <sheetName val="[_x005f_x005f_x005f_x0010__x005f_x005f_x005f_x0000__x00"/>
      <sheetName val="[_x005f_x005f_x005f_x0010_?_x005f_x005f_x005f_x0010_?_x"/>
      <sheetName val="[_x005f_x005f_x005f_x0010__x005f_x005f_x005f_x0000_傄_x0"/>
      <sheetName val="[_x005f_x005f_x005f_x0010_?傄_x005f_x005f_x005f_x0004_??"/>
      <sheetName val="__x005f_x005f_x005f_x0010__傄_x005f_x005f_x005f_x0004___"/>
      <sheetName val="__x005f_x005f_x005f_x0010__x005f_x005f_x005f_x0000_ꂽ_x0"/>
      <sheetName val="__x005f_x005f_x005f_x005f_x005f_x005f_x005f_x0010__傄_x0"/>
      <sheetName val="Professional"/>
      <sheetName val=" PAJE11"/>
      <sheetName val="Vlookup"/>
      <sheetName val="language"/>
      <sheetName val="1| EWP"/>
      <sheetName val="6| NFS"/>
      <sheetName val="cc"/>
      <sheetName val="항목별"/>
      <sheetName val="VP Lookup"/>
      <sheetName val="WTB2006"/>
      <sheetName val="Sheet2"/>
      <sheetName val="ALL FW-SOLIDS"/>
      <sheetName val="A,B,C Sales Timing"/>
      <sheetName val="[_x0010_?ꂽ_x0004_????????????????????_x0000_倞"/>
      <sheetName val="2015 Ropax Sked"/>
      <sheetName val="2015 Frt Sked"/>
      <sheetName val="SJA"/>
      <sheetName val="SJP"/>
      <sheetName val="SLG"/>
      <sheetName val="SMA"/>
      <sheetName val="SFX"/>
      <sheetName val="SAH"/>
      <sheetName val="SAP"/>
      <sheetName val="SIL"/>
      <sheetName val="SAU"/>
      <sheetName val="SRU"/>
      <sheetName val="SRD"/>
      <sheetName val="WO1"/>
      <sheetName val="WO2"/>
      <sheetName val="Price"/>
      <sheetName val="NM"/>
      <sheetName val="2014 Sked"/>
      <sheetName val="2014 Fuel Prices"/>
      <sheetName val="SPC"/>
      <sheetName val="SLU"/>
      <sheetName val="rgpi"/>
      <sheetName val="FDC FS CY"/>
      <sheetName val="FDC TB CY"/>
      <sheetName val="ITC"/>
      <sheetName val="Advertising &amp; Marketing"/>
      <sheetName val="Miscellaneous Expense"/>
      <sheetName val="Need Breakdown"/>
      <sheetName val="|Queries"/>
      <sheetName val="|Needed Documents"/>
      <sheetName val="sum"/>
      <sheetName val="RSSI"/>
      <sheetName val="tor-int__expense2"/>
      <sheetName val="mcit_(sb)2"/>
      <sheetName val="FOREX_(2)2"/>
      <sheetName val="E-1l2_memo2"/>
      <sheetName val="N_memo2"/>
      <sheetName val="U-2l3_memo2"/>
      <sheetName val="LIAB_SHE2"/>
      <sheetName val="list_of_pend_8_25_032"/>
      <sheetName val="specific_i_d_2"/>
      <sheetName val="list_of_pend_9_1_032"/>
      <sheetName val="ITR_RECON2"/>
      <sheetName val="financial_highlights2"/>
      <sheetName val="key_mgt_ratios2"/>
      <sheetName val="tax_recon2"/>
      <sheetName val="INCOME_TAX2"/>
      <sheetName val="notes_updated2"/>
      <sheetName val="POSTED_ADJ2"/>
      <sheetName val="RF_RE2"/>
      <sheetName val="PASSED_ADJ2"/>
      <sheetName val="analytic_review2"/>
      <sheetName val="[ĢĢd_"/>
      <sheetName val="[????????Ģ?Ģ???d_"/>
      <sheetName val="Significant_Processes2"/>
      <sheetName val="2006-3_Asia_Reimb2"/>
      <sheetName val="Bertha_Yuen2"/>
      <sheetName val="David_Schaefer2"/>
      <sheetName val="Elise_Lai2"/>
      <sheetName val="Guy_Fulton2"/>
      <sheetName val="Howard_Zhang2"/>
      <sheetName val="Juno_Hwang2"/>
      <sheetName val="Kate_B2"/>
      <sheetName val="Leo_Chen2"/>
      <sheetName val="Marco_Ho2"/>
      <sheetName val="Pius_Ho2"/>
      <sheetName val="Ravi_Hansoty2"/>
      <sheetName val="Sarina_Chau2"/>
      <sheetName val="Suresh_M2"/>
      <sheetName val="Std_Time_A2"/>
      <sheetName val="RE_recon2"/>
      <sheetName val="wbs_fsa2"/>
      <sheetName val="Quezon_Ave2"/>
      <sheetName val="Profit_&amp;_Loss2"/>
      <sheetName val="99_FM_-_NFM2"/>
      <sheetName val="Aug_Dump2"/>
      <sheetName val="Week_12"/>
      <sheetName val="Week_22"/>
      <sheetName val="Week_32"/>
      <sheetName val="Week_42"/>
      <sheetName val="Week_52"/>
      <sheetName val="SAP_Extract2"/>
      <sheetName val="Stock_Div_Accural2"/>
      <sheetName val="account_name2"/>
      <sheetName val="NL290_WGACC_&amp;_DEHYDR_2"/>
      <sheetName val="_"/>
      <sheetName val="translist_(2)2"/>
      <sheetName val="Variance_Report_Reorganized2"/>
      <sheetName val="gà_2"/>
      <sheetName val="pcc_niigata2"/>
      <sheetName val="Foreign_Details2"/>
      <sheetName val="09_30_03_Recon2"/>
      <sheetName val="FA_Movement2"/>
      <sheetName val="2-2022_AP_SUBS2"/>
      <sheetName val="Server_Ratios2"/>
      <sheetName val="Int__&amp;_Inv__Details2"/>
      <sheetName val="Summary_of_AR2"/>
      <sheetName val="[傄☁蠤Ã"/>
      <sheetName val="Voc_1_VL2"/>
      <sheetName val="Voc_2_VL2"/>
      <sheetName val="SL_VOC2"/>
      <sheetName val="Interest_Rates2"/>
      <sheetName val="outside_services,_gen_&amp;_bus_ex2"/>
      <sheetName val="Input_SFR2"/>
      <sheetName val="JAN_TRADE_2"/>
      <sheetName val="MFO_Lookup2"/>
      <sheetName val="2-cash_CRAM2"/>
      <sheetName val="Notes_to_Accounts2"/>
      <sheetName val="Income_Statement2"/>
      <sheetName val="_________Ģ_Ģ___d_"/>
      <sheetName val="[ꂽ倞"/>
      <sheetName val="[?傄???☁?蠤Ã??????????????"/>
      <sheetName val="map-VENDOR_CODE2"/>
      <sheetName val="K513_(2)2"/>
      <sheetName val="Sheet1_(4)2"/>
      <sheetName val="Qry_AssetLocation_(2)2"/>
      <sheetName val="Sheet1_(3)2"/>
      <sheetName val="Sheet1_(2)2"/>
      <sheetName val="["/>
      <sheetName val="WEEKLY-BUD_INJECTION-BAG-TOTAL2"/>
      <sheetName val="[ꂽ倞"/>
      <sheetName val="US_Codes2"/>
      <sheetName val="[?ꂽ????????????????????倞"/>
      <sheetName val="FC_switches1"/>
      <sheetName val="tor-int__expense"/>
      <sheetName val="mcit_(sb)"/>
      <sheetName val="FOREX_(2)"/>
      <sheetName val="E-1l2_memo"/>
      <sheetName val="N_memo"/>
      <sheetName val="U-2l3_memo"/>
      <sheetName val="LIAB_SHE"/>
      <sheetName val="list_of_pend_8_25_03"/>
      <sheetName val="specific_i_d_"/>
      <sheetName val="list_of_pend_9_1_03"/>
      <sheetName val="ITR_RECON"/>
      <sheetName val="financial_highlights"/>
      <sheetName val="key_mgt_ratios"/>
      <sheetName val="tax_recon"/>
      <sheetName val="INCOME_TAX"/>
      <sheetName val="notes_updated"/>
      <sheetName val="POSTED_ADJ"/>
      <sheetName val="RF_RE"/>
      <sheetName val="PASSED_ADJ"/>
      <sheetName val="analytic_review"/>
      <sheetName val="Significant_Processes"/>
      <sheetName val="2006-3_Asia_Reimb"/>
      <sheetName val="Bertha_Yuen"/>
      <sheetName val="David_Schaefer"/>
      <sheetName val="Elise_Lai"/>
      <sheetName val="Guy_Fulton"/>
      <sheetName val="Howard_Zhang"/>
      <sheetName val="Juno_Hwang"/>
      <sheetName val="Kate_B"/>
      <sheetName val="Leo_Chen"/>
      <sheetName val="Marco_Ho"/>
      <sheetName val="Pius_Ho"/>
      <sheetName val="Ravi_Hansoty"/>
      <sheetName val="Sarina_Chau"/>
      <sheetName val="Suresh_M"/>
      <sheetName val="Std_Time_A"/>
      <sheetName val="RE_recon"/>
      <sheetName val="wbs_fsa"/>
      <sheetName val="Quezon_Ave"/>
      <sheetName val="Profit_&amp;_Loss"/>
      <sheetName val="99_FM_-_NFM"/>
      <sheetName val="Aug_Dump"/>
      <sheetName val="Week_1"/>
      <sheetName val="Week_2"/>
      <sheetName val="Week_3"/>
      <sheetName val="Week_4"/>
      <sheetName val="Week_5"/>
      <sheetName val="SAP_Extract"/>
      <sheetName val="Parameters"/>
      <sheetName val="DAILY-BOXES PACKED-ENTRY"/>
      <sheetName val="sell-in"/>
      <sheetName val="stt"/>
      <sheetName val="GRAPH"/>
      <sheetName val="Sheet8"/>
      <sheetName val="Reference"/>
      <sheetName val="co 10"/>
      <sheetName val="[_x0010__x0000__x0010__x0000__x0006__x0000__x0006__x0000__x0019__x0000__x0019__x0000__x0006__x0000__x0006__x0000_G_x0000_G_x0000__x0005__x0000__x0005__x0000_d."/>
      <sheetName val="[_x0010_?_x0010_?_x0006_?_x0006_?_x0019_?_x0019_?_x0006_?_x0006_?G?G?_x0005_?_x0005_?d."/>
      <sheetName val="?????"/>
      <sheetName val="[_x0010__x0000_?_x0004__x0000__x0000__x0000_?_x0000_?Ã_x0000__x0000__x0000__x0000__x0000__x0000__x0000__x0000__x0000__x0000__x0000__x0000__x0000__x0000_?"/>
      <sheetName val="Stock_Div_Accural"/>
      <sheetName val="account_name"/>
      <sheetName val="NL290_WGACC_&amp;_DEHYDR_"/>
      <sheetName val="translist_(2)"/>
      <sheetName val="Variance_Report_Reorganized"/>
      <sheetName val="gà_"/>
      <sheetName val="pcc_niigata"/>
      <sheetName val="Foreign_Details"/>
      <sheetName val="09_30_03_Recon"/>
      <sheetName val="FA_Movement"/>
      <sheetName val="2-2022_AP_SUBS"/>
      <sheetName val="Server_Ratios"/>
      <sheetName val="Int__&amp;_Inv__Details"/>
      <sheetName val="Summary_of_AR"/>
      <sheetName val="Voc_1_VL"/>
      <sheetName val="Voc_2_VL"/>
      <sheetName val="SL_VOC"/>
      <sheetName val="Interest_Rates"/>
      <sheetName val="Hoja3"/>
      <sheetName val="outside_services,_gen_&amp;_bus_exp"/>
      <sheetName val="Input_SFR"/>
      <sheetName val="JAN_TRADE_"/>
      <sheetName val="MFO_Lookup"/>
      <sheetName val="2-cash_CRAM"/>
      <sheetName val="Notes_to_Accounts"/>
      <sheetName val="Income_Statement"/>
      <sheetName val="map-VENDOR_CODE"/>
      <sheetName val="K513_(2)"/>
      <sheetName val="Sheet1_(4)"/>
      <sheetName val="Qry_AssetLocation_(2)"/>
      <sheetName val="Sheet1_(3)"/>
      <sheetName val="Sheet1_(2)"/>
      <sheetName val="WEEKLY-BUD_INJECTION-BAG-TOTAL"/>
      <sheetName val="US_Codes"/>
      <sheetName val="tor-int__expense1"/>
      <sheetName val="mcit_(sb)1"/>
      <sheetName val="FOREX_(2)1"/>
      <sheetName val="E-1l2_memo1"/>
      <sheetName val="N_memo1"/>
      <sheetName val="U-2l3_memo1"/>
      <sheetName val="LIAB_SHE1"/>
      <sheetName val="list_of_pend_8_25_031"/>
      <sheetName val="specific_i_d_1"/>
      <sheetName val="list_of_pend_9_1_031"/>
      <sheetName val="ITR_RECON1"/>
      <sheetName val="financial_highlights1"/>
      <sheetName val="key_mgt_ratios1"/>
      <sheetName val="tax_recon1"/>
      <sheetName val="INCOME_TAX1"/>
      <sheetName val="notes_updated1"/>
      <sheetName val="POSTED_ADJ1"/>
      <sheetName val="RF_RE1"/>
      <sheetName val="PASSED_ADJ1"/>
      <sheetName val="analytic_review1"/>
      <sheetName val="Significant_Processes1"/>
      <sheetName val="2006-3_Asia_Reimb1"/>
      <sheetName val="Bertha_Yuen1"/>
      <sheetName val="David_Schaefer1"/>
      <sheetName val="Elise_Lai1"/>
      <sheetName val="Guy_Fulton1"/>
      <sheetName val="Howard_Zhang1"/>
      <sheetName val="Juno_Hwang1"/>
      <sheetName val="Kate_B1"/>
      <sheetName val="Leo_Chen1"/>
      <sheetName val="Marco_Ho1"/>
      <sheetName val="Pius_Ho1"/>
      <sheetName val="Ravi_Hansoty1"/>
      <sheetName val="Sarina_Chau1"/>
      <sheetName val="Suresh_M1"/>
      <sheetName val="Std_Time_A1"/>
      <sheetName val="RE_recon1"/>
      <sheetName val="wbs_fsa1"/>
      <sheetName val="Quezon_Ave1"/>
      <sheetName val="Profit_&amp;_Loss1"/>
      <sheetName val="99_FM_-_NFM1"/>
      <sheetName val="Aug_Dump1"/>
      <sheetName val="Week_11"/>
      <sheetName val="Week_21"/>
      <sheetName val="Week_31"/>
      <sheetName val="Week_41"/>
      <sheetName val="Week_51"/>
      <sheetName val="SAP_Extract1"/>
      <sheetName val="Stock_Div_Accural1"/>
      <sheetName val="account_name1"/>
      <sheetName val="NL290_WGACC_&amp;_DEHYDR_1"/>
      <sheetName val="translist_(2)1"/>
      <sheetName val="Variance_Report_Reorganized1"/>
      <sheetName val="gà_1"/>
      <sheetName val="pcc_niigata1"/>
      <sheetName val="Foreign_Details1"/>
      <sheetName val="09_30_03_Recon1"/>
      <sheetName val="FA_Movement1"/>
      <sheetName val="2-2022_AP_SUBS1"/>
      <sheetName val="Server_Ratios1"/>
      <sheetName val="Int__&amp;_Inv__Details1"/>
      <sheetName val="Summary_of_AR1"/>
      <sheetName val="Voc_1_VL1"/>
      <sheetName val="Voc_2_VL1"/>
      <sheetName val="SL_VOC1"/>
      <sheetName val="Interest_Rates1"/>
      <sheetName val="outside_services,_gen_&amp;_bus_ex1"/>
      <sheetName val="Input_SFR1"/>
      <sheetName val="JAN_TRADE_1"/>
      <sheetName val="MFO_Lookup1"/>
      <sheetName val="2-cash_CRAM1"/>
      <sheetName val="Notes_to_Accounts1"/>
      <sheetName val="Income_Statement1"/>
      <sheetName val="map-VENDOR_CODE1"/>
      <sheetName val="K513_(2)1"/>
      <sheetName val="Sheet1_(4)1"/>
      <sheetName val="Qry_AssetLocation_(2)1"/>
      <sheetName val="Sheet1_(3)1"/>
      <sheetName val="Sheet1_(2)1"/>
      <sheetName val="WEEKLY-BUD_INJECTION-BAG-TOTAL1"/>
      <sheetName val="US_Codes1"/>
      <sheetName val="FC_switches"/>
      <sheetName val="REF CODES"/>
      <sheetName val="POS_INV 9712"/>
      <sheetName val="pos collection timeliness"/>
      <sheetName val="__x005f_x0010__ꂽ_x005f_x0004_______________"/>
      <sheetName val="trial balance"/>
      <sheetName val="Zero"/>
      <sheetName val="F3"/>
      <sheetName val="Companies"/>
      <sheetName val="pension"/>
      <sheetName val="ZBT's"/>
      <sheetName val="Trnf frm ORE"/>
      <sheetName val="__x005f_x005f_x005f_x0010__ꂽ_x005f_x005f_x005f_x0004___"/>
      <sheetName val="CHRT"/>
      <sheetName val="Annex E"/>
      <sheetName val="__x0010__ꂽ_x0004_____________________倞"/>
      <sheetName val="__x0010__ꂽ_x0004______________________倞"/>
      <sheetName val="FSA"/>
      <sheetName val="germany"/>
      <sheetName val="DROP-DOWNS"/>
      <sheetName val="#REF"/>
      <sheetName val="Store Plan"/>
      <sheetName val="NAVREC"/>
      <sheetName val="ME 2004"/>
      <sheetName val="POSTED_ŁDJ"/>
      <sheetName val="Specific_Question_Report"/>
      <sheetName val="__傄___☁_蠤Ã______________"/>
      <sheetName val="R5_-_PBC_2009_Opex_Schedule"/>
      <sheetName val="R6_-Interim_PBC_2010_Opex_Sched"/>
      <sheetName val="R9_-_Interim_Utilities_Exp_TOR"/>
      <sheetName val="R4_-_Interim_Operating_Expense"/>
      <sheetName val="SRP_FH"/>
      <sheetName val="_PAJE11"/>
      <sheetName val="Upload"/>
      <sheetName val="Specific_Question_Report1"/>
      <sheetName val="POSTED_ŁDJ1"/>
      <sheetName val="R5_-_PBC_2009_Opex_Schedule1"/>
      <sheetName val="R6_-Interim_PBC_2010_Opex_Sche1"/>
      <sheetName val="R9_-_Interim_Utilities_Exp_TOR1"/>
      <sheetName val="R4_-_Interim_Operating_Expense1"/>
      <sheetName val="SRP_FH1"/>
      <sheetName val="_PAJE111"/>
      <sheetName val="__x0010__x0000__x0010__x0000__x"/>
      <sheetName val="__x0010___x0010___x0006___x0006"/>
      <sheetName val="__x005f_x0010__x005f_x0000__x00"/>
      <sheetName val="__x005f_x0010___x005f_x0010___x"/>
      <sheetName val="__x005f_x005f_x005f_x0010__x005"/>
      <sheetName val="__x005f_x005f_x005f_x0010___x00"/>
      <sheetName val="__x005f_x005f_x005f_x005f_x005f"/>
      <sheetName val="__x0010__x0000__x00"/>
      <sheetName val="__x0010___x0010___x"/>
      <sheetName val="__x005f_x0010__x005"/>
      <sheetName val="__x005f_x0010___x00"/>
      <sheetName val="__x005f_x005f_x005f"/>
      <sheetName val="MONDAY"/>
      <sheetName val="BSLA"/>
      <sheetName val="B50"/>
      <sheetName val="sales and expenses summary"/>
      <sheetName val="[_x0010_??_x0004_??????Ã???????????????"/>
      <sheetName val="BUD"/>
      <sheetName val="CONTROL"/>
      <sheetName val="Code"/>
      <sheetName val="3.3 details"/>
      <sheetName val="YTD Pivots"/>
      <sheetName val="actuals"/>
      <sheetName val="ref1"/>
      <sheetName val="TB_01"/>
      <sheetName val="ClaireMde Glass"/>
      <sheetName val="Claire Mde Plastics"/>
      <sheetName val="Credit Card"/>
      <sheetName val="CUSTOMER"/>
      <sheetName val="Source"/>
      <sheetName val="사업부별"/>
      <sheetName val="translist"/>
      <sheetName val="Determination of Threshold"/>
      <sheetName val="Management"/>
      <sheetName val="Currency Converter"/>
      <sheetName val="Tax Comp"/>
      <sheetName val="__x005f_x005f_x005f_x005f_x005f_x005f_x005f_x0010__ꂽ_x0"/>
      <sheetName val="define"/>
      <sheetName val="[?ꂽ?????????????????????倞"/>
      <sheetName val="SRP_FH2"/>
      <sheetName val="FC_switches2"/>
      <sheetName val="SCH46A2"/>
      <sheetName val="TREATY_PREM"/>
      <sheetName val="RU Overview"/>
      <sheetName val="[?ꂽ????????????????????_x0000_倞"/>
      <sheetName val="Wee_x0006__x0000__x0006_"/>
      <sheetName val="ᬀऀȀഀሀᬀࠀༀഀ"/>
      <sheetName val="tor-int__expense3"/>
      <sheetName val="mcit_(sb)3"/>
      <sheetName val="ITR_RECON3"/>
      <sheetName val="financial_highlights3"/>
      <sheetName val="key_mgt_ratios3"/>
      <sheetName val="tax_recon3"/>
      <sheetName val="INCOME_TAX3"/>
      <sheetName val="notes_updated3"/>
      <sheetName val="POSTED_ADJ3"/>
      <sheetName val="RF_RE3"/>
      <sheetName val="PASSED_ADJ3"/>
      <sheetName val="analytic_review3"/>
      <sheetName val="E-1l2_memo3"/>
      <sheetName val="N_memo3"/>
      <sheetName val="U-2l3_memo3"/>
      <sheetName val="FOREX_(2)3"/>
      <sheetName val="LIAB_SHE3"/>
      <sheetName val="list_of_pend_8_25_033"/>
      <sheetName val="specific_i_d_3"/>
      <sheetName val="list_of_pend_9_1_033"/>
      <sheetName val="Significant_Processes3"/>
      <sheetName val="2006-3_Asia_Reimb3"/>
      <sheetName val="Bertha_Yuen3"/>
      <sheetName val="David_Schaefer3"/>
      <sheetName val="Elise_Lai3"/>
      <sheetName val="Guy_Fulton3"/>
      <sheetName val="Howard_Zhang3"/>
      <sheetName val="Juno_Hwang3"/>
      <sheetName val="Kate_B3"/>
      <sheetName val="Leo_Chen3"/>
      <sheetName val="Marco_Ho3"/>
      <sheetName val="Pius_Ho3"/>
      <sheetName val="Ravi_Hansoty3"/>
      <sheetName val="Sarina_Chau3"/>
      <sheetName val="Suresh_M3"/>
      <sheetName val="RE_recon3"/>
      <sheetName val="wbs_fsa3"/>
      <sheetName val="Profit_&amp;_Loss3"/>
      <sheetName val="Quezon_Ave3"/>
      <sheetName val="Std_Time_A3"/>
      <sheetName val="Week_13"/>
      <sheetName val="Week_23"/>
      <sheetName val="Week_33"/>
      <sheetName val="Week_43"/>
      <sheetName val="Week_53"/>
      <sheetName val="99_FM_-_NFM3"/>
      <sheetName val="Aug_Dump3"/>
      <sheetName val="SAP_Extract3"/>
      <sheetName val="Stock_Div_Accural3"/>
      <sheetName val="translist_(2)3"/>
      <sheetName val="NL290_WGACC_&amp;_DEHYDR_3"/>
      <sheetName val="Variance_Report_Reorganized3"/>
      <sheetName val="account_name3"/>
      <sheetName val="gà_3"/>
      <sheetName val="outside_services,_gen_&amp;_bus_ex3"/>
      <sheetName val="Input_SFR3"/>
      <sheetName val="pcc_niigata3"/>
      <sheetName val="Foreign_Details3"/>
      <sheetName val="09_30_03_Recon3"/>
      <sheetName val="FA_Movement3"/>
      <sheetName val="Server_Ratios3"/>
      <sheetName val="2-2022_AP_SUBS3"/>
      <sheetName val="Int__&amp;_Inv__Details3"/>
      <sheetName val="Summary_of_AR3"/>
      <sheetName val="Voc_1_VL3"/>
      <sheetName val="Voc_2_VL3"/>
      <sheetName val="SL_VOC3"/>
      <sheetName val="Interest_Rates3"/>
      <sheetName val="JAN_TRADE_3"/>
      <sheetName val="MFO_Lookup3"/>
      <sheetName val="2-cash_CRAM3"/>
      <sheetName val="Notes_to_Accounts3"/>
      <sheetName val="map-VENDOR_CODE3"/>
      <sheetName val="K513_(2)3"/>
      <sheetName val="Sheet1_(4)3"/>
      <sheetName val="Qry_AssetLocation_(2)3"/>
      <sheetName val="Sheet1_(3)3"/>
      <sheetName val="Sheet1_(2)3"/>
      <sheetName val="WEEKLY-BUD_INJECTION-BAG-TOTAL3"/>
      <sheetName val="Income_Statement3"/>
      <sheetName val="US_Codes3"/>
      <sheetName val="Schedule_E"/>
      <sheetName val="Schedule_A_"/>
      <sheetName val="Schedule_B"/>
      <sheetName val="ExcavationWorks_Type_IV"/>
      <sheetName val="ALL_FW-SOLIDS"/>
      <sheetName val="A,B,C_Sales_Timing"/>
      <sheetName val="2201_-_Due_to_Media"/>
      <sheetName val="ACTUALSALARIES_AS_OF_0502"/>
      <sheetName val="Other_Investment"/>
      <sheetName val="1|_EWP"/>
      <sheetName val="6|_NFS"/>
      <sheetName val="2015_Ropax_Sked"/>
      <sheetName val="2015_Frt_Sked"/>
      <sheetName val="2014_Sked"/>
      <sheetName val="2014_Fuel_Prices"/>
      <sheetName val="VP_Lookup"/>
      <sheetName val="co_10"/>
      <sheetName val="COMPARISON"/>
      <sheetName val="[_x0010_?ꂽ_x0004_????????????????????"/>
      <sheetName val="PROCESS"/>
      <sheetName val="Máscara"/>
      <sheetName val="H101"/>
      <sheetName val="Codes-Do not delete"/>
      <sheetName val="DATASHT2"/>
      <sheetName val="Net Trans Sum"/>
      <sheetName val="[_x005f_x0010_"/>
      <sheetName val="[_x005f_x0010_?ꂽ_x005f_x0004_??????????????"/>
      <sheetName val="SRP_FH3"/>
      <sheetName val="FC_switches3"/>
      <sheetName val="R5_-_PBC_2009_Opex_Schedule2"/>
      <sheetName val="R6_-Interim_PBC_2010_Opex_Sche2"/>
      <sheetName val="R9_-_Interim_Utilities_Exp_TOR2"/>
      <sheetName val="R4_-_Interim_Operating_Expense2"/>
      <sheetName val="POSTED_ŁDJ2"/>
      <sheetName val="Specific_Question_Report2"/>
      <sheetName val="_PAJE112"/>
      <sheetName val="FDC_FS_CY"/>
      <sheetName val="FDC_TB_CY"/>
      <sheetName val="Advertising_&amp;_Marketing"/>
      <sheetName val="Miscellaneous_Expense"/>
      <sheetName val="Need_Breakdown"/>
      <sheetName val="|Needed_Documents"/>
      <sheetName val="Store_Plan"/>
      <sheetName val="REF_CODES"/>
      <sheetName val="DAILY-BOXES_PACKED-ENTRY"/>
      <sheetName val="[GGd_"/>
      <sheetName val="[????????G?G???d_"/>
      <sheetName val="[???Ã?"/>
      <sheetName val="Annex_E"/>
      <sheetName val="3_3_details"/>
      <sheetName val="YTD_Pivots"/>
      <sheetName val="__ꂽ____________________倞"/>
      <sheetName val="__ꂽ_____________________倞"/>
      <sheetName val="trial_balance"/>
      <sheetName val="Trnf_frm_ORE"/>
      <sheetName val="POS_INV_9712"/>
      <sheetName val="pos_collection_timeliness"/>
      <sheetName val="tor-int__expense7"/>
      <sheetName val="mcit_(sb)7"/>
      <sheetName val="ITR_RECON7"/>
      <sheetName val="financial_highlights7"/>
      <sheetName val="key_mgt_ratios7"/>
      <sheetName val="tax_recon7"/>
      <sheetName val="INCOME_TAX7"/>
      <sheetName val="notes_updated7"/>
      <sheetName val="POSTED_ADJ7"/>
      <sheetName val="RF_RE7"/>
      <sheetName val="PASSED_ADJ7"/>
      <sheetName val="analytic_review7"/>
      <sheetName val="E-1l2_memo7"/>
      <sheetName val="N_memo7"/>
      <sheetName val="U-2l3_memo7"/>
      <sheetName val="FOREX_(2)7"/>
      <sheetName val="LIAB_SHE7"/>
      <sheetName val="list_of_pend_8_25_037"/>
      <sheetName val="specific_i_d_7"/>
      <sheetName val="list_of_pend_9_1_037"/>
      <sheetName val="RE_recon7"/>
      <sheetName val="wbs_fsa7"/>
      <sheetName val="Significant_Processes7"/>
      <sheetName val="2006-3_Asia_Reimb7"/>
      <sheetName val="Bertha_Yuen7"/>
      <sheetName val="David_Schaefer7"/>
      <sheetName val="Elise_Lai7"/>
      <sheetName val="Guy_Fulton7"/>
      <sheetName val="Howard_Zhang7"/>
      <sheetName val="Juno_Hwang7"/>
      <sheetName val="Kate_B7"/>
      <sheetName val="Leo_Chen7"/>
      <sheetName val="Marco_Ho7"/>
      <sheetName val="Pius_Ho7"/>
      <sheetName val="Ravi_Hansoty7"/>
      <sheetName val="Sarina_Chau7"/>
      <sheetName val="Suresh_M7"/>
      <sheetName val="Week_17"/>
      <sheetName val="Week_27"/>
      <sheetName val="Week_37"/>
      <sheetName val="Week_47"/>
      <sheetName val="Week_57"/>
      <sheetName val="Profit_&amp;_Loss7"/>
      <sheetName val="Quezon_Ave7"/>
      <sheetName val="99_FM_-_NFM7"/>
      <sheetName val="Std_Time_A7"/>
      <sheetName val="Aug_Dump7"/>
      <sheetName val="SAP_Extract7"/>
      <sheetName val="Stock_Div_Accural7"/>
      <sheetName val="09_30_03_Recon7"/>
      <sheetName val="FA_Movement7"/>
      <sheetName val="2-cash_CRAM7"/>
      <sheetName val="NL290_WGACC_&amp;_DEHYDR_7"/>
      <sheetName val="2-2022_AP_SUBS7"/>
      <sheetName val="translist_(2)7"/>
      <sheetName val="Foreign_Details7"/>
      <sheetName val="gà_7"/>
      <sheetName val="outside_services,_gen_&amp;_bus_ex7"/>
      <sheetName val="Input_SFR7"/>
      <sheetName val="Server_Ratios7"/>
      <sheetName val="pcc_niigata7"/>
      <sheetName val="JAN_TRADE_7"/>
      <sheetName val="Interest_Rates7"/>
      <sheetName val="Variance_Report_Reorganized7"/>
      <sheetName val="Voc_1_VL7"/>
      <sheetName val="Voc_2_VL7"/>
      <sheetName val="SL_VOC7"/>
      <sheetName val="account_name7"/>
      <sheetName val="Summary_of_AR7"/>
      <sheetName val="MFO_Lookup7"/>
      <sheetName val="Int__&amp;_Inv__Details7"/>
      <sheetName val="Notes_to_Accounts7"/>
      <sheetName val="map-VENDOR_CODE7"/>
      <sheetName val="WEEKLY-BUD_INJECTION-BAG-TOTAL7"/>
      <sheetName val="K513_(2)7"/>
      <sheetName val="Sheet1_(4)7"/>
      <sheetName val="Qry_AssetLocation_(2)7"/>
      <sheetName val="Sheet1_(3)7"/>
      <sheetName val="Sheet1_(2)7"/>
      <sheetName val="Income_Statement7"/>
      <sheetName val="US_Codes7"/>
      <sheetName val="SRP_FH7"/>
      <sheetName val="FC_switches7"/>
      <sheetName val="R5_-_PBC_2009_Opex_Schedule6"/>
      <sheetName val="R6_-Interim_PBC_2010_Opex_Sche6"/>
      <sheetName val="R9_-_Interim_Utilities_Exp_TOR6"/>
      <sheetName val="R4_-_Interim_Operating_Expense6"/>
      <sheetName val="POSTED_ŁDJ6"/>
      <sheetName val="Specific_Question_Report6"/>
      <sheetName val="ExcavationWorks_Type_IV4"/>
      <sheetName val="_PAJE116"/>
      <sheetName val="Schedule_E4"/>
      <sheetName val="Schedule_A_4"/>
      <sheetName val="Schedule_B4"/>
      <sheetName val="ACTUALSALARIES_AS_OF_05024"/>
      <sheetName val="ALL_FW-SOLIDS4"/>
      <sheetName val="A,B,C_Sales_Timing4"/>
      <sheetName val="1|_EWP4"/>
      <sheetName val="6|_NFS4"/>
      <sheetName val="Other_Investment4"/>
      <sheetName val="2201_-_Due_to_Media4"/>
      <sheetName val="VP_Lookup4"/>
      <sheetName val="FDC_FS_CY4"/>
      <sheetName val="FDC_TB_CY4"/>
      <sheetName val="Advertising_&amp;_Marketing4"/>
      <sheetName val="Miscellaneous_Expense4"/>
      <sheetName val="Need_Breakdown4"/>
      <sheetName val="|Needed_Documents4"/>
      <sheetName val="Store_Plan4"/>
      <sheetName val="REF_CODES4"/>
      <sheetName val="2015_Ropax_Sked4"/>
      <sheetName val="2015_Frt_Sked4"/>
      <sheetName val="2014_Sked4"/>
      <sheetName val="2014_Fuel_Prices4"/>
      <sheetName val="DAILY-BOXES_PACKED-ENTRY4"/>
      <sheetName val="co_104"/>
      <sheetName val="Annex_E4"/>
      <sheetName val="3_3_details4"/>
      <sheetName val="YTD_Pivots4"/>
      <sheetName val="trial_balance4"/>
      <sheetName val="Trnf_frm_ORE4"/>
      <sheetName val="POS_INV_97124"/>
      <sheetName val="pos_collection_timeliness4"/>
      <sheetName val="tor-int__expense4"/>
      <sheetName val="mcit_(sb)4"/>
      <sheetName val="ITR_RECON4"/>
      <sheetName val="financial_highlights4"/>
      <sheetName val="key_mgt_ratios4"/>
      <sheetName val="tax_recon4"/>
      <sheetName val="INCOME_TAX4"/>
      <sheetName val="notes_updated4"/>
      <sheetName val="POSTED_ADJ4"/>
      <sheetName val="RF_RE4"/>
      <sheetName val="PASSED_ADJ4"/>
      <sheetName val="analytic_review4"/>
      <sheetName val="E-1l2_memo4"/>
      <sheetName val="N_memo4"/>
      <sheetName val="U-2l3_memo4"/>
      <sheetName val="FOREX_(2)4"/>
      <sheetName val="LIAB_SHE4"/>
      <sheetName val="list_of_pend_8_25_034"/>
      <sheetName val="specific_i_d_4"/>
      <sheetName val="list_of_pend_9_1_034"/>
      <sheetName val="RE_recon4"/>
      <sheetName val="wbs_fsa4"/>
      <sheetName val="Significant_Processes4"/>
      <sheetName val="2006-3_Asia_Reimb4"/>
      <sheetName val="Bertha_Yuen4"/>
      <sheetName val="David_Schaefer4"/>
      <sheetName val="Elise_Lai4"/>
      <sheetName val="Guy_Fulton4"/>
      <sheetName val="Howard_Zhang4"/>
      <sheetName val="Juno_Hwang4"/>
      <sheetName val="Kate_B4"/>
      <sheetName val="Leo_Chen4"/>
      <sheetName val="Marco_Ho4"/>
      <sheetName val="Pius_Ho4"/>
      <sheetName val="Ravi_Hansoty4"/>
      <sheetName val="Sarina_Chau4"/>
      <sheetName val="Suresh_M4"/>
      <sheetName val="Week_14"/>
      <sheetName val="Week_24"/>
      <sheetName val="Week_34"/>
      <sheetName val="Week_44"/>
      <sheetName val="Week_54"/>
      <sheetName val="Profit_&amp;_Loss4"/>
      <sheetName val="Quezon_Ave4"/>
      <sheetName val="99_FM_-_NFM4"/>
      <sheetName val="Std_Time_A4"/>
      <sheetName val="Aug_Dump4"/>
      <sheetName val="SAP_Extract4"/>
      <sheetName val="Stock_Div_Accural4"/>
      <sheetName val="09_30_03_Recon4"/>
      <sheetName val="FA_Movement4"/>
      <sheetName val="2-cash_CRAM4"/>
      <sheetName val="NL290_WGACC_&amp;_DEHYDR_4"/>
      <sheetName val="2-2022_AP_SUBS4"/>
      <sheetName val="translist_(2)4"/>
      <sheetName val="Foreign_Details4"/>
      <sheetName val="gà_4"/>
      <sheetName val="outside_services,_gen_&amp;_bus_ex4"/>
      <sheetName val="Input_SFR4"/>
      <sheetName val="Server_Ratios4"/>
      <sheetName val="pcc_niigata4"/>
      <sheetName val="JAN_TRADE_4"/>
      <sheetName val="Interest_Rates4"/>
      <sheetName val="Variance_Report_Reorganized4"/>
      <sheetName val="Voc_1_VL4"/>
      <sheetName val="Voc_2_VL4"/>
      <sheetName val="SL_VOC4"/>
      <sheetName val="account_name4"/>
      <sheetName val="Summary_of_AR4"/>
      <sheetName val="MFO_Lookup4"/>
      <sheetName val="Int__&amp;_Inv__Details4"/>
      <sheetName val="Notes_to_Accounts4"/>
      <sheetName val="map-VENDOR_CODE4"/>
      <sheetName val="WEEKLY-BUD_INJECTION-BAG-TOTAL4"/>
      <sheetName val="K513_(2)4"/>
      <sheetName val="Sheet1_(4)4"/>
      <sheetName val="Qry_AssetLocation_(2)4"/>
      <sheetName val="Sheet1_(3)4"/>
      <sheetName val="Sheet1_(2)4"/>
      <sheetName val="Income_Statement4"/>
      <sheetName val="US_Codes4"/>
      <sheetName val="SRP_FH4"/>
      <sheetName val="FC_switches4"/>
      <sheetName val="R5_-_PBC_2009_Opex_Schedule3"/>
      <sheetName val="R6_-Interim_PBC_2010_Opex_Sche3"/>
      <sheetName val="R9_-_Interim_Utilities_Exp_TOR3"/>
      <sheetName val="R4_-_Interim_Operating_Expense3"/>
      <sheetName val="POSTED_ŁDJ3"/>
      <sheetName val="Specific_Question_Report3"/>
      <sheetName val="ExcavationWorks_Type_IV1"/>
      <sheetName val="_PAJE113"/>
      <sheetName val="Schedule_E1"/>
      <sheetName val="Schedule_A_1"/>
      <sheetName val="Schedule_B1"/>
      <sheetName val="ACTUALSALARIES_AS_OF_05021"/>
      <sheetName val="ALL_FW-SOLIDS1"/>
      <sheetName val="A,B,C_Sales_Timing1"/>
      <sheetName val="1|_EWP1"/>
      <sheetName val="6|_NFS1"/>
      <sheetName val="Other_Investment1"/>
      <sheetName val="2201_-_Due_to_Media1"/>
      <sheetName val="VP_Lookup1"/>
      <sheetName val="FDC_FS_CY1"/>
      <sheetName val="FDC_TB_CY1"/>
      <sheetName val="Advertising_&amp;_Marketing1"/>
      <sheetName val="Miscellaneous_Expense1"/>
      <sheetName val="Need_Breakdown1"/>
      <sheetName val="|Needed_Documents1"/>
      <sheetName val="Store_Plan1"/>
      <sheetName val="REF_CODES1"/>
      <sheetName val="2015_Ropax_Sked1"/>
      <sheetName val="2015_Frt_Sked1"/>
      <sheetName val="2014_Sked1"/>
      <sheetName val="2014_Fuel_Prices1"/>
      <sheetName val="DAILY-BOXES_PACKED-ENTRY1"/>
      <sheetName val="co_101"/>
      <sheetName val="Annex_E1"/>
      <sheetName val="3_3_details1"/>
      <sheetName val="YTD_Pivots1"/>
      <sheetName val="trial_balance1"/>
      <sheetName val="Trnf_frm_ORE1"/>
      <sheetName val="POS_INV_97121"/>
      <sheetName val="pos_collection_timeliness1"/>
      <sheetName val="tor-int__expense5"/>
      <sheetName val="mcit_(sb)5"/>
      <sheetName val="ITR_RECON5"/>
      <sheetName val="financial_highlights5"/>
      <sheetName val="key_mgt_ratios5"/>
      <sheetName val="tax_recon5"/>
      <sheetName val="INCOME_TAX5"/>
      <sheetName val="notes_updated5"/>
      <sheetName val="POSTED_ADJ5"/>
      <sheetName val="RF_RE5"/>
      <sheetName val="PASSED_ADJ5"/>
      <sheetName val="analytic_review5"/>
      <sheetName val="E-1l2_memo5"/>
      <sheetName val="N_memo5"/>
      <sheetName val="U-2l3_memo5"/>
      <sheetName val="FOREX_(2)5"/>
      <sheetName val="LIAB_SHE5"/>
      <sheetName val="list_of_pend_8_25_035"/>
      <sheetName val="specific_i_d_5"/>
      <sheetName val="list_of_pend_9_1_035"/>
      <sheetName val="RE_recon5"/>
      <sheetName val="wbs_fsa5"/>
      <sheetName val="Significant_Processes5"/>
      <sheetName val="2006-3_Asia_Reimb5"/>
      <sheetName val="Bertha_Yuen5"/>
      <sheetName val="David_Schaefer5"/>
      <sheetName val="Elise_Lai5"/>
      <sheetName val="Guy_Fulton5"/>
      <sheetName val="Howard_Zhang5"/>
      <sheetName val="Juno_Hwang5"/>
      <sheetName val="Kate_B5"/>
      <sheetName val="Leo_Chen5"/>
      <sheetName val="Marco_Ho5"/>
      <sheetName val="Pius_Ho5"/>
      <sheetName val="Ravi_Hansoty5"/>
      <sheetName val="Sarina_Chau5"/>
      <sheetName val="Suresh_M5"/>
      <sheetName val="Week_15"/>
      <sheetName val="Week_25"/>
      <sheetName val="Week_35"/>
      <sheetName val="Week_45"/>
      <sheetName val="Week_55"/>
      <sheetName val="Profit_&amp;_Loss5"/>
      <sheetName val="Quezon_Ave5"/>
      <sheetName val="99_FM_-_NFM5"/>
      <sheetName val="Std_Time_A5"/>
      <sheetName val="Aug_Dump5"/>
      <sheetName val="SAP_Extract5"/>
      <sheetName val="Stock_Div_Accural5"/>
      <sheetName val="09_30_03_Recon5"/>
      <sheetName val="FA_Movement5"/>
      <sheetName val="2-cash_CRAM5"/>
      <sheetName val="NL290_WGACC_&amp;_DEHYDR_5"/>
      <sheetName val="2-2022_AP_SUBS5"/>
      <sheetName val="translist_(2)5"/>
      <sheetName val="Foreign_Details5"/>
      <sheetName val="gà_5"/>
      <sheetName val="outside_services,_gen_&amp;_bus_ex5"/>
      <sheetName val="Input_SFR5"/>
      <sheetName val="Server_Ratios5"/>
      <sheetName val="pcc_niigata5"/>
      <sheetName val="JAN_TRADE_5"/>
      <sheetName val="Interest_Rates5"/>
      <sheetName val="Variance_Report_Reorganized5"/>
      <sheetName val="Voc_1_VL5"/>
      <sheetName val="Voc_2_VL5"/>
      <sheetName val="SL_VOC5"/>
      <sheetName val="account_name5"/>
      <sheetName val="Summary_of_AR5"/>
      <sheetName val="MFO_Lookup5"/>
      <sheetName val="Int__&amp;_Inv__Details5"/>
      <sheetName val="Notes_to_Accounts5"/>
      <sheetName val="map-VENDOR_CODE5"/>
      <sheetName val="WEEKLY-BUD_INJECTION-BAG-TOTAL5"/>
      <sheetName val="K513_(2)5"/>
      <sheetName val="Sheet1_(4)5"/>
      <sheetName val="Qry_AssetLocation_(2)5"/>
      <sheetName val="Sheet1_(3)5"/>
      <sheetName val="Sheet1_(2)5"/>
      <sheetName val="Income_Statement5"/>
      <sheetName val="US_Codes5"/>
      <sheetName val="SRP_FH5"/>
      <sheetName val="FC_switches5"/>
      <sheetName val="R5_-_PBC_2009_Opex_Schedule4"/>
      <sheetName val="R6_-Interim_PBC_2010_Opex_Sche4"/>
      <sheetName val="R9_-_Interim_Utilities_Exp_TOR4"/>
      <sheetName val="R4_-_Interim_Operating_Expense4"/>
      <sheetName val="POSTED_ŁDJ4"/>
      <sheetName val="Specific_Question_Report4"/>
      <sheetName val="ExcavationWorks_Type_IV2"/>
      <sheetName val="_PAJE114"/>
      <sheetName val="Schedule_E2"/>
      <sheetName val="Schedule_A_2"/>
      <sheetName val="Schedule_B2"/>
      <sheetName val="ACTUALSALARIES_AS_OF_05022"/>
      <sheetName val="ALL_FW-SOLIDS2"/>
      <sheetName val="A,B,C_Sales_Timing2"/>
      <sheetName val="1|_EWP2"/>
      <sheetName val="6|_NFS2"/>
      <sheetName val="Other_Investment2"/>
      <sheetName val="2201_-_Due_to_Media2"/>
      <sheetName val="VP_Lookup2"/>
      <sheetName val="FDC_FS_CY2"/>
      <sheetName val="FDC_TB_CY2"/>
      <sheetName val="Advertising_&amp;_Marketing2"/>
      <sheetName val="Miscellaneous_Expense2"/>
      <sheetName val="Need_Breakdown2"/>
      <sheetName val="|Needed_Documents2"/>
      <sheetName val="Store_Plan2"/>
      <sheetName val="REF_CODES2"/>
      <sheetName val="2015_Ropax_Sked2"/>
      <sheetName val="2015_Frt_Sked2"/>
      <sheetName val="2014_Sked2"/>
      <sheetName val="2014_Fuel_Prices2"/>
      <sheetName val="DAILY-BOXES_PACKED-ENTRY2"/>
      <sheetName val="co_102"/>
      <sheetName val="Annex_E2"/>
      <sheetName val="3_3_details2"/>
      <sheetName val="YTD_Pivots2"/>
      <sheetName val="trial_balance2"/>
      <sheetName val="Trnf_frm_ORE2"/>
      <sheetName val="POS_INV_97122"/>
      <sheetName val="pos_collection_timeliness2"/>
      <sheetName val="tor-int__expense6"/>
      <sheetName val="mcit_(sb)6"/>
      <sheetName val="ITR_RECON6"/>
      <sheetName val="financial_highlights6"/>
      <sheetName val="key_mgt_ratios6"/>
      <sheetName val="tax_recon6"/>
      <sheetName val="INCOME_TAX6"/>
      <sheetName val="notes_updated6"/>
      <sheetName val="POSTED_ADJ6"/>
      <sheetName val="RF_RE6"/>
      <sheetName val="PASSED_ADJ6"/>
      <sheetName val="analytic_review6"/>
      <sheetName val="E-1l2_memo6"/>
      <sheetName val="N_memo6"/>
      <sheetName val="U-2l3_memo6"/>
      <sheetName val="FOREX_(2)6"/>
      <sheetName val="LIAB_SHE6"/>
      <sheetName val="list_of_pend_8_25_036"/>
      <sheetName val="specific_i_d_6"/>
      <sheetName val="list_of_pend_9_1_036"/>
      <sheetName val="RE_recon6"/>
      <sheetName val="wbs_fsa6"/>
      <sheetName val="Significant_Processes6"/>
      <sheetName val="2006-3_Asia_Reimb6"/>
      <sheetName val="Bertha_Yuen6"/>
      <sheetName val="David_Schaefer6"/>
      <sheetName val="Elise_Lai6"/>
      <sheetName val="Guy_Fulton6"/>
      <sheetName val="Howard_Zhang6"/>
      <sheetName val="Juno_Hwang6"/>
      <sheetName val="Kate_B6"/>
      <sheetName val="Leo_Chen6"/>
      <sheetName val="Marco_Ho6"/>
      <sheetName val="Pius_Ho6"/>
      <sheetName val="Ravi_Hansoty6"/>
      <sheetName val="Sarina_Chau6"/>
      <sheetName val="Suresh_M6"/>
      <sheetName val="Week_16"/>
      <sheetName val="Week_26"/>
      <sheetName val="Week_36"/>
      <sheetName val="Week_46"/>
      <sheetName val="Week_56"/>
      <sheetName val="Profit_&amp;_Loss6"/>
      <sheetName val="Quezon_Ave6"/>
      <sheetName val="99_FM_-_NFM6"/>
      <sheetName val="Std_Time_A6"/>
      <sheetName val="Aug_Dump6"/>
      <sheetName val="SAP_Extract6"/>
      <sheetName val="Stock_Div_Accural6"/>
      <sheetName val="09_30_03_Recon6"/>
      <sheetName val="FA_Movement6"/>
      <sheetName val="2-cash_CRAM6"/>
      <sheetName val="NL290_WGACC_&amp;_DEHYDR_6"/>
      <sheetName val="2-2022_AP_SUBS6"/>
      <sheetName val="translist_(2)6"/>
      <sheetName val="Foreign_Details6"/>
      <sheetName val="gà_6"/>
      <sheetName val="outside_services,_gen_&amp;_bus_ex6"/>
      <sheetName val="Input_SFR6"/>
      <sheetName val="Server_Ratios6"/>
      <sheetName val="pcc_niigata6"/>
      <sheetName val="JAN_TRADE_6"/>
      <sheetName val="Interest_Rates6"/>
      <sheetName val="Variance_Report_Reorganized6"/>
      <sheetName val="Voc_1_VL6"/>
      <sheetName val="Voc_2_VL6"/>
      <sheetName val="SL_VOC6"/>
      <sheetName val="account_name6"/>
      <sheetName val="Summary_of_AR6"/>
      <sheetName val="MFO_Lookup6"/>
      <sheetName val="Int__&amp;_Inv__Details6"/>
      <sheetName val="Notes_to_Accounts6"/>
      <sheetName val="map-VENDOR_CODE6"/>
      <sheetName val="WEEKLY-BUD_INJECTION-BAG-TOTAL6"/>
      <sheetName val="K513_(2)6"/>
      <sheetName val="Sheet1_(4)6"/>
      <sheetName val="Qry_AssetLocation_(2)6"/>
      <sheetName val="Sheet1_(3)6"/>
      <sheetName val="Sheet1_(2)6"/>
      <sheetName val="Income_Statement6"/>
      <sheetName val="US_Codes6"/>
      <sheetName val="SRP_FH6"/>
      <sheetName val="FC_switches6"/>
      <sheetName val="R5_-_PBC_2009_Opex_Schedule5"/>
      <sheetName val="R6_-Interim_PBC_2010_Opex_Sche5"/>
      <sheetName val="R9_-_Interim_Utilities_Exp_TOR5"/>
      <sheetName val="R4_-_Interim_Operating_Expense5"/>
      <sheetName val="POSTED_ŁDJ5"/>
      <sheetName val="Specific_Question_Report5"/>
      <sheetName val="ExcavationWorks_Type_IV3"/>
      <sheetName val="_PAJE115"/>
      <sheetName val="Schedule_E3"/>
      <sheetName val="Schedule_A_3"/>
      <sheetName val="Schedule_B3"/>
      <sheetName val="ACTUALSALARIES_AS_OF_05023"/>
      <sheetName val="ALL_FW-SOLIDS3"/>
      <sheetName val="A,B,C_Sales_Timing3"/>
      <sheetName val="1|_EWP3"/>
      <sheetName val="6|_NFS3"/>
      <sheetName val="Other_Investment3"/>
      <sheetName val="2201_-_Due_to_Media3"/>
      <sheetName val="VP_Lookup3"/>
      <sheetName val="FDC_FS_CY3"/>
      <sheetName val="FDC_TB_CY3"/>
      <sheetName val="Advertising_&amp;_Marketing3"/>
      <sheetName val="Miscellaneous_Expense3"/>
      <sheetName val="Need_Breakdown3"/>
      <sheetName val="|Needed_Documents3"/>
      <sheetName val="Store_Plan3"/>
      <sheetName val="REF_CODES3"/>
      <sheetName val="2015_Ropax_Sked3"/>
      <sheetName val="2015_Frt_Sked3"/>
      <sheetName val="2014_Sked3"/>
      <sheetName val="2014_Fuel_Prices3"/>
      <sheetName val="DAILY-BOXES_PACKED-ENTRY3"/>
      <sheetName val="co_103"/>
      <sheetName val="Annex_E3"/>
      <sheetName val="3_3_details3"/>
      <sheetName val="YTD_Pivots3"/>
      <sheetName val="trial_balance3"/>
      <sheetName val="Trnf_frm_ORE3"/>
      <sheetName val="POS_INV_97123"/>
      <sheetName val="pos_collection_timeliness3"/>
      <sheetName val="tor-int__expense8"/>
      <sheetName val="mcit_(sb)8"/>
      <sheetName val="ITR_RECON8"/>
      <sheetName val="financial_highlights8"/>
      <sheetName val="key_mgt_ratios8"/>
      <sheetName val="tax_recon8"/>
      <sheetName val="INCOME_TAX8"/>
      <sheetName val="notes_updated8"/>
      <sheetName val="POSTED_ADJ8"/>
      <sheetName val="RF_RE8"/>
      <sheetName val="PASSED_ADJ8"/>
      <sheetName val="analytic_review8"/>
      <sheetName val="E-1l2_memo8"/>
      <sheetName val="N_memo8"/>
      <sheetName val="U-2l3_memo8"/>
      <sheetName val="FOREX_(2)8"/>
      <sheetName val="LIAB_SHE8"/>
      <sheetName val="list_of_pend_8_25_038"/>
      <sheetName val="specific_i_d_8"/>
      <sheetName val="list_of_pend_9_1_038"/>
      <sheetName val="RE_recon8"/>
      <sheetName val="wbs_fsa8"/>
      <sheetName val="Significant_Processes8"/>
      <sheetName val="2006-3_Asia_Reimb8"/>
      <sheetName val="Bertha_Yuen8"/>
      <sheetName val="David_Schaefer8"/>
      <sheetName val="Elise_Lai8"/>
      <sheetName val="Guy_Fulton8"/>
      <sheetName val="Howard_Zhang8"/>
      <sheetName val="Juno_Hwang8"/>
      <sheetName val="Kate_B8"/>
      <sheetName val="Leo_Chen8"/>
      <sheetName val="Marco_Ho8"/>
      <sheetName val="Pius_Ho8"/>
      <sheetName val="Ravi_Hansoty8"/>
      <sheetName val="Sarina_Chau8"/>
      <sheetName val="Suresh_M8"/>
      <sheetName val="Week_18"/>
      <sheetName val="Week_28"/>
      <sheetName val="Week_38"/>
      <sheetName val="Week_48"/>
      <sheetName val="Week_58"/>
      <sheetName val="Profit_&amp;_Loss8"/>
      <sheetName val="Quezon_Ave8"/>
      <sheetName val="99_FM_-_NFM8"/>
      <sheetName val="Std_Time_A8"/>
      <sheetName val="Aug_Dump8"/>
      <sheetName val="SAP_Extract8"/>
      <sheetName val="Stock_Div_Accural8"/>
      <sheetName val="09_30_03_Recon8"/>
      <sheetName val="FA_Movement8"/>
      <sheetName val="2-cash_CRAM8"/>
      <sheetName val="NL290_WGACC_&amp;_DEHYDR_8"/>
      <sheetName val="2-2022_AP_SUBS8"/>
      <sheetName val="translist_(2)8"/>
      <sheetName val="Foreign_Details8"/>
      <sheetName val="gà_8"/>
      <sheetName val="outside_services,_gen_&amp;_bus_ex8"/>
      <sheetName val="Input_SFR8"/>
      <sheetName val="Server_Ratios8"/>
      <sheetName val="pcc_niigata8"/>
      <sheetName val="JAN_TRADE_8"/>
      <sheetName val="Interest_Rates8"/>
      <sheetName val="Variance_Report_Reorganized8"/>
      <sheetName val="Voc_1_VL8"/>
      <sheetName val="Voc_2_VL8"/>
      <sheetName val="SL_VOC8"/>
      <sheetName val="account_name8"/>
      <sheetName val="Summary_of_AR8"/>
      <sheetName val="MFO_Lookup8"/>
      <sheetName val="Int__&amp;_Inv__Details8"/>
      <sheetName val="Notes_to_Accounts8"/>
      <sheetName val="map-VENDOR_CODE8"/>
      <sheetName val="WEEKLY-BUD_INJECTION-BAG-TOTAL8"/>
      <sheetName val="K513_(2)8"/>
      <sheetName val="Sheet1_(4)8"/>
      <sheetName val="Qry_AssetLocation_(2)8"/>
      <sheetName val="Sheet1_(3)8"/>
      <sheetName val="Sheet1_(2)8"/>
      <sheetName val="Income_Statement8"/>
      <sheetName val="US_Codes8"/>
      <sheetName val="SRP_FH8"/>
      <sheetName val="FC_switches8"/>
      <sheetName val="R5_-_PBC_2009_Opex_Schedule7"/>
      <sheetName val="R6_-Interim_PBC_2010_Opex_Sche7"/>
      <sheetName val="R9_-_Interim_Utilities_Exp_TOR7"/>
      <sheetName val="R4_-_Interim_Operating_Expense7"/>
      <sheetName val="POSTED_ŁDJ7"/>
      <sheetName val="Specific_Question_Report7"/>
      <sheetName val="ExcavationWorks_Type_IV5"/>
      <sheetName val="_PAJE117"/>
      <sheetName val="Schedule_E5"/>
      <sheetName val="Schedule_A_5"/>
      <sheetName val="Schedule_B5"/>
      <sheetName val="ACTUALSALARIES_AS_OF_05025"/>
      <sheetName val="ALL_FW-SOLIDS5"/>
      <sheetName val="A,B,C_Sales_Timing5"/>
      <sheetName val="1|_EWP5"/>
      <sheetName val="6|_NFS5"/>
      <sheetName val="Other_Investment5"/>
      <sheetName val="2201_-_Due_to_Media5"/>
      <sheetName val="VP_Lookup5"/>
      <sheetName val="FDC_FS_CY5"/>
      <sheetName val="FDC_TB_CY5"/>
      <sheetName val="Advertising_&amp;_Marketing5"/>
      <sheetName val="Miscellaneous_Expense5"/>
      <sheetName val="Need_Breakdown5"/>
      <sheetName val="|Needed_Documents5"/>
      <sheetName val="Store_Plan5"/>
      <sheetName val="REF_CODES5"/>
      <sheetName val="2015_Ropax_Sked5"/>
      <sheetName val="2015_Frt_Sked5"/>
      <sheetName val="2014_Sked5"/>
      <sheetName val="2014_Fuel_Prices5"/>
      <sheetName val="DAILY-BOXES_PACKED-ENTRY5"/>
      <sheetName val="co_105"/>
      <sheetName val="Annex_E5"/>
      <sheetName val="3_3_details5"/>
      <sheetName val="YTD_Pivots5"/>
      <sheetName val="trial_balance5"/>
      <sheetName val="Trnf_frm_ORE5"/>
      <sheetName val="POS_INV_97125"/>
      <sheetName val="pos_collection_timeliness5"/>
      <sheetName val="tor-int__expense9"/>
      <sheetName val="mcit_(sb)9"/>
      <sheetName val="ITR_RECON9"/>
      <sheetName val="financial_highlights9"/>
      <sheetName val="key_mgt_ratios9"/>
      <sheetName val="tax_recon9"/>
      <sheetName val="INCOME_TAX9"/>
      <sheetName val="notes_updated9"/>
      <sheetName val="POSTED_ADJ9"/>
      <sheetName val="RF_RE9"/>
      <sheetName val="PASSED_ADJ9"/>
      <sheetName val="analytic_review9"/>
      <sheetName val="E-1l2_memo9"/>
      <sheetName val="N_memo9"/>
      <sheetName val="U-2l3_memo9"/>
      <sheetName val="FOREX_(2)9"/>
      <sheetName val="LIAB_SHE9"/>
      <sheetName val="list_of_pend_8_25_039"/>
      <sheetName val="specific_i_d_9"/>
      <sheetName val="list_of_pend_9_1_039"/>
      <sheetName val="RE_recon9"/>
      <sheetName val="wbs_fsa9"/>
      <sheetName val="Significant_Processes9"/>
      <sheetName val="2006-3_Asia_Reimb9"/>
      <sheetName val="Bertha_Yuen9"/>
      <sheetName val="David_Schaefer9"/>
      <sheetName val="Elise_Lai9"/>
      <sheetName val="Guy_Fulton9"/>
      <sheetName val="Howard_Zhang9"/>
      <sheetName val="Juno_Hwang9"/>
      <sheetName val="Kate_B9"/>
      <sheetName val="Leo_Chen9"/>
      <sheetName val="Marco_Ho9"/>
      <sheetName val="Pius_Ho9"/>
      <sheetName val="Ravi_Hansoty9"/>
      <sheetName val="Sarina_Chau9"/>
      <sheetName val="Suresh_M9"/>
      <sheetName val="Week_19"/>
      <sheetName val="Week_29"/>
      <sheetName val="Week_39"/>
      <sheetName val="Week_49"/>
      <sheetName val="Week_59"/>
      <sheetName val="Profit_&amp;_Loss9"/>
      <sheetName val="Quezon_Ave9"/>
      <sheetName val="99_FM_-_NFM9"/>
      <sheetName val="Std_Time_A9"/>
      <sheetName val="Aug_Dump9"/>
      <sheetName val="SAP_Extract9"/>
      <sheetName val="Stock_Div_Accural9"/>
      <sheetName val="09_30_03_Recon9"/>
      <sheetName val="FA_Movement9"/>
      <sheetName val="2-cash_CRAM9"/>
      <sheetName val="NL290_WGACC_&amp;_DEHYDR_9"/>
      <sheetName val="2-2022_AP_SUBS9"/>
      <sheetName val="translist_(2)9"/>
      <sheetName val="Foreign_Details9"/>
      <sheetName val="gà_9"/>
      <sheetName val="outside_services,_gen_&amp;_bus_ex9"/>
      <sheetName val="Input_SFR9"/>
      <sheetName val="Server_Ratios9"/>
      <sheetName val="pcc_niigata9"/>
      <sheetName val="JAN_TRADE_9"/>
      <sheetName val="Interest_Rates9"/>
      <sheetName val="Variance_Report_Reorganized9"/>
      <sheetName val="Voc_1_VL9"/>
      <sheetName val="Voc_2_VL9"/>
      <sheetName val="SL_VOC9"/>
      <sheetName val="account_name9"/>
      <sheetName val="Summary_of_AR9"/>
      <sheetName val="MFO_Lookup9"/>
      <sheetName val="Int__&amp;_Inv__Details9"/>
      <sheetName val="Notes_to_Accounts9"/>
      <sheetName val="map-VENDOR_CODE9"/>
      <sheetName val="WEEKLY-BUD_INJECTION-BAG-TOTAL9"/>
      <sheetName val="K513_(2)9"/>
      <sheetName val="Sheet1_(4)9"/>
      <sheetName val="Qry_AssetLocation_(2)9"/>
      <sheetName val="Sheet1_(3)9"/>
      <sheetName val="Sheet1_(2)9"/>
      <sheetName val="Income_Statement9"/>
      <sheetName val="US_Codes9"/>
      <sheetName val="SRP_FH9"/>
      <sheetName val="FC_switches9"/>
      <sheetName val="R5_-_PBC_2009_Opex_Schedule8"/>
      <sheetName val="R6_-Interim_PBC_2010_Opex_Sche8"/>
      <sheetName val="R9_-_Interim_Utilities_Exp_TOR8"/>
      <sheetName val="R4_-_Interim_Operating_Expense8"/>
      <sheetName val="POSTED_ŁDJ8"/>
      <sheetName val="Specific_Question_Report8"/>
      <sheetName val="ExcavationWorks_Type_IV6"/>
      <sheetName val="_PAJE118"/>
      <sheetName val="Schedule_E6"/>
      <sheetName val="Schedule_A_6"/>
      <sheetName val="Schedule_B6"/>
      <sheetName val="ACTUALSALARIES_AS_OF_05026"/>
      <sheetName val="ALL_FW-SOLIDS6"/>
      <sheetName val="A,B,C_Sales_Timing6"/>
      <sheetName val="1|_EWP6"/>
      <sheetName val="6|_NFS6"/>
      <sheetName val="Other_Investment6"/>
      <sheetName val="2201_-_Due_to_Media6"/>
      <sheetName val="VP_Lookup6"/>
      <sheetName val="FDC_FS_CY6"/>
      <sheetName val="FDC_TB_CY6"/>
      <sheetName val="Advertising_&amp;_Marketing6"/>
      <sheetName val="Miscellaneous_Expense6"/>
      <sheetName val="Need_Breakdown6"/>
      <sheetName val="|Needed_Documents6"/>
      <sheetName val="Store_Plan6"/>
      <sheetName val="REF_CODES6"/>
      <sheetName val="2015_Ropax_Sked6"/>
      <sheetName val="2015_Frt_Sked6"/>
      <sheetName val="2014_Sked6"/>
      <sheetName val="2014_Fuel_Prices6"/>
      <sheetName val="DAILY-BOXES_PACKED-ENTRY6"/>
      <sheetName val="co_106"/>
      <sheetName val="Annex_E6"/>
      <sheetName val="3_3_details6"/>
      <sheetName val="YTD_Pivots6"/>
      <sheetName val="trial_balance6"/>
      <sheetName val="Trnf_frm_ORE6"/>
      <sheetName val="POS_INV_97126"/>
      <sheetName val="pos_collection_timeliness6"/>
      <sheetName val="tor-int__expense10"/>
      <sheetName val="mcit_(sb)10"/>
      <sheetName val="ITR_RECON10"/>
      <sheetName val="financial_highlights10"/>
      <sheetName val="key_mgt_ratios10"/>
      <sheetName val="tax_recon10"/>
      <sheetName val="INCOME_TAX10"/>
      <sheetName val="notes_updated10"/>
      <sheetName val="POSTED_ADJ10"/>
      <sheetName val="RF_RE10"/>
      <sheetName val="PASSED_ADJ10"/>
      <sheetName val="analytic_review10"/>
      <sheetName val="E-1l2_memo10"/>
      <sheetName val="N_memo10"/>
      <sheetName val="U-2l3_memo10"/>
      <sheetName val="FOREX_(2)10"/>
      <sheetName val="LIAB_SHE10"/>
      <sheetName val="list_of_pend_8_25_0310"/>
      <sheetName val="specific_i_d_10"/>
      <sheetName val="list_of_pend_9_1_0310"/>
      <sheetName val="RE_recon10"/>
      <sheetName val="wbs_fsa10"/>
      <sheetName val="Significant_Processes10"/>
      <sheetName val="2006-3_Asia_Reimb10"/>
      <sheetName val="Bertha_Yuen10"/>
      <sheetName val="David_Schaefer10"/>
      <sheetName val="Elise_Lai10"/>
      <sheetName val="Guy_Fulton10"/>
      <sheetName val="Howard_Zhang10"/>
      <sheetName val="Juno_Hwang10"/>
      <sheetName val="Kate_B10"/>
      <sheetName val="Leo_Chen10"/>
      <sheetName val="Marco_Ho10"/>
      <sheetName val="Pius_Ho10"/>
      <sheetName val="Ravi_Hansoty10"/>
      <sheetName val="Sarina_Chau10"/>
      <sheetName val="Suresh_M10"/>
      <sheetName val="Week_110"/>
      <sheetName val="Week_210"/>
      <sheetName val="Week_310"/>
      <sheetName val="Week_410"/>
      <sheetName val="Week_510"/>
      <sheetName val="Profit_&amp;_Loss10"/>
      <sheetName val="Quezon_Ave10"/>
      <sheetName val="99_FM_-_NFM10"/>
      <sheetName val="Std_Time_A10"/>
      <sheetName val="Aug_Dump10"/>
      <sheetName val="SAP_Extract10"/>
      <sheetName val="Stock_Div_Accural10"/>
      <sheetName val="09_30_03_Recon10"/>
      <sheetName val="FA_Movement10"/>
      <sheetName val="2-cash_CRAM10"/>
      <sheetName val="NL290_WGACC_&amp;_DEHYDR_10"/>
      <sheetName val="2-2022_AP_SUBS10"/>
      <sheetName val="translist_(2)10"/>
      <sheetName val="Foreign_Details10"/>
      <sheetName val="gà_10"/>
      <sheetName val="outside_services,_gen_&amp;_bus_e10"/>
      <sheetName val="Input_SFR10"/>
      <sheetName val="Server_Ratios10"/>
      <sheetName val="pcc_niigata10"/>
      <sheetName val="JAN_TRADE_10"/>
      <sheetName val="Interest_Rates10"/>
      <sheetName val="Variance_Report_Reorganized10"/>
      <sheetName val="Voc_1_VL10"/>
      <sheetName val="Voc_2_VL10"/>
      <sheetName val="SL_VOC10"/>
      <sheetName val="account_name10"/>
      <sheetName val="Summary_of_AR10"/>
      <sheetName val="MFO_Lookup10"/>
      <sheetName val="Int__&amp;_Inv__Details10"/>
      <sheetName val="Notes_to_Accounts10"/>
      <sheetName val="map-VENDOR_CODE10"/>
      <sheetName val="WEEKLY-BUD_INJECTION-BAG-TOTA10"/>
      <sheetName val="K513_(2)10"/>
      <sheetName val="Sheet1_(4)10"/>
      <sheetName val="Qry_AssetLocation_(2)10"/>
      <sheetName val="Sheet1_(3)10"/>
      <sheetName val="Sheet1_(2)10"/>
      <sheetName val="Income_Statement10"/>
      <sheetName val="US_Codes10"/>
      <sheetName val="SRP_FH10"/>
      <sheetName val="FC_switches10"/>
      <sheetName val="R5_-_PBC_2009_Opex_Schedule9"/>
      <sheetName val="R6_-Interim_PBC_2010_Opex_Sche9"/>
      <sheetName val="R9_-_Interim_Utilities_Exp_TOR9"/>
      <sheetName val="R4_-_Interim_Operating_Expense9"/>
      <sheetName val="POSTED_ŁDJ9"/>
      <sheetName val="Specific_Question_Report9"/>
      <sheetName val="ExcavationWorks_Type_IV7"/>
      <sheetName val="_PAJE119"/>
      <sheetName val="Schedule_E7"/>
      <sheetName val="Schedule_A_7"/>
      <sheetName val="Schedule_B7"/>
      <sheetName val="ACTUALSALARIES_AS_OF_05027"/>
      <sheetName val="CAN COST SUMMARY"/>
      <sheetName val="Administration"/>
      <sheetName val="INCOME TAX 02"/>
      <sheetName val="NL290_WGACC_&amp;_DEHYDR1Ê"/>
      <sheetName val="[_x005f_x005f_x005f_x0010__x005f_x005f_x005f_x0000_ꂽ_x0"/>
      <sheetName val="[_x005f_x005f_x005f_x005f_x005f_x005f_x005f_x0010__x005"/>
      <sheetName val="[_x005f_x005f_x005f_x005f_x005f_x005f_x005f_x0010_?_x00"/>
      <sheetName val="9"/>
      <sheetName val="__x0010__ꂽ_x0004_____________________"/>
      <sheetName val="RC Code"/>
      <sheetName val="DAILYPROD"/>
      <sheetName val="Form 100"/>
      <sheetName val="tor-int__expense11"/>
      <sheetName val="mcit_(sb)11"/>
      <sheetName val="ITR_RECON11"/>
      <sheetName val="financial_highlights11"/>
      <sheetName val="key_mgt_ratios11"/>
      <sheetName val="tax_recon11"/>
      <sheetName val="INCOME_TAX11"/>
      <sheetName val="notes_updated11"/>
      <sheetName val="POSTED_ADJ11"/>
      <sheetName val="RF_RE11"/>
      <sheetName val="PASSED_ADJ11"/>
      <sheetName val="analytic_review11"/>
      <sheetName val="E-1l2_memo11"/>
      <sheetName val="N_memo11"/>
      <sheetName val="U-2l3_memo11"/>
      <sheetName val="FOREX_(2)11"/>
      <sheetName val="LIAB_SHE11"/>
      <sheetName val="list_of_pend_8_25_0311"/>
      <sheetName val="specific_i_d_11"/>
      <sheetName val="list_of_pend_9_1_0311"/>
      <sheetName val="RE_recon11"/>
      <sheetName val="wbs_fsa11"/>
      <sheetName val="Significant_Processes11"/>
      <sheetName val="2006-3_Asia_Reimb11"/>
      <sheetName val="Bertha_Yuen11"/>
      <sheetName val="David_Schaefer11"/>
      <sheetName val="Elise_Lai11"/>
      <sheetName val="Guy_Fulton11"/>
      <sheetName val="Howard_Zhang11"/>
      <sheetName val="Juno_Hwang11"/>
      <sheetName val="Kate_B11"/>
      <sheetName val="Leo_Chen11"/>
      <sheetName val="Marco_Ho11"/>
      <sheetName val="Pius_Ho11"/>
      <sheetName val="Ravi_Hansoty11"/>
      <sheetName val="Sarina_Chau11"/>
      <sheetName val="Suresh_M11"/>
      <sheetName val="Week_111"/>
      <sheetName val="Week_211"/>
      <sheetName val="Week_311"/>
      <sheetName val="Week_411"/>
      <sheetName val="Week_511"/>
      <sheetName val="Profit_&amp;_Loss11"/>
      <sheetName val="Quezon_Ave11"/>
      <sheetName val="99_FM_-_NFM11"/>
      <sheetName val="Std_Time_A11"/>
      <sheetName val="Aug_Dump11"/>
      <sheetName val="SAP_Extract11"/>
      <sheetName val="Stock_Div_Accural11"/>
      <sheetName val="09_30_03_Recon11"/>
      <sheetName val="FA_Movement11"/>
      <sheetName val="2-cash_CRAM11"/>
      <sheetName val="NL290_WGACC_&amp;_DEHYDR_11"/>
      <sheetName val="2-2022_AP_SUBS11"/>
      <sheetName val="translist_(2)11"/>
      <sheetName val="Foreign_Details11"/>
      <sheetName val="gà_11"/>
      <sheetName val="outside_services,_gen_&amp;_bus_e11"/>
      <sheetName val="Input_SFR11"/>
      <sheetName val="Server_Ratios11"/>
      <sheetName val="pcc_niigata11"/>
      <sheetName val="JAN_TRADE_11"/>
      <sheetName val="Interest_Rates11"/>
      <sheetName val="Variance_Report_Reorganized11"/>
      <sheetName val="Voc_1_VL11"/>
      <sheetName val="Voc_2_VL11"/>
      <sheetName val="SL_VOC11"/>
      <sheetName val="account_name11"/>
      <sheetName val="Summary_of_AR11"/>
      <sheetName val="MFO_Lookup11"/>
      <sheetName val="Int__&amp;_Inv__Details11"/>
      <sheetName val="Notes_to_Accounts11"/>
      <sheetName val="map-VENDOR_CODE11"/>
      <sheetName val="WEEKLY-BUD_INJECTION-BAG-TOTA11"/>
      <sheetName val="K513_(2)11"/>
      <sheetName val="Sheet1_(4)11"/>
      <sheetName val="Qry_AssetLocation_(2)11"/>
      <sheetName val="Sheet1_(3)11"/>
      <sheetName val="Sheet1_(2)11"/>
      <sheetName val="Income_Statement11"/>
      <sheetName val="US_Codes11"/>
      <sheetName val="SRP_FH11"/>
      <sheetName val="FC_switches11"/>
      <sheetName val="traffic"/>
      <sheetName val="SOC forDomestic Subsi"/>
      <sheetName val="__x0010_?_x0010_?_x"/>
      <sheetName val="__x0010_?_x00"/>
      <sheetName val="stocks"/>
      <sheetName val="PAJE 13 Support"/>
      <sheetName val="V31G賞退修正部別合計T"/>
      <sheetName val="V33G賞退工場合計T"/>
      <sheetName val="__x"/>
      <sheetName val="_____x0006"/>
      <sheetName val="__x00"/>
      <sheetName val="____x"/>
      <sheetName val="Determination_of_Threshold"/>
      <sheetName val="ME_2004"/>
      <sheetName val="Currency_Converter"/>
      <sheetName val="Tax_Comp"/>
      <sheetName val="sales_and_expenses_summary"/>
      <sheetName val="Wee"/>
      <sheetName val="RU_Overview"/>
      <sheetName val="Credit_Card"/>
      <sheetName val="Prem EIR"/>
      <sheetName val="EWT"/>
      <sheetName val="LABA"/>
      <sheetName val="EE-À"/>
      <sheetName val="EE-"/>
      <sheetName val="1-Test of Details"/>
      <sheetName val="_x0010_ô"/>
      <sheetName val="Consideration Illustration"/>
      <sheetName val="rates"/>
      <sheetName val="Datasheet"/>
      <sheetName val="Walkthrough"/>
      <sheetName val="Original Andrew___Data"/>
      <sheetName val="TBJUL"/>
      <sheetName val="movement"/>
      <sheetName val="Extract"/>
      <sheetName val="unpaid"/>
      <sheetName val="Peso"/>
      <sheetName val="tboct"/>
      <sheetName val="5445"/>
      <sheetName val="[?ꂽ????????????????????"/>
      <sheetName val="IMPCOST"/>
      <sheetName val="LAPSING"/>
      <sheetName val="NOTE"/>
      <sheetName val="EA"/>
      <sheetName val="CUM-IS"/>
      <sheetName val="PT-IS"/>
      <sheetName val="COMP-IS"/>
      <sheetName val="DATA "/>
      <sheetName val="PT BS"/>
      <sheetName val="COMP-BS"/>
      <sheetName val="GC0997"/>
      <sheetName val="_____"/>
      <sheetName val="__x005f_x0010__x005f_x0000___x005f_x0004__x005f_x0000__"/>
      <sheetName val="tor-int__expense12"/>
      <sheetName val="mcit_(sb)12"/>
      <sheetName val="ITR_RECON12"/>
      <sheetName val="financial_highlights12"/>
      <sheetName val="key_mgt_ratios12"/>
      <sheetName val="tax_recon12"/>
      <sheetName val="INCOME_TAX12"/>
      <sheetName val="notes_updated12"/>
      <sheetName val="POSTED_ADJ12"/>
      <sheetName val="RF_RE12"/>
      <sheetName val="PASSED_ADJ12"/>
      <sheetName val="analytic_review12"/>
      <sheetName val="FOREX_(2)12"/>
      <sheetName val="LIAB_SHE12"/>
      <sheetName val="list_of_pend_8_25_0312"/>
      <sheetName val="specific_i_d_12"/>
      <sheetName val="list_of_pend_9_1_0312"/>
      <sheetName val="E-1l2_memo12"/>
      <sheetName val="N_memo12"/>
      <sheetName val="U-2l3_memo12"/>
      <sheetName val="2006-3_Asia_Reimb12"/>
      <sheetName val="Bertha_Yuen12"/>
      <sheetName val="David_Schaefer12"/>
      <sheetName val="Elise_Lai12"/>
      <sheetName val="Guy_Fulton12"/>
      <sheetName val="Howard_Zhang12"/>
      <sheetName val="Juno_Hwang12"/>
      <sheetName val="Kate_B12"/>
      <sheetName val="Leo_Chen12"/>
      <sheetName val="Marco_Ho12"/>
      <sheetName val="Pius_Ho12"/>
      <sheetName val="Ravi_Hansoty12"/>
      <sheetName val="Sarina_Chau12"/>
      <sheetName val="Suresh_M12"/>
      <sheetName val="Significant_Processes12"/>
      <sheetName val="Profit_&amp;_Loss12"/>
      <sheetName val="Quezon_Ave12"/>
      <sheetName val="Week_112"/>
      <sheetName val="Week_212"/>
      <sheetName val="Week_312"/>
      <sheetName val="Week_412"/>
      <sheetName val="Week_512"/>
      <sheetName val="RE_recon12"/>
      <sheetName val="wbs_fsa12"/>
      <sheetName val="99_FM_-_NFM12"/>
      <sheetName val="SAP_Extract12"/>
      <sheetName val="Stock_Div_Accural12"/>
      <sheetName val="Std_Time_A12"/>
      <sheetName val="Aug_Dump12"/>
      <sheetName val="translist_(2)12"/>
      <sheetName val="NL290_WGACC_&amp;_DEHYDR_12"/>
      <sheetName val="Foreign_Details12"/>
      <sheetName val="account_name12"/>
      <sheetName val="Variance_Report_Reorganized12"/>
      <sheetName val="gà_12"/>
      <sheetName val="Interest_Rates12"/>
      <sheetName val="09_30_03_Recon12"/>
      <sheetName val="FA_Movement12"/>
      <sheetName val="pcc_niigata12"/>
      <sheetName val="Voc_1_VL12"/>
      <sheetName val="Voc_2_VL12"/>
      <sheetName val="SL_VOC12"/>
      <sheetName val="outside_services,_gen_&amp;_bus_e12"/>
      <sheetName val="Input_SFR12"/>
      <sheetName val="Summary_of_AR12"/>
      <sheetName val="2-cash_CRAM12"/>
      <sheetName val="2-2022_AP_SUBS12"/>
      <sheetName val="JAN_TRADE_12"/>
      <sheetName val="MFO_Lookup12"/>
      <sheetName val="Server_Ratios12"/>
      <sheetName val="Notes_to_Accounts12"/>
      <sheetName val="Int__&amp;_Inv__Details12"/>
      <sheetName val="Income_Statement12"/>
      <sheetName val="map-VENDOR_CODE12"/>
      <sheetName val="WEEKLY-BUD_INJECTION-BAG-TOTA12"/>
      <sheetName val="K513_(2)12"/>
      <sheetName val="Sheet1_(4)12"/>
      <sheetName val="Qry_AssetLocation_(2)12"/>
      <sheetName val="Sheet1_(3)12"/>
      <sheetName val="Sheet1_(2)12"/>
      <sheetName val="US_Codes12"/>
      <sheetName val="Schedule_E8"/>
      <sheetName val="Schedule_A_8"/>
      <sheetName val="Schedule_B8"/>
      <sheetName val="SRP_FH12"/>
      <sheetName val="POSTED_ŁDJ10"/>
      <sheetName val="FC_switches12"/>
      <sheetName val="R5_-_PBC_2009_Opex_Schedule10"/>
      <sheetName val="R6_-Interim_PBC_2010_Opex_Sch10"/>
      <sheetName val="R9_-_Interim_Utilities_Exp_TO10"/>
      <sheetName val="R4_-_Interim_Operating_Expens10"/>
      <sheetName val="Specific_Question_Report10"/>
      <sheetName val="_PAJE1110"/>
      <sheetName val="DAILY-BOXES_PACKED-ENTRY7"/>
      <sheetName val="ExcavationWorks_Type_IV8"/>
      <sheetName val="ALL_FW-SOLIDS7"/>
      <sheetName val="A,B,C_Sales_Timing7"/>
      <sheetName val="Other_Investment7"/>
      <sheetName val="2201_-_Due_to_Media7"/>
      <sheetName val="ACTUALSALARIES_AS_OF_05028"/>
      <sheetName val="1|_EWP7"/>
      <sheetName val="6|_NFS7"/>
      <sheetName val="VP_Lookup7"/>
      <sheetName val="FDC_FS_CY7"/>
      <sheetName val="FDC_TB_CY7"/>
      <sheetName val="Advertising_&amp;_Marketing7"/>
      <sheetName val="Miscellaneous_Expense7"/>
      <sheetName val="Need_Breakdown7"/>
      <sheetName val="|Needed_Documents7"/>
      <sheetName val="2015_Ropax_Sked7"/>
      <sheetName val="2015_Frt_Sked7"/>
      <sheetName val="2014_Sked7"/>
      <sheetName val="2014_Fuel_Prices7"/>
      <sheetName val="REF_CODES7"/>
      <sheetName val="co_107"/>
      <sheetName val="trial_balance7"/>
      <sheetName val="Trnf_frm_ORE7"/>
      <sheetName val="Annex_E7"/>
      <sheetName val="Store_Plan7"/>
      <sheetName val="ME_20041"/>
      <sheetName val="sales_and_expenses_summary1"/>
      <sheetName val="[????????Ã???????????????"/>
      <sheetName val="POS_INV_97127"/>
      <sheetName val="pos_collection_timeliness7"/>
      <sheetName val="3_3_details7"/>
      <sheetName val="YTD_Pivots7"/>
      <sheetName val="ClaireMde_Glass"/>
      <sheetName val="Claire_Mde_Plastics"/>
      <sheetName val="Credit_Card1"/>
      <sheetName val="Determination_of_Threshold1"/>
      <sheetName val="Currency_Converter1"/>
      <sheetName val="Tax_Comp1"/>
      <sheetName val="RU_Overview1"/>
      <sheetName val="Codes-Do_not_delete"/>
      <sheetName val="Net_Trans_Sum"/>
      <sheetName val="CAN_COST_SUMMARY"/>
      <sheetName val="INCOME_TAX_02"/>
      <sheetName val="__ꂽ____________________"/>
      <sheetName val="RC_Code"/>
      <sheetName val="Form_100"/>
      <sheetName val="SOC_forDomestic_Subsi"/>
      <sheetName val="_??_x"/>
      <sheetName val="_?_x00"/>
      <sheetName val="PAJE_13_Support"/>
      <sheetName val="Prem_EIR"/>
      <sheetName val="1-Test_of_Details"/>
      <sheetName val="ô"/>
      <sheetName val="Consideration_Illustration"/>
      <sheetName val="Original_Andrew___Data"/>
      <sheetName val="DATA_"/>
      <sheetName val="PT_BS"/>
      <sheetName val="Wee_x0006_"/>
      <sheetName val="All Expenses"/>
      <sheetName val="BAD DEBTS EXPENSE"/>
      <sheetName val="tor-int__expense13"/>
      <sheetName val="mcit_(sb)13"/>
      <sheetName val="ITR_RECON13"/>
      <sheetName val="financial_highlights13"/>
      <sheetName val="key_mgt_ratios13"/>
      <sheetName val="tax_recon13"/>
      <sheetName val="INCOME_TAX13"/>
      <sheetName val="notes_updated13"/>
      <sheetName val="POSTED_ADJ13"/>
      <sheetName val="RF_RE13"/>
      <sheetName val="PASSED_ADJ13"/>
      <sheetName val="analytic_review13"/>
      <sheetName val="E-1l2_memo13"/>
      <sheetName val="N_memo13"/>
      <sheetName val="U-2l3_memo13"/>
      <sheetName val="FOREX_(2)13"/>
      <sheetName val="LIAB_SHE13"/>
      <sheetName val="list_of_pend_8_25_0313"/>
      <sheetName val="specific_i_d_13"/>
      <sheetName val="list_of_pend_9_1_0313"/>
      <sheetName val="RE_recon13"/>
      <sheetName val="wbs_fsa13"/>
      <sheetName val="Significant_Processes13"/>
      <sheetName val="2006-3_Asia_Reimb13"/>
      <sheetName val="Bertha_Yuen13"/>
      <sheetName val="David_Schaefer13"/>
      <sheetName val="Elise_Lai13"/>
      <sheetName val="Guy_Fulton13"/>
      <sheetName val="Howard_Zhang13"/>
      <sheetName val="Juno_Hwang13"/>
      <sheetName val="Kate_B13"/>
      <sheetName val="Leo_Chen13"/>
      <sheetName val="Marco_Ho13"/>
      <sheetName val="Pius_Ho13"/>
      <sheetName val="Ravi_Hansoty13"/>
      <sheetName val="Sarina_Chau13"/>
      <sheetName val="Suresh_M13"/>
      <sheetName val="Week_113"/>
      <sheetName val="Week_213"/>
      <sheetName val="Week_313"/>
      <sheetName val="Week_413"/>
      <sheetName val="Week_513"/>
      <sheetName val="Profit_&amp;_Loss13"/>
      <sheetName val="Quezon_Ave13"/>
      <sheetName val="99_FM_-_NFM13"/>
      <sheetName val="Std_Time_A13"/>
      <sheetName val="Aug_Dump13"/>
      <sheetName val="SAP_Extract13"/>
      <sheetName val="Stock_Div_Accural13"/>
      <sheetName val="09_30_03_Recon13"/>
      <sheetName val="FA_Movement13"/>
      <sheetName val="2-cash_CRAM13"/>
      <sheetName val="NL290_WGACC_&amp;_DEHYDR_13"/>
      <sheetName val="2-2022_AP_SUBS13"/>
      <sheetName val="translist_(2)13"/>
      <sheetName val="Foreign_Details13"/>
      <sheetName val="gà_13"/>
      <sheetName val="outside_services,_gen_&amp;_bus_e13"/>
      <sheetName val="Input_SFR13"/>
      <sheetName val="Server_Ratios13"/>
      <sheetName val="pcc_niigata13"/>
      <sheetName val="JAN_TRADE_13"/>
      <sheetName val="Interest_Rates13"/>
      <sheetName val="Variance_Report_Reorganized13"/>
      <sheetName val="account_name13"/>
      <sheetName val="Int__&amp;_Inv__Details13"/>
      <sheetName val="Summary_of_AR13"/>
      <sheetName val="Voc_1_VL13"/>
      <sheetName val="Voc_2_VL13"/>
      <sheetName val="SL_VOC13"/>
      <sheetName val="MFO_Lookup13"/>
      <sheetName val="Notes_to_Accounts13"/>
      <sheetName val="map-VENDOR_CODE13"/>
      <sheetName val="WEEKLY-BUD_INJECTION-BAG-TOTA13"/>
      <sheetName val="K513_(2)13"/>
      <sheetName val="Sheet1_(4)13"/>
      <sheetName val="Qry_AssetLocation_(2)13"/>
      <sheetName val="Sheet1_(3)13"/>
      <sheetName val="Sheet1_(2)13"/>
      <sheetName val="Income_Statement13"/>
      <sheetName val="US_Codes13"/>
      <sheetName val="SRP_FH13"/>
      <sheetName val="FC_switches13"/>
      <sheetName val="R5_-_PBC_2009_Opex_Schedule11"/>
      <sheetName val="R6_-Interim_PBC_2010_Opex_Sch11"/>
      <sheetName val="R9_-_Interim_Utilities_Exp_TO11"/>
      <sheetName val="R4_-_Interim_Operating_Expens11"/>
      <sheetName val="POSTED_ŁDJ11"/>
      <sheetName val="Specific_Question_Report11"/>
      <sheetName val="ExcavationWorks_Type_IV9"/>
      <sheetName val="_PAJE1111"/>
      <sheetName val="Schedule_E9"/>
      <sheetName val="Schedule_A_9"/>
      <sheetName val="Schedule_B9"/>
      <sheetName val="ACTUALSALARIES_AS_OF_05029"/>
      <sheetName val="tor-int__expense14"/>
      <sheetName val="mcit_(sb)14"/>
      <sheetName val="ITR_RECON14"/>
      <sheetName val="financial_highlights14"/>
      <sheetName val="key_mgt_ratios14"/>
      <sheetName val="tax_recon14"/>
      <sheetName val="INCOME_TAX14"/>
      <sheetName val="notes_updated14"/>
      <sheetName val="POSTED_ADJ14"/>
      <sheetName val="RF_RE14"/>
      <sheetName val="PASSED_ADJ14"/>
      <sheetName val="analytic_review14"/>
      <sheetName val="E-1l2_memo14"/>
      <sheetName val="N_memo14"/>
      <sheetName val="U-2l3_memo14"/>
      <sheetName val="FOREX_(2)14"/>
      <sheetName val="LIAB_SHE14"/>
      <sheetName val="list_of_pend_8_25_0314"/>
      <sheetName val="specific_i_d_14"/>
      <sheetName val="list_of_pend_9_1_0314"/>
      <sheetName val="RE_recon14"/>
      <sheetName val="wbs_fsa14"/>
      <sheetName val="Significant_Processes14"/>
      <sheetName val="2006-3_Asia_Reimb14"/>
      <sheetName val="Bertha_Yuen14"/>
      <sheetName val="David_Schaefer14"/>
      <sheetName val="Elise_Lai14"/>
      <sheetName val="Guy_Fulton14"/>
      <sheetName val="Howard_Zhang14"/>
      <sheetName val="Juno_Hwang14"/>
      <sheetName val="Kate_B14"/>
      <sheetName val="Leo_Chen14"/>
      <sheetName val="Marco_Ho14"/>
      <sheetName val="Pius_Ho14"/>
      <sheetName val="Ravi_Hansoty14"/>
      <sheetName val="Sarina_Chau14"/>
      <sheetName val="Suresh_M14"/>
      <sheetName val="Week_114"/>
      <sheetName val="Week_214"/>
      <sheetName val="Week_314"/>
      <sheetName val="Week_414"/>
      <sheetName val="Week_514"/>
      <sheetName val="Profit_&amp;_Loss14"/>
      <sheetName val="Quezon_Ave14"/>
      <sheetName val="99_FM_-_NFM14"/>
      <sheetName val="Std_Time_A14"/>
      <sheetName val="Aug_Dump14"/>
      <sheetName val="SAP_Extract14"/>
      <sheetName val="Stock_Div_Accural14"/>
      <sheetName val="09_30_03_Recon14"/>
      <sheetName val="FA_Movement14"/>
      <sheetName val="2-cash_CRAM14"/>
      <sheetName val="NL290_WGACC_&amp;_DEHYDR_14"/>
      <sheetName val="2-2022_AP_SUBS14"/>
      <sheetName val="translist_(2)14"/>
      <sheetName val="Foreign_Details14"/>
      <sheetName val="gà_14"/>
      <sheetName val="outside_services,_gen_&amp;_bus_e14"/>
      <sheetName val="Input_SFR14"/>
      <sheetName val="Server_Ratios14"/>
      <sheetName val="pcc_niigata14"/>
      <sheetName val="JAN_TRADE_14"/>
      <sheetName val="Interest_Rates14"/>
      <sheetName val="Variance_Report_Reorganized14"/>
      <sheetName val="account_name14"/>
      <sheetName val="Int__&amp;_Inv__Details14"/>
      <sheetName val="Summary_of_AR14"/>
      <sheetName val="Voc_1_VL14"/>
      <sheetName val="Voc_2_VL14"/>
      <sheetName val="SL_VOC14"/>
      <sheetName val="MFO_Lookup14"/>
      <sheetName val="Notes_to_Accounts14"/>
      <sheetName val="map-VENDOR_CODE14"/>
      <sheetName val="WEEKLY-BUD_INJECTION-BAG-TOTA14"/>
      <sheetName val="K513_(2)14"/>
      <sheetName val="Sheet1_(4)14"/>
      <sheetName val="Qry_AssetLocation_(2)14"/>
      <sheetName val="Sheet1_(3)14"/>
      <sheetName val="Sheet1_(2)14"/>
      <sheetName val="Income_Statement14"/>
      <sheetName val="US_Codes14"/>
      <sheetName val="SRP_FH14"/>
      <sheetName val="FC_switches14"/>
      <sheetName val="R5_-_PBC_2009_Opex_Schedule12"/>
      <sheetName val="R6_-Interim_PBC_2010_Opex_Sch12"/>
      <sheetName val="R9_-_Interim_Utilities_Exp_TO12"/>
      <sheetName val="R4_-_Interim_Operating_Expens12"/>
      <sheetName val="POSTED_ŁDJ12"/>
      <sheetName val="Specific_Question_Report12"/>
      <sheetName val="ExcavationWorks_Type_IV10"/>
      <sheetName val="_PAJE1112"/>
      <sheetName val="Schedule_E10"/>
      <sheetName val="Schedule_A_10"/>
      <sheetName val="Schedule_B10"/>
      <sheetName val="ACTUALSALARIES_AS_OF_050210"/>
      <sheetName val="ALL_FW-SOLIDS8"/>
      <sheetName val="A,B,C_Sales_Timing8"/>
      <sheetName val="1|_EWP8"/>
      <sheetName val="6|_NFS8"/>
      <sheetName val="Other_Investment8"/>
      <sheetName val="2201_-_Due_to_Media8"/>
      <sheetName val="VP_Lookup8"/>
      <sheetName val="FDC_FS_CY8"/>
      <sheetName val="FDC_TB_CY8"/>
      <sheetName val="Advertising_&amp;_Marketing8"/>
      <sheetName val="Miscellaneous_Expense8"/>
      <sheetName val="Need_Breakdown8"/>
      <sheetName val="|Needed_Documents8"/>
      <sheetName val="Store_Plan8"/>
      <sheetName val="REF_CODES8"/>
      <sheetName val="2015_Ropax_Sked8"/>
      <sheetName val="2015_Frt_Sked8"/>
      <sheetName val="2014_Sked8"/>
      <sheetName val="2014_Fuel_Prices8"/>
      <sheetName val="DAILY-BOXES_PACKED-ENTRY8"/>
      <sheetName val="co_108"/>
      <sheetName val="Annex_E8"/>
      <sheetName val="3_3_details8"/>
      <sheetName val="YTD_Pivots8"/>
      <sheetName val="trial_balance8"/>
      <sheetName val="Trnf_frm_ORE8"/>
      <sheetName val="POS_INV_97128"/>
      <sheetName val="pos_collection_timeliness8"/>
      <sheetName val="tor-int__expense15"/>
      <sheetName val="mcit_(sb)15"/>
      <sheetName val="ITR_RECON15"/>
      <sheetName val="financial_highlights15"/>
      <sheetName val="key_mgt_ratios15"/>
      <sheetName val="tax_recon15"/>
      <sheetName val="INCOME_TAX15"/>
      <sheetName val="notes_updated15"/>
      <sheetName val="POSTED_ADJ15"/>
      <sheetName val="RF_RE15"/>
      <sheetName val="PASSED_ADJ15"/>
      <sheetName val="analytic_review15"/>
      <sheetName val="E-1l2_memo15"/>
      <sheetName val="N_memo15"/>
      <sheetName val="U-2l3_memo15"/>
      <sheetName val="FOREX_(2)15"/>
      <sheetName val="LIAB_SHE15"/>
      <sheetName val="list_of_pend_8_25_0315"/>
      <sheetName val="specific_i_d_15"/>
      <sheetName val="list_of_pend_9_1_0315"/>
      <sheetName val="RE_recon15"/>
      <sheetName val="wbs_fsa15"/>
      <sheetName val="Significant_Processes15"/>
      <sheetName val="2006-3_Asia_Reimb15"/>
      <sheetName val="Bertha_Yuen15"/>
      <sheetName val="David_Schaefer15"/>
      <sheetName val="Elise_Lai15"/>
      <sheetName val="Guy_Fulton15"/>
      <sheetName val="Howard_Zhang15"/>
      <sheetName val="Juno_Hwang15"/>
      <sheetName val="Kate_B15"/>
      <sheetName val="Leo_Chen15"/>
      <sheetName val="Marco_Ho15"/>
      <sheetName val="Pius_Ho15"/>
      <sheetName val="Ravi_Hansoty15"/>
      <sheetName val="Sarina_Chau15"/>
      <sheetName val="Suresh_M15"/>
      <sheetName val="Week_115"/>
      <sheetName val="Week_215"/>
      <sheetName val="Week_315"/>
      <sheetName val="Week_415"/>
      <sheetName val="Week_515"/>
      <sheetName val="Profit_&amp;_Loss15"/>
      <sheetName val="Quezon_Ave15"/>
      <sheetName val="99_FM_-_NFM15"/>
      <sheetName val="Std_Time_A15"/>
      <sheetName val="Aug_Dump15"/>
      <sheetName val="SAP_Extract15"/>
      <sheetName val="Stock_Div_Accural15"/>
      <sheetName val="09_30_03_Recon15"/>
      <sheetName val="FA_Movement15"/>
      <sheetName val="2-cash_CRAM15"/>
      <sheetName val="NL290_WGACC_&amp;_DEHYDR_15"/>
      <sheetName val="2-2022_AP_SUBS15"/>
      <sheetName val="translist_(2)15"/>
      <sheetName val="Foreign_Details15"/>
      <sheetName val="gà_15"/>
      <sheetName val="outside_services,_gen_&amp;_bus_e15"/>
      <sheetName val="Input_SFR15"/>
      <sheetName val="Server_Ratios15"/>
      <sheetName val="pcc_niigata15"/>
      <sheetName val="JAN_TRADE_15"/>
      <sheetName val="Interest_Rates15"/>
      <sheetName val="Variance_Report_Reorganized15"/>
      <sheetName val="Voc_1_VL15"/>
      <sheetName val="Voc_2_VL15"/>
      <sheetName val="SL_VOC15"/>
      <sheetName val="account_name15"/>
      <sheetName val="Summary_of_AR15"/>
      <sheetName val="MFO_Lookup15"/>
      <sheetName val="Int__&amp;_Inv__Details15"/>
      <sheetName val="Notes_to_Accounts15"/>
      <sheetName val="map-VENDOR_CODE15"/>
      <sheetName val="WEEKLY-BUD_INJECTION-BAG-TOTA15"/>
      <sheetName val="K513_(2)15"/>
      <sheetName val="Sheet1_(4)15"/>
      <sheetName val="Qry_AssetLocation_(2)15"/>
      <sheetName val="Sheet1_(3)15"/>
      <sheetName val="Sheet1_(2)15"/>
      <sheetName val="Income_Statement15"/>
      <sheetName val="US_Codes15"/>
      <sheetName val="SRP_FH15"/>
      <sheetName val="FC_switches15"/>
      <sheetName val="Schedule_E11"/>
      <sheetName val="Schedule_A_11"/>
      <sheetName val="Schedule_B11"/>
      <sheetName val="R5_-_PBC_2009_Opex_Schedule13"/>
      <sheetName val="R6_-Interim_PBC_2010_Opex_Sch13"/>
      <sheetName val="R9_-_Interim_Utilities_Exp_TO13"/>
      <sheetName val="R4_-_Interim_Operating_Expens13"/>
      <sheetName val="Specific_Question_Report13"/>
      <sheetName val="POSTED_ŁDJ13"/>
      <sheetName val="ALL_FW-SOLIDS9"/>
      <sheetName val="A,B,C_Sales_Timing9"/>
      <sheetName val="_PAJE1113"/>
      <sheetName val="ExcavationWorks_Type_IV11"/>
      <sheetName val="1|_EWP9"/>
      <sheetName val="6|_NFS9"/>
      <sheetName val="ACTUALSALARIES_AS_OF_050211"/>
      <sheetName val="Other_Investment9"/>
      <sheetName val="2201_-_Due_to_Media9"/>
      <sheetName val="VP_Lookup9"/>
      <sheetName val="FDC_FS_CY9"/>
      <sheetName val="FDC_TB_CY9"/>
      <sheetName val="Advertising_&amp;_Marketing9"/>
      <sheetName val="Miscellaneous_Expense9"/>
      <sheetName val="Need_Breakdown9"/>
      <sheetName val="|Needed_Documents9"/>
      <sheetName val="Store_Plan9"/>
      <sheetName val="REF_CODES9"/>
      <sheetName val="2015_Ropax_Sked9"/>
      <sheetName val="2015_Frt_Sked9"/>
      <sheetName val="2014_Sked9"/>
      <sheetName val="2014_Fuel_Prices9"/>
      <sheetName val="DAILY-BOXES_PACKED-ENTRY9"/>
      <sheetName val="co_109"/>
      <sheetName val="Annex_E9"/>
      <sheetName val="3_3_details9"/>
      <sheetName val="YTD_Pivots9"/>
      <sheetName val="trial_balance9"/>
      <sheetName val="Trnf_frm_ORE9"/>
      <sheetName val="POS_INV_97129"/>
      <sheetName val="pos_collection_timeliness9"/>
      <sheetName val="tor-int__expense17"/>
      <sheetName val="mcit_(sb)17"/>
      <sheetName val="ITR_RECON17"/>
      <sheetName val="financial_highlights17"/>
      <sheetName val="key_mgt_ratios17"/>
      <sheetName val="tax_recon17"/>
      <sheetName val="INCOME_TAX17"/>
      <sheetName val="notes_updated17"/>
      <sheetName val="POSTED_ADJ17"/>
      <sheetName val="RF_RE17"/>
      <sheetName val="PASSED_ADJ17"/>
      <sheetName val="analytic_review17"/>
      <sheetName val="E-1l2_memo17"/>
      <sheetName val="N_memo17"/>
      <sheetName val="U-2l3_memo17"/>
      <sheetName val="FOREX_(2)17"/>
      <sheetName val="LIAB_SHE17"/>
      <sheetName val="list_of_pend_8_25_0317"/>
      <sheetName val="specific_i_d_17"/>
      <sheetName val="list_of_pend_9_1_0317"/>
      <sheetName val="RE_recon17"/>
      <sheetName val="wbs_fsa17"/>
      <sheetName val="Significant_Processes17"/>
      <sheetName val="2006-3_Asia_Reimb17"/>
      <sheetName val="Bertha_Yuen17"/>
      <sheetName val="David_Schaefer17"/>
      <sheetName val="Elise_Lai17"/>
      <sheetName val="Guy_Fulton17"/>
      <sheetName val="Howard_Zhang17"/>
      <sheetName val="Juno_Hwang17"/>
      <sheetName val="Kate_B17"/>
      <sheetName val="Leo_Chen17"/>
      <sheetName val="Marco_Ho17"/>
      <sheetName val="Pius_Ho17"/>
      <sheetName val="Ravi_Hansoty17"/>
      <sheetName val="Sarina_Chau17"/>
      <sheetName val="Suresh_M17"/>
      <sheetName val="Week_117"/>
      <sheetName val="Week_217"/>
      <sheetName val="Week_317"/>
      <sheetName val="Week_417"/>
      <sheetName val="Week_517"/>
      <sheetName val="Profit_&amp;_Loss17"/>
      <sheetName val="Quezon_Ave17"/>
      <sheetName val="99_FM_-_NFM17"/>
      <sheetName val="Std_Time_A17"/>
      <sheetName val="Aug_Dump17"/>
      <sheetName val="SAP_Extract17"/>
      <sheetName val="Stock_Div_Accural17"/>
      <sheetName val="09_30_03_Recon17"/>
      <sheetName val="FA_Movement17"/>
      <sheetName val="2-cash_CRAM17"/>
      <sheetName val="NL290_WGACC_&amp;_DEHYDR_17"/>
      <sheetName val="2-2022_AP_SUBS17"/>
      <sheetName val="translist_(2)17"/>
      <sheetName val="Foreign_Details17"/>
      <sheetName val="gà_17"/>
      <sheetName val="outside_services,_gen_&amp;_bus_e17"/>
      <sheetName val="Input_SFR17"/>
      <sheetName val="Server_Ratios17"/>
      <sheetName val="pcc_niigata17"/>
      <sheetName val="JAN_TRADE_17"/>
      <sheetName val="Interest_Rates17"/>
      <sheetName val="Variance_Report_Reorganized17"/>
      <sheetName val="Voc_1_VL17"/>
      <sheetName val="Voc_2_VL17"/>
      <sheetName val="SL_VOC17"/>
      <sheetName val="account_name17"/>
      <sheetName val="Summary_of_AR17"/>
      <sheetName val="MFO_Lookup17"/>
      <sheetName val="Int__&amp;_Inv__Details17"/>
      <sheetName val="Notes_to_Accounts17"/>
      <sheetName val="map-VENDOR_CODE17"/>
      <sheetName val="WEEKLY-BUD_INJECTION-BAG-TOTA17"/>
      <sheetName val="K513_(2)17"/>
      <sheetName val="Sheet1_(4)17"/>
      <sheetName val="Qry_AssetLocation_(2)17"/>
      <sheetName val="Sheet1_(3)17"/>
      <sheetName val="Sheet1_(2)17"/>
      <sheetName val="Income_Statement17"/>
      <sheetName val="US_Codes17"/>
      <sheetName val="SRP_FH17"/>
      <sheetName val="FC_switches17"/>
      <sheetName val="R5_-_PBC_2009_Opex_Schedule15"/>
      <sheetName val="R6_-Interim_PBC_2010_Opex_Sch15"/>
      <sheetName val="R9_-_Interim_Utilities_Exp_TO15"/>
      <sheetName val="R4_-_Interim_Operating_Expens15"/>
      <sheetName val="POSTED_ŁDJ15"/>
      <sheetName val="Specific_Question_Report15"/>
      <sheetName val="ExcavationWorks_Type_IV13"/>
      <sheetName val="_PAJE1115"/>
      <sheetName val="Schedule_E13"/>
      <sheetName val="Schedule_A_13"/>
      <sheetName val="Schedule_B13"/>
      <sheetName val="ACTUALSALARIES_AS_OF_050213"/>
      <sheetName val="ALL_FW-SOLIDS11"/>
      <sheetName val="A,B,C_Sales_Timing11"/>
      <sheetName val="1|_EWP11"/>
      <sheetName val="6|_NFS11"/>
      <sheetName val="Other_Investment11"/>
      <sheetName val="2201_-_Due_to_Media11"/>
      <sheetName val="VP_Lookup11"/>
      <sheetName val="FDC_FS_CY11"/>
      <sheetName val="FDC_TB_CY11"/>
      <sheetName val="Advertising_&amp;_Marketing11"/>
      <sheetName val="Miscellaneous_Expense11"/>
      <sheetName val="Need_Breakdown11"/>
      <sheetName val="|Needed_Documents11"/>
      <sheetName val="Store_Plan11"/>
      <sheetName val="REF_CODES11"/>
      <sheetName val="2015_Ropax_Sked11"/>
      <sheetName val="2015_Frt_Sked11"/>
      <sheetName val="2014_Sked11"/>
      <sheetName val="2014_Fuel_Prices11"/>
      <sheetName val="DAILY-BOXES_PACKED-ENTRY11"/>
      <sheetName val="co_1011"/>
      <sheetName val="Annex_E11"/>
      <sheetName val="3_3_details11"/>
      <sheetName val="YTD_Pivots11"/>
      <sheetName val="trial_balance11"/>
      <sheetName val="Trnf_frm_ORE11"/>
      <sheetName val="POS_INV_971211"/>
      <sheetName val="pos_collection_timeliness11"/>
      <sheetName val="tor-int__expense16"/>
      <sheetName val="mcit_(sb)16"/>
      <sheetName val="ITR_RECON16"/>
      <sheetName val="financial_highlights16"/>
      <sheetName val="key_mgt_ratios16"/>
      <sheetName val="tax_recon16"/>
      <sheetName val="INCOME_TAX16"/>
      <sheetName val="notes_updated16"/>
      <sheetName val="POSTED_ADJ16"/>
      <sheetName val="RF_RE16"/>
      <sheetName val="PASSED_ADJ16"/>
      <sheetName val="analytic_review16"/>
      <sheetName val="E-1l2_memo16"/>
      <sheetName val="N_memo16"/>
      <sheetName val="U-2l3_memo16"/>
      <sheetName val="FOREX_(2)16"/>
      <sheetName val="LIAB_SHE16"/>
      <sheetName val="list_of_pend_8_25_0316"/>
      <sheetName val="specific_i_d_16"/>
      <sheetName val="list_of_pend_9_1_0316"/>
      <sheetName val="RE_recon16"/>
      <sheetName val="wbs_fsa16"/>
      <sheetName val="Significant_Processes16"/>
      <sheetName val="2006-3_Asia_Reimb16"/>
      <sheetName val="Bertha_Yuen16"/>
      <sheetName val="David_Schaefer16"/>
      <sheetName val="Elise_Lai16"/>
      <sheetName val="Guy_Fulton16"/>
      <sheetName val="Howard_Zhang16"/>
      <sheetName val="Juno_Hwang16"/>
      <sheetName val="Kate_B16"/>
      <sheetName val="Leo_Chen16"/>
      <sheetName val="Marco_Ho16"/>
      <sheetName val="Pius_Ho16"/>
      <sheetName val="Ravi_Hansoty16"/>
      <sheetName val="Sarina_Chau16"/>
      <sheetName val="Suresh_M16"/>
      <sheetName val="Week_116"/>
      <sheetName val="Week_216"/>
      <sheetName val="Week_316"/>
      <sheetName val="Week_416"/>
      <sheetName val="Week_516"/>
      <sheetName val="Profit_&amp;_Loss16"/>
      <sheetName val="Quezon_Ave16"/>
      <sheetName val="99_FM_-_NFM16"/>
      <sheetName val="Std_Time_A16"/>
      <sheetName val="Aug_Dump16"/>
      <sheetName val="SAP_Extract16"/>
      <sheetName val="Stock_Div_Accural16"/>
      <sheetName val="09_30_03_Recon16"/>
      <sheetName val="FA_Movement16"/>
      <sheetName val="2-cash_CRAM16"/>
      <sheetName val="NL290_WGACC_&amp;_DEHYDR_16"/>
      <sheetName val="2-2022_AP_SUBS16"/>
      <sheetName val="translist_(2)16"/>
      <sheetName val="Foreign_Details16"/>
      <sheetName val="gà_16"/>
      <sheetName val="outside_services,_gen_&amp;_bus_e16"/>
      <sheetName val="Input_SFR16"/>
      <sheetName val="Server_Ratios16"/>
      <sheetName val="pcc_niigata16"/>
      <sheetName val="JAN_TRADE_16"/>
      <sheetName val="Interest_Rates16"/>
      <sheetName val="Variance_Report_Reorganized16"/>
      <sheetName val="Voc_1_VL16"/>
      <sheetName val="Voc_2_VL16"/>
      <sheetName val="SL_VOC16"/>
      <sheetName val="account_name16"/>
      <sheetName val="Summary_of_AR16"/>
      <sheetName val="MFO_Lookup16"/>
      <sheetName val="Int__&amp;_Inv__Details16"/>
      <sheetName val="Notes_to_Accounts16"/>
      <sheetName val="map-VENDOR_CODE16"/>
      <sheetName val="WEEKLY-BUD_INJECTION-BAG-TOTA16"/>
      <sheetName val="K513_(2)16"/>
      <sheetName val="Sheet1_(4)16"/>
      <sheetName val="Qry_AssetLocation_(2)16"/>
      <sheetName val="Sheet1_(3)16"/>
      <sheetName val="Sheet1_(2)16"/>
      <sheetName val="Income_Statement16"/>
      <sheetName val="US_Codes16"/>
      <sheetName val="SRP_FH16"/>
      <sheetName val="FC_switches16"/>
      <sheetName val="R5_-_PBC_2009_Opex_Schedule14"/>
      <sheetName val="R6_-Interim_PBC_2010_Opex_Sch14"/>
      <sheetName val="R9_-_Interim_Utilities_Exp_TO14"/>
      <sheetName val="R4_-_Interim_Operating_Expens14"/>
      <sheetName val="POSTED_ŁDJ14"/>
      <sheetName val="Specific_Question_Report14"/>
      <sheetName val="ExcavationWorks_Type_IV12"/>
      <sheetName val="_PAJE1114"/>
      <sheetName val="Schedule_E12"/>
      <sheetName val="Schedule_A_12"/>
      <sheetName val="Schedule_B12"/>
      <sheetName val="ACTUALSALARIES_AS_OF_050212"/>
      <sheetName val="ALL_FW-SOLIDS10"/>
      <sheetName val="A,B,C_Sales_Timing10"/>
      <sheetName val="1|_EWP10"/>
      <sheetName val="6|_NFS10"/>
      <sheetName val="Other_Investment10"/>
      <sheetName val="2201_-_Due_to_Media10"/>
      <sheetName val="VP_Lookup10"/>
      <sheetName val="FDC_FS_CY10"/>
      <sheetName val="FDC_TB_CY10"/>
      <sheetName val="Advertising_&amp;_Marketing10"/>
      <sheetName val="Miscellaneous_Expense10"/>
      <sheetName val="Need_Breakdown10"/>
      <sheetName val="|Needed_Documents10"/>
      <sheetName val="Store_Plan10"/>
      <sheetName val="REF_CODES10"/>
      <sheetName val="2015_Ropax_Sked10"/>
      <sheetName val="2015_Frt_Sked10"/>
      <sheetName val="2014_Sked10"/>
      <sheetName val="2014_Fuel_Prices10"/>
      <sheetName val="DAILY-BOXES_PACKED-ENTRY10"/>
      <sheetName val="co_1010"/>
      <sheetName val="Annex_E10"/>
      <sheetName val="3_3_details10"/>
      <sheetName val="YTD_Pivots10"/>
      <sheetName val="trial_balance10"/>
      <sheetName val="Trnf_frm_ORE10"/>
      <sheetName val="POS_INV_971210"/>
      <sheetName val="pos_collection_timeliness10"/>
      <sheetName val="tor-int__expense18"/>
      <sheetName val="mcit_(sb)18"/>
      <sheetName val="ITR_RECON18"/>
      <sheetName val="financial_highlights18"/>
      <sheetName val="key_mgt_ratios18"/>
      <sheetName val="tax_recon18"/>
      <sheetName val="INCOME_TAX18"/>
      <sheetName val="notes_updated18"/>
      <sheetName val="POSTED_ADJ18"/>
      <sheetName val="RF_RE18"/>
      <sheetName val="PASSED_ADJ18"/>
      <sheetName val="analytic_review18"/>
      <sheetName val="E-1l2_memo18"/>
      <sheetName val="N_memo18"/>
      <sheetName val="U-2l3_memo18"/>
      <sheetName val="FOREX_(2)18"/>
      <sheetName val="LIAB_SHE18"/>
      <sheetName val="list_of_pend_8_25_0318"/>
      <sheetName val="specific_i_d_18"/>
      <sheetName val="list_of_pend_9_1_0318"/>
      <sheetName val="RE_recon18"/>
      <sheetName val="wbs_fsa18"/>
      <sheetName val="Significant_Processes18"/>
      <sheetName val="2006-3_Asia_Reimb18"/>
      <sheetName val="Bertha_Yuen18"/>
      <sheetName val="David_Schaefer18"/>
      <sheetName val="Elise_Lai18"/>
      <sheetName val="Guy_Fulton18"/>
      <sheetName val="Howard_Zhang18"/>
      <sheetName val="Juno_Hwang18"/>
      <sheetName val="Kate_B18"/>
      <sheetName val="Leo_Chen18"/>
      <sheetName val="Marco_Ho18"/>
      <sheetName val="Pius_Ho18"/>
      <sheetName val="Ravi_Hansoty18"/>
      <sheetName val="Sarina_Chau18"/>
      <sheetName val="Suresh_M18"/>
      <sheetName val="Week_118"/>
      <sheetName val="Week_218"/>
      <sheetName val="Week_318"/>
      <sheetName val="Week_418"/>
      <sheetName val="Week_518"/>
      <sheetName val="Profit_&amp;_Loss18"/>
      <sheetName val="Quezon_Ave18"/>
      <sheetName val="99_FM_-_NFM18"/>
      <sheetName val="Std_Time_A18"/>
      <sheetName val="Aug_Dump18"/>
      <sheetName val="SAP_Extract18"/>
      <sheetName val="Stock_Div_Accural18"/>
      <sheetName val="09_30_03_Recon18"/>
      <sheetName val="FA_Movement18"/>
      <sheetName val="2-cash_CRAM18"/>
      <sheetName val="NL290_WGACC_&amp;_DEHYDR_18"/>
      <sheetName val="2-2022_AP_SUBS18"/>
      <sheetName val="translist_(2)18"/>
      <sheetName val="Foreign_Details18"/>
      <sheetName val="gà_18"/>
      <sheetName val="outside_services,_gen_&amp;_bus_e18"/>
      <sheetName val="Input_SFR18"/>
      <sheetName val="Server_Ratios18"/>
      <sheetName val="pcc_niigata18"/>
      <sheetName val="JAN_TRADE_18"/>
      <sheetName val="Interest_Rates18"/>
      <sheetName val="Variance_Report_Reorganized18"/>
      <sheetName val="Voc_1_VL18"/>
      <sheetName val="Voc_2_VL18"/>
      <sheetName val="SL_VOC18"/>
      <sheetName val="account_name18"/>
      <sheetName val="Summary_of_AR18"/>
      <sheetName val="MFO_Lookup18"/>
      <sheetName val="Int__&amp;_Inv__Details18"/>
      <sheetName val="Notes_to_Accounts18"/>
      <sheetName val="map-VENDOR_CODE18"/>
      <sheetName val="WEEKLY-BUD_INJECTION-BAG-TOTA18"/>
      <sheetName val="K513_(2)18"/>
      <sheetName val="Sheet1_(4)18"/>
      <sheetName val="Qry_AssetLocation_(2)18"/>
      <sheetName val="Sheet1_(3)18"/>
      <sheetName val="Sheet1_(2)18"/>
      <sheetName val="Income_Statement18"/>
      <sheetName val="US_Codes18"/>
      <sheetName val="SRP_FH18"/>
      <sheetName val="FC_switches18"/>
      <sheetName val="R5_-_PBC_2009_Opex_Schedule16"/>
      <sheetName val="R6_-Interim_PBC_2010_Opex_Sch16"/>
      <sheetName val="R9_-_Interim_Utilities_Exp_TO16"/>
      <sheetName val="R4_-_Interim_Operating_Expens16"/>
      <sheetName val="POSTED_ŁDJ16"/>
      <sheetName val="Specific_Question_Report16"/>
      <sheetName val="ExcavationWorks_Type_IV14"/>
      <sheetName val="_PAJE1116"/>
      <sheetName val="Schedule_E14"/>
      <sheetName val="Schedule_A_14"/>
      <sheetName val="Schedule_B14"/>
      <sheetName val="ACTUALSALARIES_AS_OF_050214"/>
      <sheetName val="ALL_FW-SOLIDS12"/>
      <sheetName val="A,B,C_Sales_Timing12"/>
      <sheetName val="1|_EWP12"/>
      <sheetName val="6|_NFS12"/>
      <sheetName val="Other_Investment12"/>
      <sheetName val="2201_-_Due_to_Media12"/>
      <sheetName val="VP_Lookup12"/>
      <sheetName val="FDC_FS_CY12"/>
      <sheetName val="FDC_TB_CY12"/>
      <sheetName val="Advertising_&amp;_Marketing12"/>
      <sheetName val="Miscellaneous_Expense12"/>
      <sheetName val="Need_Breakdown12"/>
      <sheetName val="|Needed_Documents12"/>
      <sheetName val="Store_Plan12"/>
      <sheetName val="REF_CODES12"/>
      <sheetName val="2015_Ropax_Sked12"/>
      <sheetName val="2015_Frt_Sked12"/>
      <sheetName val="2014_Sked12"/>
      <sheetName val="2014_Fuel_Prices12"/>
      <sheetName val="DAILY-BOXES_PACKED-ENTRY12"/>
      <sheetName val="co_1012"/>
      <sheetName val="Annex_E12"/>
      <sheetName val="3_3_details12"/>
      <sheetName val="YTD_Pivots12"/>
      <sheetName val="trial_balance12"/>
      <sheetName val="Trnf_frm_ORE12"/>
      <sheetName val="POS_INV_971212"/>
      <sheetName val="pos_collection_timeliness12"/>
      <sheetName val="Int__&amp;_Inv__DetailX"/>
      <sheetName val="Int__&amp;_Inv__Detail¬"/>
      <sheetName val="FF-2"/>
      <sheetName val="Qry_AssetLocation_(2¸"/>
      <sheetName val="Qry_AssetLocation_(2"/>
      <sheetName val="Qry_AssetLocation_(2_x0005_"/>
      <sheetName val="Qry_AssetLocation_(2þ"/>
      <sheetName val="Overview (100)"/>
      <sheetName val="STATEMENT OF EXP. &amp; HO ACCOUNT"/>
      <sheetName val="ClaireMde_Glass1"/>
      <sheetName val="Claire_Mde_Plastics1"/>
      <sheetName val="Prem_EIR1"/>
      <sheetName val="INCOME_TAX_021"/>
      <sheetName val="SOC_forDomestic_Subsi1"/>
      <sheetName val="CAN_COST_SUMMARY1"/>
      <sheetName val="Net_Trans_Sum1"/>
      <sheetName val="PAJE_13_Support1"/>
      <sheetName val="Codes-Do_not_delete1"/>
      <sheetName val="Form_1001"/>
      <sheetName val="RC_Code1"/>
      <sheetName val="1-Test_of_Details1"/>
      <sheetName val="Consideration_Illustration1"/>
      <sheetName val="Currency_Converter2"/>
      <sheetName val="Determination_of_Threshold2"/>
      <sheetName val="sales_and_expenses_summary2"/>
      <sheetName val="ME_20042"/>
      <sheetName val="Tax_Comp2"/>
      <sheetName val="Credit_Card2"/>
      <sheetName val="RU_Overview2"/>
      <sheetName val="ClaireMde_Glass2"/>
      <sheetName val="Claire_Mde_Plastics2"/>
      <sheetName val="Prem_EIR2"/>
      <sheetName val="INCOME_TAX_022"/>
      <sheetName val="SOC_forDomestic_Subsi2"/>
      <sheetName val="CAN_COST_SUMMARY2"/>
      <sheetName val="Net_Trans_Sum2"/>
      <sheetName val="PAJE_13_Support2"/>
      <sheetName val="Codes-Do_not_delete2"/>
      <sheetName val="Form_1002"/>
      <sheetName val="RC_Code2"/>
      <sheetName val="1-Test_of_Details2"/>
      <sheetName val="Consideration_Illustration2"/>
      <sheetName val="service charge"/>
      <sheetName val="nts_ar"/>
      <sheetName val="GAE Data Entry"/>
      <sheetName val="_ĢĢd_"/>
      <sheetName val="__x0010__ꂽ_x0004______________________x0000_倞"/>
      <sheetName val="Total Spend Per Category"/>
      <sheetName val="IncStat"/>
      <sheetName val="Guide"/>
      <sheetName val="Original_Andrew___Data1"/>
      <sheetName val="DATA_1"/>
      <sheetName val="PT_BS1"/>
      <sheetName val="tor-int__expense19"/>
      <sheetName val="mcit_(sb)19"/>
      <sheetName val="ITR_RECON19"/>
      <sheetName val="financial_highlights19"/>
      <sheetName val="key_mgt_ratios19"/>
      <sheetName val="tax_recon19"/>
      <sheetName val="INCOME_TAX19"/>
      <sheetName val="notes_updated19"/>
      <sheetName val="POSTED_ADJ19"/>
      <sheetName val="RF_RE19"/>
      <sheetName val="PASSED_ADJ19"/>
      <sheetName val="analytic_review19"/>
      <sheetName val="FOREX_(2)19"/>
      <sheetName val="LIAB_SHE19"/>
      <sheetName val="list_of_pend_8_25_0319"/>
      <sheetName val="specific_i_d_19"/>
      <sheetName val="list_of_pend_9_1_0319"/>
      <sheetName val="E-1l2_memo19"/>
      <sheetName val="N_memo19"/>
      <sheetName val="U-2l3_memo19"/>
      <sheetName val="2006-3_Asia_Reimb19"/>
      <sheetName val="Bertha_Yuen19"/>
      <sheetName val="David_Schaefer19"/>
      <sheetName val="Elise_Lai19"/>
      <sheetName val="Guy_Fulton19"/>
      <sheetName val="Howard_Zhang19"/>
      <sheetName val="Juno_Hwang19"/>
      <sheetName val="Kate_B19"/>
      <sheetName val="Leo_Chen19"/>
      <sheetName val="Marco_Ho19"/>
      <sheetName val="Pius_Ho19"/>
      <sheetName val="Ravi_Hansoty19"/>
      <sheetName val="Sarina_Chau19"/>
      <sheetName val="Suresh_M19"/>
      <sheetName val="Significant_Processes19"/>
      <sheetName val="Profit_&amp;_Loss19"/>
      <sheetName val="Quezon_Ave19"/>
      <sheetName val="Week_119"/>
      <sheetName val="Week_219"/>
      <sheetName val="Week_319"/>
      <sheetName val="Week_419"/>
      <sheetName val="Week_519"/>
      <sheetName val="RE_recon19"/>
      <sheetName val="wbs_fsa19"/>
      <sheetName val="99_FM_-_NFM19"/>
      <sheetName val="SAP_Extract19"/>
      <sheetName val="Stock_Div_Accural19"/>
      <sheetName val="Std_Time_A19"/>
      <sheetName val="Aug_Dump19"/>
      <sheetName val="translist_(2)19"/>
      <sheetName val="NL290_WGACC_&amp;_DEHYDR_19"/>
      <sheetName val="Foreign_Details19"/>
      <sheetName val="account_name19"/>
      <sheetName val="Variance_Report_Reorganized19"/>
      <sheetName val="gà_19"/>
      <sheetName val="Interest_Rates19"/>
      <sheetName val="09_30_03_Recon19"/>
      <sheetName val="FA_Movement19"/>
      <sheetName val="pcc_niigata19"/>
      <sheetName val="Voc_1_VL19"/>
      <sheetName val="Voc_2_VL19"/>
      <sheetName val="SL_VOC19"/>
      <sheetName val="outside_services,_gen_&amp;_bus_e19"/>
      <sheetName val="Input_SFR19"/>
      <sheetName val="Summary_of_AR19"/>
      <sheetName val="2-cash_CRAM19"/>
      <sheetName val="2-2022_AP_SUBS19"/>
      <sheetName val="JAN_TRADE_19"/>
      <sheetName val="MFO_Lookup19"/>
      <sheetName val="Server_Ratios19"/>
      <sheetName val="Notes_to_Accounts19"/>
      <sheetName val="Int__&amp;_Inv__Details19"/>
      <sheetName val="Income_Statement19"/>
      <sheetName val="map-VENDOR_CODE19"/>
      <sheetName val="WEEKLY-BUD_INJECTION-BAG-TOTA19"/>
      <sheetName val="K513_(2)19"/>
      <sheetName val="Sheet1_(4)19"/>
      <sheetName val="Qry_AssetLocation_(2)19"/>
      <sheetName val="Sheet1_(3)19"/>
      <sheetName val="Sheet1_(2)19"/>
      <sheetName val="US_Codes19"/>
      <sheetName val="Schedule_E15"/>
      <sheetName val="Schedule_A_15"/>
      <sheetName val="Schedule_B15"/>
      <sheetName val="SRP_FH19"/>
      <sheetName val="POSTED_ŁDJ17"/>
      <sheetName val="FC_switches19"/>
      <sheetName val="R5_-_PBC_2009_Opex_Schedule17"/>
      <sheetName val="R6_-Interim_PBC_2010_Opex_Sch17"/>
      <sheetName val="R9_-_Interim_Utilities_Exp_TO17"/>
      <sheetName val="R4_-_Interim_Operating_Expens17"/>
      <sheetName val="Specific_Question_Report17"/>
      <sheetName val="_PAJE1117"/>
      <sheetName val="DAILY-BOXES_PACKED-ENTRY13"/>
      <sheetName val="ExcavationWorks_Type_IV15"/>
      <sheetName val="ALL_FW-SOLIDS13"/>
      <sheetName val="A,B,C_Sales_Timing13"/>
      <sheetName val="Other_Investment13"/>
      <sheetName val="2201_-_Due_to_Media13"/>
      <sheetName val="ACTUALSALARIES_AS_OF_050215"/>
      <sheetName val="1|_EWP13"/>
      <sheetName val="6|_NFS13"/>
      <sheetName val="VP_Lookup13"/>
      <sheetName val="FDC_FS_CY13"/>
      <sheetName val="FDC_TB_CY13"/>
      <sheetName val="Advertising_&amp;_Marketing13"/>
      <sheetName val="Miscellaneous_Expense13"/>
      <sheetName val="Need_Breakdown13"/>
      <sheetName val="|Needed_Documents13"/>
      <sheetName val="2015_Ropax_Sked13"/>
      <sheetName val="2015_Frt_Sked13"/>
      <sheetName val="2014_Sked13"/>
      <sheetName val="2014_Fuel_Prices13"/>
      <sheetName val="REF_CODES13"/>
      <sheetName val="co_1013"/>
      <sheetName val="trial_balance13"/>
      <sheetName val="Trnf_frm_ORE13"/>
      <sheetName val="Annex_E13"/>
      <sheetName val="Store_Plan13"/>
      <sheetName val="ME_20043"/>
      <sheetName val="sales_and_expenses_summary3"/>
      <sheetName val="POS_INV_971213"/>
      <sheetName val="pos_collection_timeliness13"/>
      <sheetName val="3_3_details13"/>
      <sheetName val="YTD_Pivots13"/>
      <sheetName val="ClaireMde_Glass3"/>
      <sheetName val="Claire_Mde_Plastics3"/>
      <sheetName val="Credit_Card3"/>
      <sheetName val="Determination_of_Threshold3"/>
      <sheetName val="Currency_Converter3"/>
      <sheetName val="Tax_Comp3"/>
      <sheetName val="RU_Overview3"/>
      <sheetName val="Codes-Do_not_delete3"/>
      <sheetName val="Net_Trans_Sum3"/>
      <sheetName val="CAN_COST_SUMMARY3"/>
      <sheetName val="INCOME_TAX_023"/>
      <sheetName val="RC_Code3"/>
      <sheetName val="Form_1003"/>
      <sheetName val="SOC_forDomestic_Subsi3"/>
      <sheetName val="PAJE_13_Support3"/>
      <sheetName val="Prem_EIR3"/>
      <sheetName val="1-Test_of_Details3"/>
      <sheetName val="Consideration_Illustration3"/>
      <sheetName val="Original_Andrew___Data2"/>
      <sheetName val="DATA_2"/>
      <sheetName val="PT_BS2"/>
      <sheetName val="All_Expenses"/>
      <sheetName val="BAD_DEBTS_EXPENSE"/>
      <sheetName val="Qry_AssetLocation_(2"/>
      <sheetName val="Overview_(100)"/>
      <sheetName val="STATEMENT_OF_EXP__&amp;_HO_ACCOUNT"/>
      <sheetName val="service_charge"/>
      <sheetName val="GAE_Data_Entry"/>
      <sheetName val="__ꂽ____________________倞"/>
      <sheetName val="Total_Spend_Per_Category"/>
      <sheetName val="tor-int__expense20"/>
      <sheetName val="mcit_(sb)20"/>
      <sheetName val="ITR_RECON20"/>
      <sheetName val="financial_highlights20"/>
      <sheetName val="key_mgt_ratios20"/>
      <sheetName val="tax_recon20"/>
      <sheetName val="INCOME_TAX20"/>
      <sheetName val="notes_updated20"/>
      <sheetName val="POSTED_ADJ20"/>
      <sheetName val="RF_RE20"/>
      <sheetName val="PASSED_ADJ20"/>
      <sheetName val="analytic_review20"/>
      <sheetName val="FOREX_(2)20"/>
      <sheetName val="LIAB_SHE20"/>
      <sheetName val="list_of_pend_8_25_0320"/>
      <sheetName val="specific_i_d_20"/>
      <sheetName val="list_of_pend_9_1_0320"/>
      <sheetName val="E-1l2_memo20"/>
      <sheetName val="N_memo20"/>
      <sheetName val="U-2l3_memo20"/>
      <sheetName val="2006-3_Asia_Reimb20"/>
      <sheetName val="Bertha_Yuen20"/>
      <sheetName val="David_Schaefer20"/>
      <sheetName val="Elise_Lai20"/>
      <sheetName val="Guy_Fulton20"/>
      <sheetName val="Howard_Zhang20"/>
      <sheetName val="Juno_Hwang20"/>
      <sheetName val="Kate_B20"/>
      <sheetName val="Leo_Chen20"/>
      <sheetName val="Marco_Ho20"/>
      <sheetName val="Pius_Ho20"/>
      <sheetName val="Ravi_Hansoty20"/>
      <sheetName val="Sarina_Chau20"/>
      <sheetName val="Suresh_M20"/>
      <sheetName val="Significant_Processes20"/>
      <sheetName val="Profit_&amp;_Loss20"/>
      <sheetName val="Quezon_Ave20"/>
      <sheetName val="Week_120"/>
      <sheetName val="Week_220"/>
      <sheetName val="Week_320"/>
      <sheetName val="Week_420"/>
      <sheetName val="Week_520"/>
      <sheetName val="RE_recon20"/>
      <sheetName val="wbs_fsa20"/>
      <sheetName val="99_FM_-_NFM20"/>
      <sheetName val="SAP_Extract20"/>
      <sheetName val="Stock_Div_Accural20"/>
      <sheetName val="Std_Time_A20"/>
      <sheetName val="Aug_Dump20"/>
      <sheetName val="translist_(2)20"/>
      <sheetName val="NL290_WGACC_&amp;_DEHYDR_20"/>
      <sheetName val="Foreign_Details20"/>
      <sheetName val="account_name20"/>
      <sheetName val="Variance_Report_Reorganized20"/>
      <sheetName val="gà_20"/>
      <sheetName val="Interest_Rates20"/>
      <sheetName val="09_30_03_Recon20"/>
      <sheetName val="FA_Movement20"/>
      <sheetName val="pcc_niigata20"/>
      <sheetName val="Voc_1_VL20"/>
      <sheetName val="Voc_2_VL20"/>
      <sheetName val="SL_VOC20"/>
      <sheetName val="outside_services,_gen_&amp;_bus_e20"/>
      <sheetName val="Input_SFR20"/>
      <sheetName val="Summary_of_AR20"/>
      <sheetName val="2-cash_CRAM20"/>
      <sheetName val="2-2022_AP_SUBS20"/>
      <sheetName val="JAN_TRADE_20"/>
      <sheetName val="MFO_Lookup20"/>
      <sheetName val="Server_Ratios20"/>
      <sheetName val="Notes_to_Accounts20"/>
      <sheetName val="Int__&amp;_Inv__Details20"/>
      <sheetName val="Income_Statement20"/>
      <sheetName val="map-VENDOR_CODE20"/>
      <sheetName val="WEEKLY-BUD_INJECTION-BAG-TOTA20"/>
      <sheetName val="K513_(2)20"/>
      <sheetName val="Sheet1_(4)20"/>
      <sheetName val="Qry_AssetLocation_(2)20"/>
      <sheetName val="Sheet1_(3)20"/>
      <sheetName val="Sheet1_(2)20"/>
      <sheetName val="US_Codes20"/>
      <sheetName val="Schedule_E16"/>
      <sheetName val="Schedule_A_16"/>
      <sheetName val="Schedule_B16"/>
      <sheetName val="SRP_FH20"/>
      <sheetName val="POSTED_ŁDJ18"/>
      <sheetName val="FC_switches20"/>
      <sheetName val="R5_-_PBC_2009_Opex_Schedule18"/>
      <sheetName val="R6_-Interim_PBC_2010_Opex_Sch18"/>
      <sheetName val="R9_-_Interim_Utilities_Exp_TO18"/>
      <sheetName val="R4_-_Interim_Operating_Expens18"/>
      <sheetName val="Specific_Question_Report18"/>
      <sheetName val="_PAJE1118"/>
      <sheetName val="DAILY-BOXES_PACKED-ENTRY14"/>
      <sheetName val="ExcavationWorks_Type_IV16"/>
      <sheetName val="ALL_FW-SOLIDS14"/>
      <sheetName val="A,B,C_Sales_Timing14"/>
      <sheetName val="Other_Investment14"/>
      <sheetName val="2201_-_Due_to_Media14"/>
      <sheetName val="ACTUALSALARIES_AS_OF_050216"/>
      <sheetName val="1|_EWP14"/>
      <sheetName val="6|_NFS14"/>
      <sheetName val="VP_Lookup14"/>
      <sheetName val="FDC_FS_CY14"/>
      <sheetName val="FDC_TB_CY14"/>
      <sheetName val="Advertising_&amp;_Marketing14"/>
      <sheetName val="Miscellaneous_Expense14"/>
      <sheetName val="Need_Breakdown14"/>
      <sheetName val="|Needed_Documents14"/>
      <sheetName val="2015_Ropax_Sked14"/>
      <sheetName val="2015_Frt_Sked14"/>
      <sheetName val="2014_Sked14"/>
      <sheetName val="2014_Fuel_Prices14"/>
      <sheetName val="REF_CODES14"/>
      <sheetName val="co_1014"/>
      <sheetName val="trial_balance14"/>
      <sheetName val="Trnf_frm_ORE14"/>
      <sheetName val="Annex_E14"/>
      <sheetName val="Store_Plan14"/>
      <sheetName val="ME_20044"/>
      <sheetName val="sales_and_expenses_summary4"/>
      <sheetName val="POS_INV_971214"/>
      <sheetName val="pos_collection_timeliness14"/>
      <sheetName val="3_3_details14"/>
      <sheetName val="YTD_Pivots14"/>
      <sheetName val="ClaireMde_Glass4"/>
      <sheetName val="Claire_Mde_Plastics4"/>
      <sheetName val="Credit_Card4"/>
      <sheetName val="Determination_of_Threshold4"/>
      <sheetName val="Currency_Converter4"/>
      <sheetName val="Tax_Comp4"/>
      <sheetName val="RU_Overview4"/>
      <sheetName val="Codes-Do_not_delete4"/>
      <sheetName val="Net_Trans_Sum4"/>
      <sheetName val="CAN_COST_SUMMARY4"/>
      <sheetName val="INCOME_TAX_024"/>
      <sheetName val="RC_Code4"/>
      <sheetName val="Form_1004"/>
      <sheetName val="SOC_forDomestic_Subsi4"/>
      <sheetName val="PAJE_13_Support4"/>
      <sheetName val="Prem_EIR4"/>
      <sheetName val="1-Test_of_Details4"/>
      <sheetName val="Consideration_Illustration4"/>
      <sheetName val="Original_Andrew___Data3"/>
      <sheetName val="DATA_3"/>
      <sheetName val="PT_BS3"/>
      <sheetName val="All_Expenses1"/>
      <sheetName val="BAD_DEBTS_EXPENSE1"/>
      <sheetName val="Overview_(100)1"/>
      <sheetName val="STATEMENT_OF_EXP__&amp;_HO_ACCOUNT1"/>
      <sheetName val="service_charge1"/>
      <sheetName val="GAE_Data_Entry1"/>
      <sheetName val="Total_Spend_Per_Category1"/>
      <sheetName val="tor-int__expense21"/>
      <sheetName val="mcit_(sb)21"/>
      <sheetName val="ITR_RECON21"/>
      <sheetName val="financial_highlights21"/>
      <sheetName val="key_mgt_ratios21"/>
      <sheetName val="tax_recon21"/>
      <sheetName val="INCOME_TAX21"/>
      <sheetName val="notes_updated21"/>
      <sheetName val="POSTED_ADJ21"/>
      <sheetName val="RF_RE21"/>
      <sheetName val="PASSED_ADJ21"/>
      <sheetName val="analytic_review21"/>
      <sheetName val="FOREX_(2)21"/>
      <sheetName val="LIAB_SHE21"/>
      <sheetName val="list_of_pend_8_25_0321"/>
      <sheetName val="specific_i_d_21"/>
      <sheetName val="list_of_pend_9_1_0321"/>
      <sheetName val="E-1l2_memo21"/>
      <sheetName val="N_memo21"/>
      <sheetName val="U-2l3_memo21"/>
      <sheetName val="2006-3_Asia_Reimb21"/>
      <sheetName val="Bertha_Yuen21"/>
      <sheetName val="David_Schaefer21"/>
      <sheetName val="Elise_Lai21"/>
      <sheetName val="Guy_Fulton21"/>
      <sheetName val="Howard_Zhang21"/>
      <sheetName val="Juno_Hwang21"/>
      <sheetName val="Kate_B21"/>
      <sheetName val="Leo_Chen21"/>
      <sheetName val="Marco_Ho21"/>
      <sheetName val="Pius_Ho21"/>
      <sheetName val="Ravi_Hansoty21"/>
      <sheetName val="Sarina_Chau21"/>
      <sheetName val="Suresh_M21"/>
      <sheetName val="Significant_Processes21"/>
      <sheetName val="Profit_&amp;_Loss21"/>
      <sheetName val="Quezon_Ave21"/>
      <sheetName val="Week_121"/>
      <sheetName val="Week_221"/>
      <sheetName val="Week_321"/>
      <sheetName val="Week_421"/>
      <sheetName val="Week_521"/>
      <sheetName val="RE_recon21"/>
      <sheetName val="wbs_fsa21"/>
      <sheetName val="99_FM_-_NFM21"/>
      <sheetName val="SAP_Extract21"/>
      <sheetName val="Stock_Div_Accural21"/>
      <sheetName val="Std_Time_A21"/>
      <sheetName val="Aug_Dump21"/>
      <sheetName val="translist_(2)21"/>
      <sheetName val="NL290_WGACC_&amp;_DEHYDR_21"/>
      <sheetName val="Foreign_Details21"/>
      <sheetName val="account_name21"/>
      <sheetName val="Variance_Report_Reorganized21"/>
      <sheetName val="gà_21"/>
      <sheetName val="Interest_Rates21"/>
      <sheetName val="09_30_03_Recon21"/>
      <sheetName val="FA_Movement21"/>
      <sheetName val="pcc_niigata21"/>
      <sheetName val="Voc_1_VL21"/>
      <sheetName val="Voc_2_VL21"/>
      <sheetName val="SL_VOC21"/>
      <sheetName val="outside_services,_gen_&amp;_bus_e21"/>
      <sheetName val="Input_SFR21"/>
      <sheetName val="Summary_of_AR21"/>
      <sheetName val="2-cash_CRAM21"/>
      <sheetName val="2-2022_AP_SUBS21"/>
      <sheetName val="JAN_TRADE_21"/>
      <sheetName val="MFO_Lookup21"/>
      <sheetName val="Server_Ratios21"/>
      <sheetName val="Notes_to_Accounts21"/>
      <sheetName val="Int__&amp;_Inv__Details21"/>
      <sheetName val="Income_Statement21"/>
      <sheetName val="map-VENDOR_CODE21"/>
      <sheetName val="WEEKLY-BUD_INJECTION-BAG-TOTA21"/>
      <sheetName val="K513_(2)21"/>
      <sheetName val="Sheet1_(4)21"/>
      <sheetName val="Qry_AssetLocation_(2)21"/>
      <sheetName val="Sheet1_(3)21"/>
      <sheetName val="Sheet1_(2)21"/>
      <sheetName val="US_Codes21"/>
      <sheetName val="Schedule_E17"/>
      <sheetName val="Schedule_A_17"/>
      <sheetName val="Schedule_B17"/>
      <sheetName val="SRP_FH21"/>
      <sheetName val="POSTED_ŁDJ19"/>
      <sheetName val="FC_switches21"/>
      <sheetName val="R5_-_PBC_2009_Opex_Schedule19"/>
      <sheetName val="R6_-Interim_PBC_2010_Opex_Sch19"/>
      <sheetName val="R9_-_Interim_Utilities_Exp_TO19"/>
      <sheetName val="R4_-_Interim_Operating_Expens19"/>
      <sheetName val="Specific_Question_Report19"/>
      <sheetName val="_PAJE1119"/>
      <sheetName val="DAILY-BOXES_PACKED-ENTRY15"/>
      <sheetName val="ExcavationWorks_Type_IV17"/>
      <sheetName val="ALL_FW-SOLIDS15"/>
      <sheetName val="A,B,C_Sales_Timing15"/>
      <sheetName val="Other_Investment15"/>
      <sheetName val="2201_-_Due_to_Media15"/>
      <sheetName val="ACTUALSALARIES_AS_OF_050217"/>
      <sheetName val="1|_EWP15"/>
      <sheetName val="6|_NFS15"/>
      <sheetName val="VP_Lookup15"/>
      <sheetName val="FDC_FS_CY15"/>
      <sheetName val="FDC_TB_CY15"/>
      <sheetName val="Advertising_&amp;_Marketing15"/>
      <sheetName val="Miscellaneous_Expense15"/>
      <sheetName val="Need_Breakdown15"/>
      <sheetName val="|Needed_Documents15"/>
      <sheetName val="2015_Ropax_Sked15"/>
      <sheetName val="2015_Frt_Sked15"/>
      <sheetName val="2014_Sked15"/>
      <sheetName val="2014_Fuel_Prices15"/>
      <sheetName val="REF_CODES15"/>
      <sheetName val="co_1015"/>
      <sheetName val="trial_balance15"/>
      <sheetName val="Trnf_frm_ORE15"/>
      <sheetName val="Annex_E15"/>
      <sheetName val="Store_Plan15"/>
      <sheetName val="ME_20045"/>
      <sheetName val="sales_and_expenses_summary5"/>
      <sheetName val="POS_INV_971215"/>
      <sheetName val="pos_collection_timeliness15"/>
      <sheetName val="3_3_details15"/>
      <sheetName val="YTD_Pivots15"/>
      <sheetName val="ClaireMde_Glass5"/>
      <sheetName val="Claire_Mde_Plastics5"/>
      <sheetName val="Credit_Card5"/>
      <sheetName val="Determination_of_Threshold5"/>
      <sheetName val="Currency_Converter5"/>
      <sheetName val="Tax_Comp5"/>
      <sheetName val="RU_Overview5"/>
      <sheetName val="Codes-Do_not_delete5"/>
      <sheetName val="Net_Trans_Sum5"/>
      <sheetName val="CAN_COST_SUMMARY5"/>
      <sheetName val="INCOME_TAX_025"/>
      <sheetName val="RC_Code5"/>
      <sheetName val="Form_1005"/>
      <sheetName val="SOC_forDomestic_Subsi5"/>
      <sheetName val="PAJE_13_Support5"/>
      <sheetName val="Prem_EIR5"/>
      <sheetName val="1-Test_of_Details5"/>
      <sheetName val="Consideration_Illustration5"/>
      <sheetName val="Original_Andrew___Data4"/>
      <sheetName val="DATA_4"/>
      <sheetName val="PT_BS4"/>
      <sheetName val="All_Expenses2"/>
      <sheetName val="BAD_DEBTS_EXPENSE2"/>
      <sheetName val="Overview_(100)2"/>
      <sheetName val="STATEMENT_OF_EXP__&amp;_HO_ACCOUNT2"/>
      <sheetName val="service_charge2"/>
      <sheetName val="GAE_Data_Entry2"/>
      <sheetName val="Total_Spend_Per_Category2"/>
      <sheetName val="RE_recon_x0000_"/>
      <sheetName val="3500_Details"/>
      <sheetName val="__x0010___x0010___x0006___x0006___x0019___x0019___x0006___x0006__G_G__x0005___x0005__d."/>
      <sheetName val="__x0010__x0000_傄_x0004__x0000__"/>
      <sheetName val="__x005f_x0010__x005f_x0000_傄_x0"/>
      <sheetName val="__x0010__傄_x0004____☁_蠤Ã_______"/>
      <sheetName val="__x0010__x0000_ꂽ_x0004__x0000__"/>
      <sheetName val="__x005f_x0010__傄_x005f_x0004___"/>
      <sheetName val="__x005f_x0010__x005f_x0000_ꂽ_x0"/>
      <sheetName val="__x005f_x005f_x005f_x0010__傄_x0"/>
      <sheetName val="_傄☁蠤Ã"/>
      <sheetName val="_ꂽ倞"/>
      <sheetName val="_ꂽ倞"/>
      <sheetName val="SLþ"/>
      <sheetName val="SORTED"/>
      <sheetName val="136081"/>
      <sheetName val="WSHEET"/>
      <sheetName val="External order"/>
      <sheetName val="Input_SF_x000b_¿"/>
      <sheetName val="Employees"/>
      <sheetName val="chicken meal"/>
      <sheetName val="spaghetti meal"/>
      <sheetName val="KEYS CONTRIBUTION"/>
      <sheetName val="JAN_TRADEh"/>
      <sheetName val="Option 2"/>
      <sheetName val="TB04"/>
      <sheetName val="TB Sept '04"/>
      <sheetName val="capex"/>
      <sheetName val="bp and bills discounted"/>
      <sheetName val="Sheet7"/>
      <sheetName val="Week_2_x0010_"/>
      <sheetName val="其他营业收入调整"/>
      <sheetName val="Lists"/>
      <sheetName val="position"/>
      <sheetName val="[_x0010__x0000__x0010__x0000__x"/>
      <sheetName val="[_x0010_?_x0010_?_x0006_?_x0006"/>
      <sheetName val="[_x0010__x0000_傄_x0004__x0000__"/>
      <sheetName val="[_x0010_?傄_x0004_???☁?蠤Ã???????"/>
      <sheetName val="[_x0010__x0000_ꂽ_x0004__x0000__"/>
      <sheetName val="[_x005f_x0010__x005f_x0000__x00"/>
      <sheetName val="[_x005f_x0010_?_x005f_x0010_?_x"/>
      <sheetName val="[_x005f_x0010__x005f_x0000_傄_x0"/>
      <sheetName val="[_x005f_x0010_?傄_x005f_x0004_??"/>
      <sheetName val="__x0010__ꂽ_x0004_______________"/>
      <sheetName val="__x005f_x0010__ꂽ_x005f_x0004___"/>
      <sheetName val="__x0010__x005"/>
      <sheetName val="__x0010___x00"/>
      <sheetName val="__x005f_x005f_x005f_x0010__ꂽ_x0"/>
      <sheetName val="[_x0010_?ꂽ_x0004_??????????????"/>
      <sheetName val="[_x005f_x0010__x005f_x0000_ꂽ_x0"/>
      <sheetName val="[_x005f_x005f_x005f_x0010__x005"/>
      <sheetName val="[_x005f_x005f_x005f_x0010_?_x00"/>
      <sheetName val="__x0010__x0000___x0004__x0000__"/>
      <sheetName val="__x0010__x0000_傄_x0"/>
      <sheetName val="__x0010__傄_x0004___"/>
      <sheetName val="__x0010__x0000_ꂽ_x0"/>
      <sheetName val="__x005f_x0010__傄_x0"/>
      <sheetName val="__x005f"/>
      <sheetName val="GI-Reg"/>
      <sheetName val="E310_Plantation Hills."/>
      <sheetName val="RFDA Support T3"/>
      <sheetName val="P&amp;L by Mth"/>
      <sheetName val="2006 FCST"/>
      <sheetName val="PHX"/>
      <sheetName val="Vari by Vendor"/>
      <sheetName val="esxa"/>
      <sheetName val="GALBI Tax Comp"/>
      <sheetName val="SAP 052"/>
      <sheetName val="transpo &amp; other allow"/>
      <sheetName val="STAFF LIST"/>
      <sheetName val="PRICE SELECTION"/>
      <sheetName val="rate"/>
      <sheetName val="LIBRARY"/>
      <sheetName val="M_Maincomp"/>
      <sheetName val="Lkup-Postage"/>
      <sheetName val="TTDN"/>
      <sheetName val="Accounts List"/>
      <sheetName val="G301(01)"/>
      <sheetName val="&lt;PBC.02.04&gt; Loans to Affiliates"/>
      <sheetName val="L3-NE40E"/>
      <sheetName val="E_GC_Australia"/>
      <sheetName val="L3-AAA"/>
      <sheetName val="SCE"/>
      <sheetName val="Rate &amp; Other Tables"/>
      <sheetName val=".2Lapsing"/>
      <sheetName val="BSS GLP Pricelist"/>
      <sheetName val="__x0010____x0004_______Ã_______________"/>
      <sheetName val="_GGd_"/>
      <sheetName val="_________G_G___d_"/>
      <sheetName val="____Ã_"/>
      <sheetName val="Drop"/>
      <sheetName val="AC Details"/>
      <sheetName val="Slip-May"/>
      <sheetName val="_傄_"/>
      <sheetName val="__傄___☁_蠤Ã_______"/>
      <sheetName val="_ꂽ_"/>
      <sheetName val="_2Lapsing"/>
      <sheetName val="BSS_GLP_Pricelist"/>
      <sheetName val="External_order"/>
      <sheetName val="TB_Sept_'04"/>
      <sheetName val="__ꂽ______________"/>
      <sheetName val="__x005"/>
      <sheetName val="___x00"/>
      <sheetName val="_________Ã_______________"/>
      <sheetName val="___"/>
      <sheetName val="Prepaid"/>
      <sheetName val="MAKBAN A"/>
      <sheetName val="MAKBAN B"/>
      <sheetName val="MAKBAN C"/>
      <sheetName val="MAKBAN D"/>
      <sheetName val="MAKBAN E"/>
      <sheetName val="TOTAL SLN"/>
      <sheetName val="TOTAL SLS"/>
      <sheetName val="TIWI A"/>
      <sheetName val="TIWI C"/>
      <sheetName val="Working Pgs"/>
      <sheetName val="MgnRecon"/>
      <sheetName val="data1"/>
      <sheetName val="trade (2)"/>
      <sheetName val="ICe0"/>
      <sheetName val="Unique Records"/>
      <sheetName val="Mgt HMO"/>
      <sheetName val="ttl-tb"/>
      <sheetName val="Key Inputs"/>
      <sheetName val="[?ꂽ??????????7??????????倞"/>
      <sheetName val="T"/>
      <sheetName val="E01.1 Aging Summary"/>
      <sheetName val="E01.1.4 URCCC"/>
      <sheetName val=" IB-PL-YTD"/>
      <sheetName val="._ls___ls___ls___ls___ls___ls__"/>
      <sheetName val="Sheet4"/>
      <sheetName val="takeoff2"/>
      <sheetName val="Investment"/>
      <sheetName val="Input CPPC"/>
      <sheetName val="CF(JV)"/>
      <sheetName val="SF"/>
      <sheetName val="Weekly"/>
      <sheetName val="K-HO"/>
      <sheetName val="trd lastmo"/>
      <sheetName val="ar new"/>
      <sheetName val="회사정보"/>
      <sheetName val="U411"/>
      <sheetName val="1"/>
      <sheetName val="U1101"/>
      <sheetName val="C3 "/>
      <sheetName val="dollar policies"/>
      <sheetName val="U1 P&amp;L"/>
      <sheetName val="Topsheet 2013A"/>
      <sheetName val="sitehosting_detailed"/>
      <sheetName val="Rates to PHP"/>
      <sheetName val="2.2-MUS Calculations- Interim"/>
      <sheetName val="CD_LC"/>
      <sheetName val="reported mhr-rs1"/>
      <sheetName val="T-Accts"/>
      <sheetName val="Intercompany"/>
      <sheetName val="debtage"/>
      <sheetName val="SCH 2.1"/>
      <sheetName val="Summary (overall)"/>
      <sheetName val="SUB11250"/>
      <sheetName val="IS2007"/>
      <sheetName val="Additions-10.30"/>
      <sheetName val="Salary Data"/>
      <sheetName val="Hire Date"/>
      <sheetName val="Resignation Date"/>
      <sheetName val="SFP"/>
      <sheetName val="SCI"/>
      <sheetName val="C-For Settlement"/>
      <sheetName val="Non_Depreciable"/>
      <sheetName val="Asset Classes"/>
      <sheetName val="C-Additions"/>
      <sheetName val="C-Depreciable"/>
      <sheetName val="tor-int__expense22"/>
      <sheetName val="mcit_(sb)22"/>
      <sheetName val="ITR_RECON22"/>
      <sheetName val="financial_highlights22"/>
      <sheetName val="key_mgt_ratios22"/>
      <sheetName val="tax_recon22"/>
      <sheetName val="INCOME_TAX22"/>
      <sheetName val="notes_updated22"/>
      <sheetName val="POSTED_ADJ22"/>
      <sheetName val="RF_RE22"/>
      <sheetName val="PASSED_ADJ22"/>
      <sheetName val="analytic_review22"/>
      <sheetName val="FOREX_(2)22"/>
      <sheetName val="LIAB_SHE22"/>
      <sheetName val="list_of_pend_8_25_0322"/>
      <sheetName val="specific_i_d_22"/>
      <sheetName val="list_of_pend_9_1_0322"/>
      <sheetName val="E-1l2_memo22"/>
      <sheetName val="N_memo22"/>
      <sheetName val="U-2l3_memo22"/>
      <sheetName val="Significant_Processes22"/>
      <sheetName val="2006-3_Asia_Reimb22"/>
      <sheetName val="Bertha_Yuen22"/>
      <sheetName val="David_Schaefer22"/>
      <sheetName val="Elise_Lai22"/>
      <sheetName val="Guy_Fulton22"/>
      <sheetName val="Howard_Zhang22"/>
      <sheetName val="Juno_Hwang22"/>
      <sheetName val="Kate_B22"/>
      <sheetName val="Leo_Chen22"/>
      <sheetName val="Marco_Ho22"/>
      <sheetName val="Pius_Ho22"/>
      <sheetName val="Ravi_Hansoty22"/>
      <sheetName val="Sarina_Chau22"/>
      <sheetName val="Suresh_M22"/>
      <sheetName val="RE_recon22"/>
      <sheetName val="wbs_fsa22"/>
      <sheetName val="Profit_&amp;_Loss22"/>
      <sheetName val="Quezon_Ave22"/>
      <sheetName val="Week_122"/>
      <sheetName val="Week_222"/>
      <sheetName val="Week_322"/>
      <sheetName val="Week_422"/>
      <sheetName val="Week_522"/>
      <sheetName val="99_FM_-_NFM22"/>
      <sheetName val="Std_Time_A22"/>
      <sheetName val="Aug_Dump22"/>
      <sheetName val="SAP_Extract22"/>
      <sheetName val="Stock_Div_Accural22"/>
      <sheetName val="translist_(2)22"/>
      <sheetName val="NL290_WGACC_&amp;_DEHYDR_22"/>
      <sheetName val="Foreign_Details22"/>
      <sheetName val="gà_22"/>
      <sheetName val="outside_services,_gen_&amp;_bus_e22"/>
      <sheetName val="Input_SFR22"/>
      <sheetName val="JAN_TRADE_22"/>
      <sheetName val="Interest_Rates22"/>
      <sheetName val="MFO_Lookup22"/>
      <sheetName val="09_30_03_Recon22"/>
      <sheetName val="FA_Movement22"/>
      <sheetName val="Voc_1_VL22"/>
      <sheetName val="Voc_2_VL22"/>
      <sheetName val="SL_VOC22"/>
      <sheetName val="account_name22"/>
      <sheetName val="pcc_niigata22"/>
      <sheetName val="Variance_Report_Reorganized22"/>
      <sheetName val="2-cash_CRAM22"/>
      <sheetName val="2-2022_AP_SUBS22"/>
      <sheetName val="Server_Ratios22"/>
      <sheetName val="Summary_of_AR22"/>
      <sheetName val="Notes_to_Accounts22"/>
      <sheetName val="Int__&amp;_Inv__Details22"/>
      <sheetName val="map-VENDOR_CODE22"/>
      <sheetName val="K513_(2)22"/>
      <sheetName val="Sheet1_(4)22"/>
      <sheetName val="Qry_AssetLocation_(2)22"/>
      <sheetName val="Sheet1_(3)22"/>
      <sheetName val="Sheet1_(2)22"/>
      <sheetName val="Income_Statement22"/>
      <sheetName val="WEEKLY-BUD_INJECTION-BAG-TOTA22"/>
      <sheetName val="FC_switches22"/>
      <sheetName val="US_Codes22"/>
      <sheetName val="SRP_FH22"/>
      <sheetName val="R5_-_PBC_2009_Opex_Schedule20"/>
      <sheetName val="R6_-Interim_PBC_2010_Opex_Sch20"/>
      <sheetName val="R9_-_Interim_Utilities_Exp_TO20"/>
      <sheetName val="R4_-_Interim_Operating_Expens20"/>
      <sheetName val="Specific_Question_Report20"/>
      <sheetName val="POSTED_ŁDJ20"/>
      <sheetName val="Schedule_E18"/>
      <sheetName val="Schedule_A_18"/>
      <sheetName val="Schedule_B18"/>
      <sheetName val="ALL_FW-SOLIDS16"/>
      <sheetName val="A,B,C_Sales_Timing16"/>
      <sheetName val="FDC_FS_CY16"/>
      <sheetName val="FDC_TB_CY16"/>
      <sheetName val="Advertising_&amp;_Marketing16"/>
      <sheetName val="Miscellaneous_Expense16"/>
      <sheetName val="Need_Breakdown16"/>
      <sheetName val="|Needed_Documents16"/>
      <sheetName val="_PAJE1120"/>
      <sheetName val="ExcavationWorks_Type_IV18"/>
      <sheetName val="1|_EWP16"/>
      <sheetName val="6|_NFS16"/>
      <sheetName val="DAILY-BOXES_PACKED-ENTRY16"/>
      <sheetName val="ACTUALSALARIES_AS_OF_050218"/>
      <sheetName val="VP_Lookup16"/>
      <sheetName val="Other_Investment16"/>
      <sheetName val="2201_-_Due_to_Media16"/>
      <sheetName val="2015_Ropax_Sked16"/>
      <sheetName val="2015_Frt_Sked16"/>
      <sheetName val="2014_Sked16"/>
      <sheetName val="2014_Fuel_Prices16"/>
      <sheetName val="REF_CODES16"/>
      <sheetName val="co_1016"/>
      <sheetName val="Store_Plan16"/>
      <sheetName val="Annex_E16"/>
      <sheetName val="3_3_details16"/>
      <sheetName val="YTD_Pivots16"/>
      <sheetName val="POS_INV_971216"/>
      <sheetName val="pos_collection_timeliness16"/>
      <sheetName val="trial_balance16"/>
      <sheetName val="Trnf_frm_ORE16"/>
      <sheetName val="Currency_Converter6"/>
      <sheetName val="sales_and_expenses_summary6"/>
      <sheetName val="Determination_of_Threshold6"/>
      <sheetName val="Tax_Comp6"/>
      <sheetName val="ME_20046"/>
      <sheetName val="RU_Overview6"/>
      <sheetName val="Credit_Card6"/>
      <sheetName val="Codes-Do_not_delete6"/>
      <sheetName val="ClaireMde_Glass6"/>
      <sheetName val="Claire_Mde_Plastics6"/>
      <sheetName val="CAN_COST_SUMMARY6"/>
      <sheetName val="INCOME_TAX_026"/>
      <sheetName val="Net_Trans_Sum6"/>
      <sheetName val="RC_Code6"/>
      <sheetName val="Form_1006"/>
      <sheetName val="SOC_forDomestic_Subsi6"/>
      <sheetName val="PAJE_13_Support6"/>
      <sheetName val="Prem_EIR6"/>
      <sheetName val="Consideration_Illustration6"/>
      <sheetName val="1-Test_of_Details6"/>
      <sheetName val="Overview_(100)3"/>
      <sheetName val="GAE_Data_Entry3"/>
      <sheetName val="STATEMENT_OF_EXP__&amp;_HO_ACCOUNT3"/>
      <sheetName val="All_Expenses3"/>
      <sheetName val="BAD_DEBTS_EXPENSE3"/>
      <sheetName val="service_charge3"/>
      <sheetName val="Total_Spend_Per_Category3"/>
      <sheetName val="_2Lapsing1"/>
      <sheetName val="BSS_GLP_Pricelist1"/>
      <sheetName val="External_order1"/>
      <sheetName val="TB_Sept_'041"/>
      <sheetName val="unitcost for pivot"/>
      <sheetName val="JAN405"/>
      <sheetName val="Sch II"/>
      <sheetName val="PM-TE"/>
      <sheetName val="PRICEVARIANCE"/>
      <sheetName val="BS Process &amp; Approach"/>
      <sheetName val="IS Process &amp; Approach"/>
      <sheetName val="Region"/>
      <sheetName val="Macro1"/>
      <sheetName val="DB Bangkok"/>
      <sheetName val="DB London"/>
      <sheetName val="DB Frankfurt"/>
      <sheetName val="Memo-Bank Recon"/>
      <sheetName val="Option_2"/>
      <sheetName val="Input_SF¿"/>
      <sheetName val="RFDA_Support_T3"/>
      <sheetName val="chicken_meal"/>
      <sheetName val="spaghetti_meal"/>
      <sheetName val="[_x"/>
      <sheetName val="[???_x0006"/>
      <sheetName val="[傄_"/>
      <sheetName val="[?傄???☁?蠤Ã???????"/>
      <sheetName val="[ꂽ_"/>
      <sheetName val="[?ꂽ??????????????"/>
      <sheetName val="_傄_x0"/>
      <sheetName val="__傄__"/>
      <sheetName val="_ꂽ_x0"/>
      <sheetName val="KEYS_CONTRIBUTION"/>
      <sheetName val="E310_Plantation_Hills_"/>
      <sheetName val="P&amp;L_by_Mth"/>
      <sheetName val="2006_FCST"/>
      <sheetName val="Option_21"/>
      <sheetName val="RFDA_Support_T31"/>
      <sheetName val="chicken_meal1"/>
      <sheetName val="spaghetti_meal1"/>
      <sheetName val="KEYS_CONTRIBUTION1"/>
      <sheetName val="E310_Plantation_Hills_1"/>
      <sheetName val="P&amp;L_by_Mth1"/>
      <sheetName val="2006_FCST1"/>
      <sheetName val="Interim --&gt; Top"/>
      <sheetName val="Product Cost 1"/>
      <sheetName val="Vol Report 2"/>
      <sheetName val="Table_array"/>
      <sheetName val="TB with Adj_2009"/>
      <sheetName val="NEW CODES"/>
      <sheetName val="Vorgaben"/>
      <sheetName val="Elim"/>
      <sheetName val="ASP Database"/>
      <sheetName val="Forecast"/>
      <sheetName val="MAIN (2)"/>
      <sheetName val="MU"/>
      <sheetName val="NNC_assumptions"/>
      <sheetName val="cashflowcomp"/>
      <sheetName val="A-1"/>
      <sheetName val="tor-int__expense23"/>
      <sheetName val="mcit_(sb)23"/>
      <sheetName val="ITR_RECON23"/>
      <sheetName val="financial_highlights23"/>
      <sheetName val="key_mgt_ratios23"/>
      <sheetName val="tax_recon23"/>
      <sheetName val="INCOME_TAX23"/>
      <sheetName val="notes_updated23"/>
      <sheetName val="POSTED_ADJ23"/>
      <sheetName val="RF_RE23"/>
      <sheetName val="PASSED_ADJ23"/>
      <sheetName val="analytic_review23"/>
      <sheetName val="FOREX_(2)23"/>
      <sheetName val="LIAB_SHE23"/>
      <sheetName val="list_of_pend_8_25_0323"/>
      <sheetName val="specific_i_d_23"/>
      <sheetName val="list_of_pend_9_1_0323"/>
      <sheetName val="E-1l2_memo23"/>
      <sheetName val="N_memo23"/>
      <sheetName val="U-2l3_memo23"/>
      <sheetName val="Significant_Processes23"/>
      <sheetName val="2006-3_Asia_Reimb23"/>
      <sheetName val="Bertha_Yuen23"/>
      <sheetName val="David_Schaefer23"/>
      <sheetName val="Elise_Lai23"/>
      <sheetName val="Guy_Fulton23"/>
      <sheetName val="Howard_Zhang23"/>
      <sheetName val="Juno_Hwang23"/>
      <sheetName val="Kate_B23"/>
      <sheetName val="Leo_Chen23"/>
      <sheetName val="Marco_Ho23"/>
      <sheetName val="Pius_Ho23"/>
      <sheetName val="Ravi_Hansoty23"/>
      <sheetName val="Sarina_Chau23"/>
      <sheetName val="Suresh_M23"/>
      <sheetName val="RE_recon23"/>
      <sheetName val="wbs_fsa23"/>
      <sheetName val="Profit_&amp;_Loss23"/>
      <sheetName val="Quezon_Ave23"/>
      <sheetName val="Week_123"/>
      <sheetName val="Week_223"/>
      <sheetName val="Week_323"/>
      <sheetName val="Week_423"/>
      <sheetName val="Week_523"/>
      <sheetName val="99_FM_-_NFM23"/>
      <sheetName val="Std_Time_A23"/>
      <sheetName val="Aug_Dump23"/>
      <sheetName val="SAP_Extract23"/>
      <sheetName val="Stock_Div_Accural23"/>
      <sheetName val="translist_(2)23"/>
      <sheetName val="NL290_WGACC_&amp;_DEHYDR_23"/>
      <sheetName val="Foreign_Details23"/>
      <sheetName val="gà_23"/>
      <sheetName val="outside_services,_gen_&amp;_bus_e23"/>
      <sheetName val="Input_SFR23"/>
      <sheetName val="JAN_TRADE_23"/>
      <sheetName val="Interest_Rates23"/>
      <sheetName val="MFO_Lookup23"/>
      <sheetName val="09_30_03_Recon23"/>
      <sheetName val="FA_Movement23"/>
      <sheetName val="Voc_1_VL23"/>
      <sheetName val="Voc_2_VL23"/>
      <sheetName val="SL_VOC23"/>
      <sheetName val="account_name23"/>
      <sheetName val="pcc_niigata23"/>
      <sheetName val="Variance_Report_Reorganized23"/>
      <sheetName val="2-cash_CRAM23"/>
      <sheetName val="2-2022_AP_SUBS23"/>
      <sheetName val="Server_Ratios23"/>
      <sheetName val="Summary_of_AR23"/>
      <sheetName val="Notes_to_Accounts23"/>
      <sheetName val="Int__&amp;_Inv__Details23"/>
      <sheetName val="map-VENDOR_CODE23"/>
      <sheetName val="K513_(2)23"/>
      <sheetName val="Sheet1_(4)23"/>
      <sheetName val="Qry_AssetLocation_(2)23"/>
      <sheetName val="Sheet1_(3)23"/>
      <sheetName val="Sheet1_(2)23"/>
      <sheetName val="Income_Statement23"/>
      <sheetName val="WEEKLY-BUD_INJECTION-BAG-TOTA23"/>
      <sheetName val="FC_switches23"/>
      <sheetName val="US_Codes23"/>
      <sheetName val="SRP_FH23"/>
      <sheetName val="R5_-_PBC_2009_Opex_Schedule21"/>
      <sheetName val="R6_-Interim_PBC_2010_Opex_Sch21"/>
      <sheetName val="R9_-_Interim_Utilities_Exp_TO21"/>
      <sheetName val="R4_-_Interim_Operating_Expens21"/>
      <sheetName val="Specific_Question_Report21"/>
      <sheetName val="POSTED_ŁDJ21"/>
      <sheetName val="Schedule_E19"/>
      <sheetName val="Schedule_A_19"/>
      <sheetName val="Schedule_B19"/>
      <sheetName val="ALL_FW-SOLIDS17"/>
      <sheetName val="A,B,C_Sales_Timing17"/>
      <sheetName val="FDC_FS_CY17"/>
      <sheetName val="FDC_TB_CY17"/>
      <sheetName val="Advertising_&amp;_Marketing17"/>
      <sheetName val="Miscellaneous_Expense17"/>
      <sheetName val="Need_Breakdown17"/>
      <sheetName val="|Needed_Documents17"/>
      <sheetName val="_PAJE1121"/>
      <sheetName val="ExcavationWorks_Type_IV19"/>
      <sheetName val="1|_EWP17"/>
      <sheetName val="6|_NFS17"/>
      <sheetName val="DAILY-BOXES_PACKED-ENTRY17"/>
      <sheetName val="ACTUALSALARIES_AS_OF_050219"/>
      <sheetName val="VP_Lookup17"/>
      <sheetName val="Other_Investment17"/>
      <sheetName val="2201_-_Due_to_Media17"/>
      <sheetName val="2015_Ropax_Sked17"/>
      <sheetName val="2015_Frt_Sked17"/>
      <sheetName val="2014_Sked17"/>
      <sheetName val="2014_Fuel_Prices17"/>
      <sheetName val="REF_CODES17"/>
      <sheetName val="co_1017"/>
      <sheetName val="Store_Plan17"/>
      <sheetName val="Annex_E17"/>
      <sheetName val="3_3_details17"/>
      <sheetName val="YTD_Pivots17"/>
      <sheetName val="POS_INV_971217"/>
      <sheetName val="pos_collection_timeliness17"/>
      <sheetName val="trial_balance17"/>
      <sheetName val="Trnf_frm_ORE17"/>
      <sheetName val="Currency_Converter7"/>
      <sheetName val="sales_and_expenses_summary7"/>
      <sheetName val="Determination_of_Threshold7"/>
      <sheetName val="Tax_Comp7"/>
      <sheetName val="ME_20047"/>
      <sheetName val="RU_Overview7"/>
      <sheetName val="Credit_Card7"/>
      <sheetName val="Codes-Do_not_delete7"/>
      <sheetName val="ClaireMde_Glass7"/>
      <sheetName val="Claire_Mde_Plastics7"/>
      <sheetName val="CAN_COST_SUMMARY7"/>
      <sheetName val="INCOME_TAX_027"/>
      <sheetName val="Net_Trans_Sum7"/>
      <sheetName val="RC_Code7"/>
      <sheetName val="Form_1007"/>
      <sheetName val="SOC_forDomestic_Subsi7"/>
      <sheetName val="PAJE_13_Support7"/>
      <sheetName val="Prem_EIR7"/>
      <sheetName val="Consideration_Illustration7"/>
      <sheetName val="1-Test_of_Details7"/>
      <sheetName val="Overview_(100)4"/>
      <sheetName val="GAE_Data_Entry4"/>
      <sheetName val="STATEMENT_OF_EXP__&amp;_HO_ACCOUNT4"/>
      <sheetName val="All_Expenses4"/>
      <sheetName val="BAD_DEBTS_EXPENSE4"/>
      <sheetName val="service_charge4"/>
      <sheetName val="Total_Spend_Per_Category4"/>
      <sheetName val="tor-int__expense24"/>
      <sheetName val="mcit_(sb)24"/>
      <sheetName val="ITR_RECON24"/>
      <sheetName val="financial_highlights24"/>
      <sheetName val="key_mgt_ratios24"/>
      <sheetName val="tax_recon24"/>
      <sheetName val="INCOME_TAX24"/>
      <sheetName val="notes_updated24"/>
      <sheetName val="POSTED_ADJ24"/>
      <sheetName val="RF_RE24"/>
      <sheetName val="PASSED_ADJ24"/>
      <sheetName val="analytic_review24"/>
      <sheetName val="FOREX_(2)24"/>
      <sheetName val="LIAB_SHE24"/>
      <sheetName val="list_of_pend_8_25_0324"/>
      <sheetName val="specific_i_d_24"/>
      <sheetName val="list_of_pend_9_1_0324"/>
      <sheetName val="E-1l2_memo24"/>
      <sheetName val="N_memo24"/>
      <sheetName val="U-2l3_memo24"/>
      <sheetName val="Significant_Processes24"/>
      <sheetName val="2006-3_Asia_Reimb24"/>
      <sheetName val="Bertha_Yuen24"/>
      <sheetName val="David_Schaefer24"/>
      <sheetName val="Elise_Lai24"/>
      <sheetName val="Guy_Fulton24"/>
      <sheetName val="Howard_Zhang24"/>
      <sheetName val="Juno_Hwang24"/>
      <sheetName val="Kate_B24"/>
      <sheetName val="Leo_Chen24"/>
      <sheetName val="Marco_Ho24"/>
      <sheetName val="Pius_Ho24"/>
      <sheetName val="Ravi_Hansoty24"/>
      <sheetName val="Sarina_Chau24"/>
      <sheetName val="Suresh_M24"/>
      <sheetName val="RE_recon24"/>
      <sheetName val="wbs_fsa24"/>
      <sheetName val="Profit_&amp;_Loss24"/>
      <sheetName val="Quezon_Ave24"/>
      <sheetName val="Week_124"/>
      <sheetName val="Week_224"/>
      <sheetName val="Week_324"/>
      <sheetName val="Week_424"/>
      <sheetName val="Week_524"/>
      <sheetName val="99_FM_-_NFM24"/>
      <sheetName val="Std_Time_A24"/>
      <sheetName val="Aug_Dump24"/>
      <sheetName val="SAP_Extract24"/>
      <sheetName val="Stock_Div_Accural24"/>
      <sheetName val="translist_(2)24"/>
      <sheetName val="NL290_WGACC_&amp;_DEHYDR_24"/>
      <sheetName val="Foreign_Details24"/>
      <sheetName val="gà_24"/>
      <sheetName val="outside_services,_gen_&amp;_bus_e24"/>
      <sheetName val="Input_SFR24"/>
      <sheetName val="JAN_TRADE_24"/>
      <sheetName val="Interest_Rates24"/>
      <sheetName val="MFO_Lookup24"/>
      <sheetName val="09_30_03_Recon24"/>
      <sheetName val="FA_Movement24"/>
      <sheetName val="Voc_1_VL24"/>
      <sheetName val="Voc_2_VL24"/>
      <sheetName val="SL_VOC24"/>
      <sheetName val="account_name24"/>
      <sheetName val="pcc_niigata24"/>
      <sheetName val="Variance_Report_Reorganized24"/>
      <sheetName val="2-cash_CRAM24"/>
      <sheetName val="2-2022_AP_SUBS24"/>
      <sheetName val="Server_Ratios24"/>
      <sheetName val="Summary_of_AR24"/>
      <sheetName val="Notes_to_Accounts24"/>
      <sheetName val="Int__&amp;_Inv__Details24"/>
      <sheetName val="map-VENDOR_CODE24"/>
      <sheetName val="K513_(2)24"/>
      <sheetName val="Sheet1_(4)24"/>
      <sheetName val="Qry_AssetLocation_(2)24"/>
      <sheetName val="Sheet1_(3)24"/>
      <sheetName val="Sheet1_(2)24"/>
      <sheetName val="Income_Statement24"/>
      <sheetName val="WEEKLY-BUD_INJECTION-BAG-TOTA24"/>
      <sheetName val="FC_switches24"/>
      <sheetName val="US_Codes24"/>
      <sheetName val="SRP_FH24"/>
      <sheetName val="R5_-_PBC_2009_Opex_Schedule22"/>
      <sheetName val="R6_-Interim_PBC_2010_Opex_Sch22"/>
      <sheetName val="R9_-_Interim_Utilities_Exp_TO22"/>
      <sheetName val="R4_-_Interim_Operating_Expens22"/>
      <sheetName val="Specific_Question_Report22"/>
      <sheetName val="POSTED_ŁDJ22"/>
      <sheetName val="Schedule_E20"/>
      <sheetName val="Schedule_A_20"/>
      <sheetName val="Schedule_B20"/>
      <sheetName val="ALL_FW-SOLIDS18"/>
      <sheetName val="A,B,C_Sales_Timing18"/>
      <sheetName val="FDC_FS_CY18"/>
      <sheetName val="FDC_TB_CY18"/>
      <sheetName val="Advertising_&amp;_Marketing18"/>
      <sheetName val="Miscellaneous_Expense18"/>
      <sheetName val="Need_Breakdown18"/>
      <sheetName val="|Needed_Documents18"/>
      <sheetName val="_PAJE1122"/>
      <sheetName val="ExcavationWorks_Type_IV20"/>
      <sheetName val="1|_EWP18"/>
      <sheetName val="6|_NFS18"/>
      <sheetName val="Other_Investment18"/>
      <sheetName val="2201_-_Due_to_Media18"/>
      <sheetName val="ACTUALSALARIES_AS_OF_050220"/>
      <sheetName val="VP_Lookup18"/>
      <sheetName val="DAILY-BOXES_PACKED-ENTRY18"/>
      <sheetName val="2015_Ropax_Sked18"/>
      <sheetName val="2015_Frt_Sked18"/>
      <sheetName val="2014_Sked18"/>
      <sheetName val="2014_Fuel_Prices18"/>
      <sheetName val="REF_CODES18"/>
      <sheetName val="co_1018"/>
      <sheetName val="Store_Plan18"/>
      <sheetName val="Annex_E18"/>
      <sheetName val="3_3_details18"/>
      <sheetName val="YTD_Pivots18"/>
      <sheetName val="POS_INV_971218"/>
      <sheetName val="pos_collection_timeliness18"/>
      <sheetName val="trial_balance18"/>
      <sheetName val="Trnf_frm_ORE18"/>
      <sheetName val="Currency_Converter8"/>
      <sheetName val="sales_and_expenses_summary8"/>
      <sheetName val="Determination_of_Threshold8"/>
      <sheetName val="Tax_Comp8"/>
      <sheetName val="ME_20048"/>
      <sheetName val="RU_Overview8"/>
      <sheetName val="Credit_Card8"/>
      <sheetName val="Codes-Do_not_delete8"/>
      <sheetName val="ClaireMde_Glass8"/>
      <sheetName val="Claire_Mde_Plastics8"/>
      <sheetName val="CAN_COST_SUMMARY8"/>
      <sheetName val="INCOME_TAX_028"/>
      <sheetName val="Net_Trans_Sum8"/>
      <sheetName val="RC_Code8"/>
      <sheetName val="Form_1008"/>
      <sheetName val="SOC_forDomestic_Subsi8"/>
      <sheetName val="PAJE_13_Support8"/>
      <sheetName val="Prem_EIR8"/>
      <sheetName val="Consideration_Illustration8"/>
      <sheetName val="1-Test_of_Details8"/>
      <sheetName val="Original_Andrew___Data5"/>
      <sheetName val="DATA_5"/>
      <sheetName val="PT_BS5"/>
      <sheetName val="Overview_(100)5"/>
      <sheetName val="GAE_Data_Entry5"/>
      <sheetName val="STATEMENT_OF_EXP__&amp;_HO_ACCOUNT5"/>
      <sheetName val="All_Expenses5"/>
      <sheetName val="BAD_DEBTS_EXPENSE5"/>
      <sheetName val="service_charge5"/>
      <sheetName val="Total_Spend_Per_Category5"/>
      <sheetName val="tor-int__expense25"/>
      <sheetName val="mcit_(sb)25"/>
      <sheetName val="ITR_RECON25"/>
      <sheetName val="financial_highlights25"/>
      <sheetName val="key_mgt_ratios25"/>
      <sheetName val="tax_recon25"/>
      <sheetName val="INCOME_TAX25"/>
      <sheetName val="notes_updated25"/>
      <sheetName val="POSTED_ADJ25"/>
      <sheetName val="RF_RE25"/>
      <sheetName val="PASSED_ADJ25"/>
      <sheetName val="analytic_review25"/>
      <sheetName val="FOREX_(2)25"/>
      <sheetName val="E-1l2_memo25"/>
      <sheetName val="N_memo25"/>
      <sheetName val="U-2l3_memo25"/>
      <sheetName val="LIAB_SHE25"/>
      <sheetName val="list_of_pend_8_25_0325"/>
      <sheetName val="specific_i_d_25"/>
      <sheetName val="list_of_pend_9_1_0325"/>
      <sheetName val="2006-3_Asia_Reimb25"/>
      <sheetName val="Bertha_Yuen25"/>
      <sheetName val="David_Schaefer25"/>
      <sheetName val="Elise_Lai25"/>
      <sheetName val="Guy_Fulton25"/>
      <sheetName val="Howard_Zhang25"/>
      <sheetName val="Juno_Hwang25"/>
      <sheetName val="Kate_B25"/>
      <sheetName val="Leo_Chen25"/>
      <sheetName val="Marco_Ho25"/>
      <sheetName val="Pius_Ho25"/>
      <sheetName val="Ravi_Hansoty25"/>
      <sheetName val="Sarina_Chau25"/>
      <sheetName val="Suresh_M25"/>
      <sheetName val="Significant_Processes25"/>
      <sheetName val="RE_recon25"/>
      <sheetName val="wbs_fsa25"/>
      <sheetName val="Profit_&amp;_Loss25"/>
      <sheetName val="Quezon_Ave25"/>
      <sheetName val="Week_125"/>
      <sheetName val="Week_225"/>
      <sheetName val="Week_325"/>
      <sheetName val="Week_425"/>
      <sheetName val="Week_525"/>
      <sheetName val="99_FM_-_NFM25"/>
      <sheetName val="Std_Time_A25"/>
      <sheetName val="Aug_Dump25"/>
      <sheetName val="SAP_Extract25"/>
      <sheetName val="Stock_Div_Accural25"/>
      <sheetName val="translist_(2)25"/>
      <sheetName val="Variance_Report_Reorganized25"/>
      <sheetName val="NL290_WGACC_&amp;_DEHYDR_25"/>
      <sheetName val="account_name25"/>
      <sheetName val="gà_25"/>
      <sheetName val="09_30_03_Recon25"/>
      <sheetName val="FA_Movement25"/>
      <sheetName val="2-cash_CRAM25"/>
      <sheetName val="2-2022_AP_SUBS25"/>
      <sheetName val="Foreign_Details25"/>
      <sheetName val="Server_Ratios25"/>
      <sheetName val="outside_services,_gen_&amp;_bus_e25"/>
      <sheetName val="Input_SFR25"/>
      <sheetName val="JAN_TRADE_25"/>
      <sheetName val="Notes_to_Accounts25"/>
      <sheetName val="pcc_niigata25"/>
      <sheetName val="Int__&amp;_Inv__Details25"/>
      <sheetName val="Summary_of_AR25"/>
      <sheetName val="Voc_1_VL25"/>
      <sheetName val="Voc_2_VL25"/>
      <sheetName val="SL_VOC25"/>
      <sheetName val="Interest_Rates25"/>
      <sheetName val="MFO_Lookup25"/>
      <sheetName val="map-VENDOR_CODE25"/>
      <sheetName val="WEEKLY-BUD_INJECTION-BAG-TOTA25"/>
      <sheetName val="K513_(2)25"/>
      <sheetName val="Sheet1_(4)25"/>
      <sheetName val="Qry_AssetLocation_(2)25"/>
      <sheetName val="Sheet1_(3)25"/>
      <sheetName val="Sheet1_(2)25"/>
      <sheetName val="Income_Statement25"/>
      <sheetName val="US_Codes25"/>
      <sheetName val="Schedule_E21"/>
      <sheetName val="Schedule_A_21"/>
      <sheetName val="Schedule_B21"/>
      <sheetName val="SRP_FH25"/>
      <sheetName val="FC_switches25"/>
      <sheetName val="ExcavationWorks_Type_IV21"/>
      <sheetName val="ALL_FW-SOLIDS19"/>
      <sheetName val="A,B,C_Sales_Timing19"/>
      <sheetName val="R5_-_PBC_2009_Opex_Schedule23"/>
      <sheetName val="R6_-Interim_PBC_2010_Opex_Sch23"/>
      <sheetName val="R9_-_Interim_Utilities_Exp_TO23"/>
      <sheetName val="R4_-_Interim_Operating_Expens23"/>
      <sheetName val="Specific_Question_Report23"/>
      <sheetName val="POSTED_ŁDJ23"/>
      <sheetName val="FDC_FS_CY19"/>
      <sheetName val="FDC_TB_CY19"/>
      <sheetName val="Advertising_&amp;_Marketing19"/>
      <sheetName val="Miscellaneous_Expense19"/>
      <sheetName val="Need_Breakdown19"/>
      <sheetName val="|Needed_Documents19"/>
      <sheetName val="_PAJE1123"/>
      <sheetName val="1|_EWP19"/>
      <sheetName val="6|_NFS19"/>
      <sheetName val="Other_Investment19"/>
      <sheetName val="2201_-_Due_to_Media19"/>
      <sheetName val="ACTUALSALARIES_AS_OF_050221"/>
      <sheetName val="DAILY-BOXES_PACKED-ENTRY19"/>
      <sheetName val="VP_Lookup19"/>
      <sheetName val="2015_Ropax_Sked19"/>
      <sheetName val="2015_Frt_Sked19"/>
      <sheetName val="2014_Sked19"/>
      <sheetName val="2014_Fuel_Prices19"/>
      <sheetName val="REF_CODES19"/>
      <sheetName val="co_1019"/>
      <sheetName val="Store_Plan19"/>
      <sheetName val="Annex_E19"/>
      <sheetName val="3_3_details19"/>
      <sheetName val="YTD_Pivots19"/>
      <sheetName val="trial_balance19"/>
      <sheetName val="Trnf_frm_ORE19"/>
      <sheetName val="POS_INV_971219"/>
      <sheetName val="pos_collection_timeliness19"/>
      <sheetName val="Currency_Converter9"/>
      <sheetName val="sales_and_expenses_summary9"/>
      <sheetName val="Determination_of_Threshold9"/>
      <sheetName val="Tax_Comp9"/>
      <sheetName val="ME_20049"/>
      <sheetName val="RU_Overview9"/>
      <sheetName val="Credit_Card9"/>
      <sheetName val="Codes-Do_not_delete9"/>
      <sheetName val="ClaireMde_Glass9"/>
      <sheetName val="Claire_Mde_Plastics9"/>
      <sheetName val="CAN_COST_SUMMARY9"/>
      <sheetName val="INCOME_TAX_029"/>
      <sheetName val="Net_Trans_Sum9"/>
      <sheetName val="RC_Code9"/>
      <sheetName val="Form_1009"/>
      <sheetName val="SOC_forDomestic_Subsi9"/>
      <sheetName val="PAJE_13_Support9"/>
      <sheetName val="Prem_EIR9"/>
      <sheetName val="Consideration_Illustration9"/>
      <sheetName val="1-Test_of_Details9"/>
      <sheetName val="Original_Andrew___Data6"/>
      <sheetName val="DATA_6"/>
      <sheetName val="PT_BS6"/>
      <sheetName val="Overview_(100)6"/>
      <sheetName val="GAE_Data_Entry6"/>
      <sheetName val="STATEMENT_OF_EXP__&amp;_HO_ACCOUNT6"/>
      <sheetName val="All_Expenses6"/>
      <sheetName val="BAD_DEBTS_EXPENSE6"/>
      <sheetName val="service_charge6"/>
      <sheetName val="Total_Spend_Per_Category6"/>
      <sheetName val="WAO Classification"/>
      <sheetName val="TAP MONITORING"/>
      <sheetName val="Sprint Intercarrier Pricing"/>
      <sheetName val="Bank"/>
      <sheetName val="TRADES"/>
      <sheetName val="All Chart Data"/>
      <sheetName val="DataForGraph"/>
      <sheetName val="Epiq GmbH"/>
      <sheetName val="Appendix H - Exchange Rates"/>
      <sheetName val="95ARAP"/>
      <sheetName val="ATM"/>
      <sheetName val="MWC TO"/>
      <sheetName val="25 NI Reconciliation"/>
      <sheetName val="01| ATLP"/>
      <sheetName val="Working_Pgs"/>
      <sheetName val="Vari_by_Vendor"/>
      <sheetName val="trade_(2)"/>
      <sheetName val="spareparts"/>
      <sheetName val="Trans Type"/>
      <sheetName val="bp_and_bills_discounted"/>
      <sheetName val="GALBI_Tax_Comp"/>
      <sheetName val="SAP_052"/>
      <sheetName val="transpo_&amp;_other_allow"/>
      <sheetName val="STAFF_LIST"/>
      <sheetName val="PRICE_SELECTION"/>
      <sheetName val="Accounts_List"/>
      <sheetName val="&lt;PBC_02_04&gt;_Loans_to_Affiliates"/>
      <sheetName val="Rate_&amp;_Other_Tables"/>
      <sheetName val="bp_and_bills_discounted1"/>
      <sheetName val="Vari_by_Vendor1"/>
      <sheetName val="GALBI_Tax_Comp1"/>
      <sheetName val="SAP_0521"/>
      <sheetName val="transpo_&amp;_other_allow1"/>
      <sheetName val="STAFF_LIST1"/>
      <sheetName val="PRICE_SELECTION1"/>
      <sheetName val="Accounts_List1"/>
      <sheetName val="&lt;PBC_02_04&gt;_Loans_to_Affiliate1"/>
      <sheetName val="Rate_&amp;_Other_Tables1"/>
      <sheetName val="[_x005f_x005f_x005f_x005f_x005f_x005f_x005f_x0010_?傄_x0"/>
      <sheetName val="FDC TB C_x0000_"/>
      <sheetName val="Amort"/>
      <sheetName val="ACCRUALS"/>
      <sheetName val="一時差異増減"/>
      <sheetName val="INDIA"/>
      <sheetName val="COSTBYITEM"/>
      <sheetName val="Basic_Information"/>
      <sheetName val="G_Adv to OE"/>
      <sheetName val="rates-gadc"/>
      <sheetName val="INDEX"/>
      <sheetName val="Setup"/>
      <sheetName val="영업.일1"/>
      <sheetName val="판관(용역)"/>
      <sheetName val="原料盘点表"/>
      <sheetName val="期初库存"/>
      <sheetName val=""/>
      <sheetName val="FBL5"/>
      <sheetName val="rsb"/>
      <sheetName val="Params"/>
      <sheetName val="Gia vat tu"/>
      <sheetName val="BSNOTE03"/>
      <sheetName val="PURCHASES"/>
      <sheetName val="Weekdata"/>
      <sheetName val="GeneralInfo"/>
      <sheetName val="EQ"/>
      <sheetName val="Library Procedures"/>
      <sheetName val="B2.1 - CRAM"/>
      <sheetName val="VENDORS"/>
      <sheetName val="E-Lead"/>
      <sheetName val="Ex Rate"/>
      <sheetName val="Relief Fr Royalty"/>
      <sheetName val="STATS"/>
      <sheetName val="UK"/>
      <sheetName val="Phase 6"/>
      <sheetName val="AMORTIZE(Bldg &amp; Land)"/>
      <sheetName val="Template4444"/>
      <sheetName val="[_x0010__x0000__x00"/>
      <sheetName val="[_x0010_?_x0010_?_x"/>
      <sheetName val="[_x0010__x0000_傄_x0"/>
      <sheetName val="[_x0010_?傄_x0004_??"/>
      <sheetName val="__x0010__ꂽ_x0004___"/>
      <sheetName val="__x005f_x0010__ꂽ_x0"/>
      <sheetName val="[_x0010__x0000_ꂽ_x0"/>
      <sheetName val="[_x005f_x0010__x005"/>
      <sheetName val="[_x005f_x0010_?_x00"/>
      <sheetName val="__x0010__傄_x0"/>
      <sheetName val="Cash Flows (2011)"/>
      <sheetName val="semi"/>
      <sheetName val="sm"/>
      <sheetName val="판매2팀"/>
      <sheetName val="3-Salaries"/>
      <sheetName val="2-CMA"/>
      <sheetName val="IS_DETAILED"/>
      <sheetName val="ETD"/>
      <sheetName val="Cons"/>
      <sheetName val="4 - Depreciation"/>
      <sheetName val="A-1-1"/>
      <sheetName val="tor-int__expense26"/>
      <sheetName val="mcit_(sb)26"/>
      <sheetName val="ITR_RECON26"/>
      <sheetName val="financial_highlights26"/>
      <sheetName val="key_mgt_ratios26"/>
      <sheetName val="tax_recon26"/>
      <sheetName val="INCOME_TAX26"/>
      <sheetName val="notes_updated26"/>
      <sheetName val="POSTED_ADJ26"/>
      <sheetName val="RF_RE26"/>
      <sheetName val="PASSED_ADJ26"/>
      <sheetName val="analytic_review26"/>
      <sheetName val="E-1l2_memo26"/>
      <sheetName val="N_memo26"/>
      <sheetName val="U-2l3_memo26"/>
      <sheetName val="FOREX_(2)26"/>
      <sheetName val="LIAB_SHE26"/>
      <sheetName val="list_of_pend_8_25_0326"/>
      <sheetName val="specific_i_d_26"/>
      <sheetName val="list_of_pend_9_1_0326"/>
      <sheetName val="2006-3_Asia_Reimb26"/>
      <sheetName val="Bertha_Yuen26"/>
      <sheetName val="David_Schaefer26"/>
      <sheetName val="Elise_Lai26"/>
      <sheetName val="Guy_Fulton26"/>
      <sheetName val="Howard_Zhang26"/>
      <sheetName val="Juno_Hwang26"/>
      <sheetName val="Kate_B26"/>
      <sheetName val="Leo_Chen26"/>
      <sheetName val="Marco_Ho26"/>
      <sheetName val="Pius_Ho26"/>
      <sheetName val="Ravi_Hansoty26"/>
      <sheetName val="Sarina_Chau26"/>
      <sheetName val="Suresh_M26"/>
      <sheetName val="Significant_Processes26"/>
      <sheetName val="Week_126"/>
      <sheetName val="Week_226"/>
      <sheetName val="Week_326"/>
      <sheetName val="Week_426"/>
      <sheetName val="Week_526"/>
      <sheetName val="SAP_Extract26"/>
      <sheetName val="Stock_Div_Accural26"/>
      <sheetName val="RE_recon26"/>
      <sheetName val="wbs_fsa26"/>
      <sheetName val="Profit_&amp;_Loss26"/>
      <sheetName val="Quezon_Ave26"/>
      <sheetName val="99_FM_-_NFM26"/>
      <sheetName val="Std_Time_A26"/>
      <sheetName val="Aug_Dump26"/>
      <sheetName val="Variance_Report_Reorganized26"/>
      <sheetName val="translist_(2)26"/>
      <sheetName val="NL290_WGACC_&amp;_DEHYDR_26"/>
      <sheetName val="account_name26"/>
      <sheetName val="gà_26"/>
      <sheetName val="outside_services,_gen_&amp;_bus_e26"/>
      <sheetName val="Input_SFR26"/>
      <sheetName val="Foreign_Details26"/>
      <sheetName val="09_30_03_Recon26"/>
      <sheetName val="FA_Movement26"/>
      <sheetName val="Server_Ratios26"/>
      <sheetName val="2-cash_CRAM26"/>
      <sheetName val="2-2022_AP_SUBS26"/>
      <sheetName val="Summary_of_AR26"/>
      <sheetName val="JAN_TRADE_26"/>
      <sheetName val="Interest_Rates26"/>
      <sheetName val="MFO_Lookup26"/>
      <sheetName val="pcc_niigata26"/>
      <sheetName val="Voc_1_VL26"/>
      <sheetName val="Voc_2_VL26"/>
      <sheetName val="SL_VOC26"/>
      <sheetName val="Int__&amp;_Inv__Details26"/>
      <sheetName val="Notes_to_Accounts26"/>
      <sheetName val="map-VENDOR_CODE26"/>
      <sheetName val="WEEKLY-BUD_INJECTION-BAG-TOTA26"/>
      <sheetName val="K513_(2)26"/>
      <sheetName val="Sheet1_(4)26"/>
      <sheetName val="Qry_AssetLocation_(2)26"/>
      <sheetName val="Sheet1_(3)26"/>
      <sheetName val="Sheet1_(2)26"/>
      <sheetName val="R5_-_PBC_2009_Opex_Schedule24"/>
      <sheetName val="R6_-Interim_PBC_2010_Opex_Sch24"/>
      <sheetName val="R9_-_Interim_Utilities_Exp_TO24"/>
      <sheetName val="R4_-_Interim_Operating_Expens24"/>
      <sheetName val="Income_Statement26"/>
      <sheetName val="Specific_Question_Report24"/>
      <sheetName val="US_Codes26"/>
      <sheetName val="FC_switches26"/>
      <sheetName val="POSTED_ŁDJ24"/>
      <sheetName val="SRP_FH26"/>
      <sheetName val="_PAJE1124"/>
      <sheetName val="ALL_FW-SOLIDS20"/>
      <sheetName val="ExcavationWorks_Type_IV22"/>
      <sheetName val="A,B,C_Sales_Timing20"/>
      <sheetName val="Schedule_E22"/>
      <sheetName val="Schedule_A_22"/>
      <sheetName val="Schedule_B22"/>
      <sheetName val="FDC_FS_CY20"/>
      <sheetName val="FDC_TB_CY20"/>
      <sheetName val="Advertising_&amp;_Marketing20"/>
      <sheetName val="Miscellaneous_Expense20"/>
      <sheetName val="Need_Breakdown20"/>
      <sheetName val="|Needed_Documents20"/>
      <sheetName val="1|_EWP20"/>
      <sheetName val="6|_NFS20"/>
      <sheetName val="DAILY-BOXES_PACKED-ENTRY20"/>
      <sheetName val="ACTUALSALARIES_AS_OF_050222"/>
      <sheetName val="VP_Lookup20"/>
      <sheetName val="Other_Investment20"/>
      <sheetName val="2201_-_Due_to_Media20"/>
      <sheetName val="2015_Ropax_Sked20"/>
      <sheetName val="2015_Frt_Sked20"/>
      <sheetName val="2014_Sked20"/>
      <sheetName val="2014_Fuel_Prices20"/>
      <sheetName val="REF_CODES20"/>
      <sheetName val="TB_Sept_'042"/>
      <sheetName val="sales_and_expenses_summary10"/>
      <sheetName val="co_1020"/>
      <sheetName val="Annex_E20"/>
      <sheetName val="trial_balance20"/>
      <sheetName val="Trnf_frm_ORE20"/>
      <sheetName val="Store_Plan20"/>
      <sheetName val="3_3_details20"/>
      <sheetName val="YTD_Pivots20"/>
      <sheetName val="Determination_of_Threshold10"/>
      <sheetName val="POS_INV_971220"/>
      <sheetName val="pos_collection_timeliness20"/>
      <sheetName val="Currency_Converter10"/>
      <sheetName val="Credit_Card10"/>
      <sheetName val="Tax_Comp10"/>
      <sheetName val="ME_200410"/>
      <sheetName val="ClaireMde_Glass10"/>
      <sheetName val="Claire_Mde_Plastics10"/>
      <sheetName val="RU_Overview10"/>
      <sheetName val="Form_10010"/>
      <sheetName val="INCOME_TAX_0210"/>
      <sheetName val="PAJE_13_Support10"/>
      <sheetName val="CAN_COST_SUMMARY10"/>
      <sheetName val="Net_Trans_Sum10"/>
      <sheetName val="Codes-Do_not_delete10"/>
      <sheetName val="Prem_EIR10"/>
      <sheetName val="SOC_forDomestic_Subsi10"/>
      <sheetName val="All_Expenses7"/>
      <sheetName val="1-Test_of_Details10"/>
      <sheetName val="RC_Code10"/>
      <sheetName val="Consideration_Illustration10"/>
      <sheetName val="Original_Andrew___Data7"/>
      <sheetName val="DATA_7"/>
      <sheetName val="PT_BS7"/>
      <sheetName val="service_charge7"/>
      <sheetName val="BAD_DEBTS_EXPENSE7"/>
      <sheetName val="Overview_(100)7"/>
      <sheetName val="STATEMENT_OF_EXP__&amp;_HO_ACCOUNT7"/>
      <sheetName val="GAE_Data_Entry7"/>
      <sheetName val="Total_Spend_Per_Category7"/>
      <sheetName val="External_order2"/>
      <sheetName val="Option_22"/>
      <sheetName val="E310_Plantation_Hills_2"/>
      <sheetName val="chicken_meal2"/>
      <sheetName val="spaghetti_meal2"/>
      <sheetName val="KEYS_CONTRIBUTION2"/>
      <sheetName val="RFDA_Support_T32"/>
      <sheetName val="Input_CPPC"/>
      <sheetName val="P&amp;L_by_Mth2"/>
      <sheetName val="2006_FCST2"/>
      <sheetName val="trade_(2)1"/>
      <sheetName val="Mgt_HMO"/>
      <sheetName val="Key_Inputs"/>
      <sheetName val="MAKBAN_A"/>
      <sheetName val="MAKBAN_B"/>
      <sheetName val="MAKBAN_C"/>
      <sheetName val="MAKBAN_D"/>
      <sheetName val="MAKBAN_E"/>
      <sheetName val="TOTAL_SLN"/>
      <sheetName val="TOTAL_SLS"/>
      <sheetName val="TIWI_A"/>
      <sheetName val="TIWI_C"/>
      <sheetName val="reported_mhr-rs1"/>
      <sheetName val="Working_Pgs1"/>
      <sheetName val="Product_Cost_1"/>
      <sheetName val="Vol_Report_2"/>
      <sheetName val="Unique_Records"/>
      <sheetName val="dollar_policies"/>
      <sheetName val="U1_P&amp;L"/>
      <sheetName val="Topsheet_2013A"/>
      <sheetName val="__ls___ls___ls___ls___ls___ls__"/>
      <sheetName val="C3_"/>
      <sheetName val="_IB-PL-YTD"/>
      <sheetName val="WAO_Classification"/>
      <sheetName val="trd_lastmo"/>
      <sheetName val="ar_new"/>
      <sheetName val="E01_1_Aging_Summary"/>
      <sheetName val="E01_1_4_URCCC"/>
      <sheetName val="BS_Process_&amp;_Approach"/>
      <sheetName val="IS_Process_&amp;_Approach"/>
      <sheetName val="discode"/>
      <sheetName val="FDC TB C"/>
      <sheetName val="Jan2001 cc rollup rf"/>
      <sheetName val="GS VP table"/>
      <sheetName val="Variance"/>
      <sheetName val="minced"/>
      <sheetName val="Timaru Chips"/>
      <sheetName val="Tim Milling"/>
      <sheetName val="K20 Office Equipment"/>
      <sheetName val="Global Data"/>
      <sheetName val="AR-COM"/>
      <sheetName val="PRO-MODEL"/>
      <sheetName val="GEN"/>
      <sheetName val="BUILDING"/>
      <sheetName val="CB"/>
      <sheetName val="A2.1 Procedure"/>
      <sheetName val="A2.2 PPE Rollforward support"/>
      <sheetName val="Referential"/>
      <sheetName val="tor-int__expense27"/>
      <sheetName val="mcit_(sb)27"/>
      <sheetName val="ITR_RECON27"/>
      <sheetName val="financial_highlights27"/>
      <sheetName val="key_mgt_ratios27"/>
      <sheetName val="tax_recon27"/>
      <sheetName val="INCOME_TAX27"/>
      <sheetName val="notes_updated27"/>
      <sheetName val="POSTED_ADJ27"/>
      <sheetName val="RF_RE27"/>
      <sheetName val="PASSED_ADJ27"/>
      <sheetName val="analytic_review27"/>
      <sheetName val="FOREX_(2)27"/>
      <sheetName val="LIAB_SHE27"/>
      <sheetName val="list_of_pend_8_25_0327"/>
      <sheetName val="specific_i_d_27"/>
      <sheetName val="list_of_pend_9_1_0327"/>
      <sheetName val="E-1l2_memo27"/>
      <sheetName val="N_memo27"/>
      <sheetName val="U-2l3_memo27"/>
      <sheetName val="Significant_Processes27"/>
      <sheetName val="2006-3_Asia_Reimb27"/>
      <sheetName val="Bertha_Yuen27"/>
      <sheetName val="David_Schaefer27"/>
      <sheetName val="Elise_Lai27"/>
      <sheetName val="Guy_Fulton27"/>
      <sheetName val="Howard_Zhang27"/>
      <sheetName val="Juno_Hwang27"/>
      <sheetName val="Kate_B27"/>
      <sheetName val="Leo_Chen27"/>
      <sheetName val="Marco_Ho27"/>
      <sheetName val="Pius_Ho27"/>
      <sheetName val="Ravi_Hansoty27"/>
      <sheetName val="Sarina_Chau27"/>
      <sheetName val="Suresh_M27"/>
      <sheetName val="RE_recon27"/>
      <sheetName val="wbs_fsa27"/>
      <sheetName val="Profit_&amp;_Loss27"/>
      <sheetName val="Quezon_Ave27"/>
      <sheetName val="Week_127"/>
      <sheetName val="Week_227"/>
      <sheetName val="Week_327"/>
      <sheetName val="Week_427"/>
      <sheetName val="Week_527"/>
      <sheetName val="99_FM_-_NFM27"/>
      <sheetName val="Std_Time_A27"/>
      <sheetName val="Aug_Dump27"/>
      <sheetName val="SAP_Extract27"/>
      <sheetName val="Stock_Div_Accural27"/>
      <sheetName val="translist_(2)27"/>
      <sheetName val="NL290_WGACC_&amp;_DEHYDR_27"/>
      <sheetName val="Foreign_Details27"/>
      <sheetName val="gà_27"/>
      <sheetName val="outside_services,_gen_&amp;_bus_e27"/>
      <sheetName val="Input_SFR27"/>
      <sheetName val="JAN_TRADE_27"/>
      <sheetName val="Interest_Rates27"/>
      <sheetName val="MFO_Lookup27"/>
      <sheetName val="09_30_03_Recon27"/>
      <sheetName val="FA_Movement27"/>
      <sheetName val="Voc_1_VL27"/>
      <sheetName val="Voc_2_VL27"/>
      <sheetName val="SL_VOC27"/>
      <sheetName val="account_name27"/>
      <sheetName val="pcc_niigata27"/>
      <sheetName val="Variance_Report_Reorganized27"/>
      <sheetName val="2-cash_CRAM27"/>
      <sheetName val="2-2022_AP_SUBS27"/>
      <sheetName val="Server_Ratios27"/>
      <sheetName val="Summary_of_AR27"/>
      <sheetName val="Notes_to_Accounts27"/>
      <sheetName val="Int__&amp;_Inv__Details27"/>
      <sheetName val="map-VENDOR_CODE27"/>
      <sheetName val="K513_(2)27"/>
      <sheetName val="Sheet1_(4)27"/>
      <sheetName val="Qry_AssetLocation_(2)27"/>
      <sheetName val="Sheet1_(3)27"/>
      <sheetName val="Sheet1_(2)27"/>
      <sheetName val="Income_Statement27"/>
      <sheetName val="WEEKLY-BUD_INJECTION-BAG-TOTA27"/>
      <sheetName val="FC_switches27"/>
      <sheetName val="US_Codes27"/>
      <sheetName val="SRP_FH27"/>
      <sheetName val="R5_-_PBC_2009_Opex_Schedule25"/>
      <sheetName val="R6_-Interim_PBC_2010_Opex_Sch25"/>
      <sheetName val="R9_-_Interim_Utilities_Exp_TO25"/>
      <sheetName val="R4_-_Interim_Operating_Expens25"/>
      <sheetName val="Specific_Question_Report25"/>
      <sheetName val="POSTED_ŁDJ25"/>
      <sheetName val="Schedule_E23"/>
      <sheetName val="Schedule_A_23"/>
      <sheetName val="Schedule_B23"/>
      <sheetName val="ALL_FW-SOLIDS21"/>
      <sheetName val="A,B,C_Sales_Timing21"/>
      <sheetName val="FDC_FS_CY21"/>
      <sheetName val="FDC_TB_CY21"/>
      <sheetName val="Advertising_&amp;_Marketing21"/>
      <sheetName val="Miscellaneous_Expense21"/>
      <sheetName val="Need_Breakdown21"/>
      <sheetName val="|Needed_Documents21"/>
      <sheetName val="_PAJE1125"/>
      <sheetName val="ExcavationWorks_Type_IV23"/>
      <sheetName val="1|_EWP21"/>
      <sheetName val="6|_NFS21"/>
      <sheetName val="DAILY-BOXES_PACKED-ENTRY21"/>
      <sheetName val="ACTUALSALARIES_AS_OF_050223"/>
      <sheetName val="VP_Lookup21"/>
      <sheetName val="Other_Investment21"/>
      <sheetName val="2201_-_Due_to_Media21"/>
      <sheetName val="2015_Ropax_Sked21"/>
      <sheetName val="2015_Frt_Sked21"/>
      <sheetName val="2014_Sked21"/>
      <sheetName val="2014_Fuel_Prices21"/>
      <sheetName val="REF_CODES21"/>
      <sheetName val="co_1021"/>
      <sheetName val="Store_Plan21"/>
      <sheetName val="Annex_E21"/>
      <sheetName val="3_3_details21"/>
      <sheetName val="YTD_Pivots21"/>
      <sheetName val="POS_INV_971221"/>
      <sheetName val="pos_collection_timeliness21"/>
      <sheetName val="trial_balance21"/>
      <sheetName val="Trnf_frm_ORE21"/>
      <sheetName val="Currency_Converter11"/>
      <sheetName val="sales_and_expenses_summary11"/>
      <sheetName val="Determination_of_Threshold11"/>
      <sheetName val="Tax_Comp11"/>
      <sheetName val="ME_200411"/>
      <sheetName val="RU_Overview11"/>
      <sheetName val="Credit_Card11"/>
      <sheetName val="Codes-Do_not_delete11"/>
      <sheetName val="ClaireMde_Glass11"/>
      <sheetName val="Claire_Mde_Plastics11"/>
      <sheetName val="CAN_COST_SUMMARY11"/>
      <sheetName val="INCOME_TAX_0211"/>
      <sheetName val="Net_Trans_Sum11"/>
      <sheetName val="RC_Code11"/>
      <sheetName val="Form_10011"/>
      <sheetName val="SOC_forDomestic_Subsi11"/>
      <sheetName val="PAJE_13_Support11"/>
      <sheetName val="Prem_EIR11"/>
      <sheetName val="Consideration_Illustration11"/>
      <sheetName val="1-Test_of_Details11"/>
      <sheetName val="Original_Andrew___Data8"/>
      <sheetName val="DATA_8"/>
      <sheetName val="PT_BS8"/>
      <sheetName val="Overview_(100)8"/>
      <sheetName val="GAE_Data_Entry8"/>
      <sheetName val="STATEMENT_OF_EXP__&amp;_HO_ACCOUNT8"/>
      <sheetName val="All_Expenses8"/>
      <sheetName val="BAD_DEBTS_EXPENSE8"/>
      <sheetName val="service_charge8"/>
      <sheetName val="Total_Spend_Per_Category8"/>
      <sheetName val="SourceDoc"/>
      <sheetName val="2.´ë?Ü°o1®"/>
      <sheetName val="PRIME MEAT"/>
      <sheetName val="Revised_BER"/>
      <sheetName val="Lapsing Disclosure"/>
      <sheetName val="TRP"/>
      <sheetName val="REFERRENCE"/>
      <sheetName val="jun-aug"/>
      <sheetName val="Dep. PIT"/>
      <sheetName val="B60"/>
      <sheetName val="CompanyInput"/>
      <sheetName val="SAP_BS"/>
      <sheetName val="tor-int__expense29"/>
      <sheetName val="mcit_(sb)29"/>
      <sheetName val="ITR_RECON29"/>
      <sheetName val="financial_highlights29"/>
      <sheetName val="key_mgt_ratios29"/>
      <sheetName val="tax_recon29"/>
      <sheetName val="INCOME_TAX29"/>
      <sheetName val="notes_updated29"/>
      <sheetName val="POSTED_ADJ29"/>
      <sheetName val="RF_RE29"/>
      <sheetName val="PASSED_ADJ29"/>
      <sheetName val="analytic_review29"/>
      <sheetName val="FOREX_(2)29"/>
      <sheetName val="LIAB_SHE29"/>
      <sheetName val="list_of_pend_8_25_0329"/>
      <sheetName val="specific_i_d_29"/>
      <sheetName val="list_of_pend_9_1_0329"/>
      <sheetName val="E-1l2_memo29"/>
      <sheetName val="N_memo29"/>
      <sheetName val="U-2l3_memo29"/>
      <sheetName val="Significant_Processes29"/>
      <sheetName val="2006-3_Asia_Reimb29"/>
      <sheetName val="Bertha_Yuen29"/>
      <sheetName val="David_Schaefer29"/>
      <sheetName val="Elise_Lai29"/>
      <sheetName val="Guy_Fulton29"/>
      <sheetName val="Howard_Zhang29"/>
      <sheetName val="Juno_Hwang29"/>
      <sheetName val="Kate_B29"/>
      <sheetName val="Leo_Chen29"/>
      <sheetName val="Marco_Ho29"/>
      <sheetName val="Pius_Ho29"/>
      <sheetName val="Ravi_Hansoty29"/>
      <sheetName val="Sarina_Chau29"/>
      <sheetName val="Suresh_M29"/>
      <sheetName val="RE_recon29"/>
      <sheetName val="wbs_fsa29"/>
      <sheetName val="Profit_&amp;_Loss29"/>
      <sheetName val="Quezon_Ave29"/>
      <sheetName val="Week_129"/>
      <sheetName val="Week_229"/>
      <sheetName val="Week_329"/>
      <sheetName val="Week_429"/>
      <sheetName val="Week_529"/>
      <sheetName val="99_FM_-_NFM29"/>
      <sheetName val="Std_Time_A29"/>
      <sheetName val="Aug_Dump29"/>
      <sheetName val="SAP_Extract29"/>
      <sheetName val="Stock_Div_Accural29"/>
      <sheetName val="translist_(2)29"/>
      <sheetName val="NL290_WGACC_&amp;_DEHYDR_29"/>
      <sheetName val="Foreign_Details29"/>
      <sheetName val="gà_29"/>
      <sheetName val="outside_services,_gen_&amp;_bus_e29"/>
      <sheetName val="Input_SFR29"/>
      <sheetName val="JAN_TRADE_29"/>
      <sheetName val="Interest_Rates29"/>
      <sheetName val="MFO_Lookup29"/>
      <sheetName val="09_30_03_Recon29"/>
      <sheetName val="FA_Movement29"/>
      <sheetName val="Voc_1_VL29"/>
      <sheetName val="Voc_2_VL29"/>
      <sheetName val="SL_VOC29"/>
      <sheetName val="account_name29"/>
      <sheetName val="pcc_niigata29"/>
      <sheetName val="Variance_Report_Reorganized29"/>
      <sheetName val="2-cash_CRAM29"/>
      <sheetName val="2-2022_AP_SUBS29"/>
      <sheetName val="Server_Ratios29"/>
      <sheetName val="Summary_of_AR29"/>
      <sheetName val="Notes_to_Accounts29"/>
      <sheetName val="Int__&amp;_Inv__Details29"/>
      <sheetName val="map-VENDOR_CODE29"/>
      <sheetName val="K513_(2)29"/>
      <sheetName val="Sheet1_(4)29"/>
      <sheetName val="Qry_AssetLocation_(2)29"/>
      <sheetName val="Sheet1_(3)29"/>
      <sheetName val="Sheet1_(2)29"/>
      <sheetName val="Income_Statement29"/>
      <sheetName val="WEEKLY-BUD_INJECTION-BAG-TOTA29"/>
      <sheetName val="FC_switches29"/>
      <sheetName val="US_Codes29"/>
      <sheetName val="SRP_FH29"/>
      <sheetName val="R5_-_PBC_2009_Opex_Schedule27"/>
      <sheetName val="R6_-Interim_PBC_2010_Opex_Sch27"/>
      <sheetName val="R9_-_Interim_Utilities_Exp_TO27"/>
      <sheetName val="R4_-_Interim_Operating_Expens27"/>
      <sheetName val="Specific_Question_Report27"/>
      <sheetName val="POSTED_ŁDJ27"/>
      <sheetName val="Schedule_E25"/>
      <sheetName val="Schedule_A_25"/>
      <sheetName val="Schedule_B25"/>
      <sheetName val="ALL_FW-SOLIDS23"/>
      <sheetName val="A,B,C_Sales_Timing23"/>
      <sheetName val="FDC_FS_CY23"/>
      <sheetName val="FDC_TB_CY23"/>
      <sheetName val="Advertising_&amp;_Marketing23"/>
      <sheetName val="Miscellaneous_Expense23"/>
      <sheetName val="Need_Breakdown23"/>
      <sheetName val="|Needed_Documents23"/>
      <sheetName val="_PAJE1127"/>
      <sheetName val="ExcavationWorks_Type_IV25"/>
      <sheetName val="1|_EWP23"/>
      <sheetName val="6|_NFS23"/>
      <sheetName val="DAILY-BOXES_PACKED-ENTRY23"/>
      <sheetName val="ACTUALSALARIES_AS_OF_050225"/>
      <sheetName val="VP_Lookup23"/>
      <sheetName val="Other_Investment23"/>
      <sheetName val="2201_-_Due_to_Media23"/>
      <sheetName val="2015_Ropax_Sked23"/>
      <sheetName val="2015_Frt_Sked23"/>
      <sheetName val="2014_Sked23"/>
      <sheetName val="2014_Fuel_Prices23"/>
      <sheetName val="REF_CODES23"/>
      <sheetName val="co_1023"/>
      <sheetName val="Store_Plan23"/>
      <sheetName val="Annex_E23"/>
      <sheetName val="3_3_details23"/>
      <sheetName val="YTD_Pivots23"/>
      <sheetName val="POS_INV_971223"/>
      <sheetName val="pos_collection_timeliness23"/>
      <sheetName val="trial_balance23"/>
      <sheetName val="Trnf_frm_ORE23"/>
      <sheetName val="Currency_Converter13"/>
      <sheetName val="sales_and_expenses_summary13"/>
      <sheetName val="Determination_of_Threshold13"/>
      <sheetName val="Tax_Comp13"/>
      <sheetName val="ME_200413"/>
      <sheetName val="RU_Overview13"/>
      <sheetName val="Credit_Card13"/>
      <sheetName val="Codes-Do_not_delete13"/>
      <sheetName val="ClaireMde_Glass13"/>
      <sheetName val="Claire_Mde_Plastics13"/>
      <sheetName val="CAN_COST_SUMMARY13"/>
      <sheetName val="INCOME_TAX_0213"/>
      <sheetName val="Net_Trans_Sum13"/>
      <sheetName val="RC_Code13"/>
      <sheetName val="Form_10013"/>
      <sheetName val="SOC_forDomestic_Subsi13"/>
      <sheetName val="PAJE_13_Support13"/>
      <sheetName val="Prem_EIR13"/>
      <sheetName val="Consideration_Illustration13"/>
      <sheetName val="1-Test_of_Details13"/>
      <sheetName val="Original_Andrew___Data10"/>
      <sheetName val="DATA_10"/>
      <sheetName val="PT_BS10"/>
      <sheetName val="Overview_(100)10"/>
      <sheetName val="GAE_Data_Entry10"/>
      <sheetName val="STATEMENT_OF_EXP__&amp;_HO_ACCOUN10"/>
      <sheetName val="All_Expenses10"/>
      <sheetName val="BAD_DEBTS_EXPENSE10"/>
      <sheetName val="service_charge10"/>
      <sheetName val="Total_Spend_Per_Category10"/>
      <sheetName val="chicken_meal3"/>
      <sheetName val="spaghetti_meal3"/>
      <sheetName val="External_order3"/>
      <sheetName val="TB_Sept_'043"/>
      <sheetName val="Option_23"/>
      <sheetName val="trade_(2)2"/>
      <sheetName val="Vari_by_Vendor3"/>
      <sheetName val="Mgt_HMO2"/>
      <sheetName val="GALBI_Tax_Comp2"/>
      <sheetName val="SAP_0522"/>
      <sheetName val="Accounts_List2"/>
      <sheetName val="&lt;PBC_02_04&gt;_Loans_to_Affiliate2"/>
      <sheetName val="PRICE_SELECTION2"/>
      <sheetName val="Input_CPPC2"/>
      <sheetName val="Key_Inputs2"/>
      <sheetName val="transpo_&amp;_other_allow2"/>
      <sheetName val="MAKBAN_A2"/>
      <sheetName val="MAKBAN_B2"/>
      <sheetName val="MAKBAN_C2"/>
      <sheetName val="MAKBAN_D2"/>
      <sheetName val="MAKBAN_E2"/>
      <sheetName val="TOTAL_SLN2"/>
      <sheetName val="TOTAL_SLS2"/>
      <sheetName val="TIWI_A2"/>
      <sheetName val="TIWI_C2"/>
      <sheetName val="bp_and_bills_discounted2"/>
      <sheetName val="BSS_GLP_Pricelist2"/>
      <sheetName val="dollar_policies2"/>
      <sheetName val="U1_P&amp;L2"/>
      <sheetName val="Topsheet_2013A2"/>
      <sheetName val="Unique_Records2"/>
      <sheetName val="WAO_Classification2"/>
      <sheetName val="trd_lastmo2"/>
      <sheetName val="ar_new2"/>
      <sheetName val="_IB-PL-YTD2"/>
      <sheetName val="__ls___ls___ls___ls___ls___ls_2"/>
      <sheetName val="reported_mhr-rs12"/>
      <sheetName val="E01_1_Aging_Summary2"/>
      <sheetName val="E01_1_4_URCCC2"/>
      <sheetName val="BS_Process_&amp;_Approach2"/>
      <sheetName val="IS_Process_&amp;_Approach2"/>
      <sheetName val="tor-int__expense28"/>
      <sheetName val="mcit_(sb)28"/>
      <sheetName val="ITR_RECON28"/>
      <sheetName val="financial_highlights28"/>
      <sheetName val="key_mgt_ratios28"/>
      <sheetName val="tax_recon28"/>
      <sheetName val="INCOME_TAX28"/>
      <sheetName val="notes_updated28"/>
      <sheetName val="POSTED_ADJ28"/>
      <sheetName val="RF_RE28"/>
      <sheetName val="PASSED_ADJ28"/>
      <sheetName val="analytic_review28"/>
      <sheetName val="FOREX_(2)28"/>
      <sheetName val="LIAB_SHE28"/>
      <sheetName val="list_of_pend_8_25_0328"/>
      <sheetName val="specific_i_d_28"/>
      <sheetName val="list_of_pend_9_1_0328"/>
      <sheetName val="E-1l2_memo28"/>
      <sheetName val="N_memo28"/>
      <sheetName val="U-2l3_memo28"/>
      <sheetName val="Significant_Processes28"/>
      <sheetName val="2006-3_Asia_Reimb28"/>
      <sheetName val="Bertha_Yuen28"/>
      <sheetName val="David_Schaefer28"/>
      <sheetName val="Elise_Lai28"/>
      <sheetName val="Guy_Fulton28"/>
      <sheetName val="Howard_Zhang28"/>
      <sheetName val="Juno_Hwang28"/>
      <sheetName val="Kate_B28"/>
      <sheetName val="Leo_Chen28"/>
      <sheetName val="Marco_Ho28"/>
      <sheetName val="Pius_Ho28"/>
      <sheetName val="Ravi_Hansoty28"/>
      <sheetName val="Sarina_Chau28"/>
      <sheetName val="Suresh_M28"/>
      <sheetName val="RE_recon28"/>
      <sheetName val="wbs_fsa28"/>
      <sheetName val="Profit_&amp;_Loss28"/>
      <sheetName val="Quezon_Ave28"/>
      <sheetName val="Week_128"/>
      <sheetName val="Week_228"/>
      <sheetName val="Week_328"/>
      <sheetName val="Week_428"/>
      <sheetName val="Week_528"/>
      <sheetName val="99_FM_-_NFM28"/>
      <sheetName val="Std_Time_A28"/>
      <sheetName val="Aug_Dump28"/>
      <sheetName val="SAP_Extract28"/>
      <sheetName val="Stock_Div_Accural28"/>
      <sheetName val="translist_(2)28"/>
      <sheetName val="NL290_WGACC_&amp;_DEHYDR_28"/>
      <sheetName val="Foreign_Details28"/>
      <sheetName val="gà_28"/>
      <sheetName val="outside_services,_gen_&amp;_bus_e28"/>
      <sheetName val="Input_SFR28"/>
      <sheetName val="JAN_TRADE_28"/>
      <sheetName val="Interest_Rates28"/>
      <sheetName val="MFO_Lookup28"/>
      <sheetName val="09_30_03_Recon28"/>
      <sheetName val="FA_Movement28"/>
      <sheetName val="Voc_1_VL28"/>
      <sheetName val="Voc_2_VL28"/>
      <sheetName val="SL_VOC28"/>
      <sheetName val="account_name28"/>
      <sheetName val="pcc_niigata28"/>
      <sheetName val="Variance_Report_Reorganized28"/>
      <sheetName val="2-cash_CRAM28"/>
      <sheetName val="2-2022_AP_SUBS28"/>
      <sheetName val="Server_Ratios28"/>
      <sheetName val="Summary_of_AR28"/>
      <sheetName val="Notes_to_Accounts28"/>
      <sheetName val="Int__&amp;_Inv__Details28"/>
      <sheetName val="map-VENDOR_CODE28"/>
      <sheetName val="K513_(2)28"/>
      <sheetName val="Sheet1_(4)28"/>
      <sheetName val="Qry_AssetLocation_(2)28"/>
      <sheetName val="Sheet1_(3)28"/>
      <sheetName val="Sheet1_(2)28"/>
      <sheetName val="Income_Statement28"/>
      <sheetName val="WEEKLY-BUD_INJECTION-BAG-TOTA28"/>
      <sheetName val="FC_switches28"/>
      <sheetName val="US_Codes28"/>
      <sheetName val="SRP_FH28"/>
      <sheetName val="R5_-_PBC_2009_Opex_Schedule26"/>
      <sheetName val="R6_-Interim_PBC_2010_Opex_Sch26"/>
      <sheetName val="R9_-_Interim_Utilities_Exp_TO26"/>
      <sheetName val="R4_-_Interim_Operating_Expens26"/>
      <sheetName val="Specific_Question_Report26"/>
      <sheetName val="POSTED_ŁDJ26"/>
      <sheetName val="Schedule_E24"/>
      <sheetName val="Schedule_A_24"/>
      <sheetName val="Schedule_B24"/>
      <sheetName val="ALL_FW-SOLIDS22"/>
      <sheetName val="A,B,C_Sales_Timing22"/>
      <sheetName val="FDC_FS_CY22"/>
      <sheetName val="FDC_TB_CY22"/>
      <sheetName val="Advertising_&amp;_Marketing22"/>
      <sheetName val="Miscellaneous_Expense22"/>
      <sheetName val="Need_Breakdown22"/>
      <sheetName val="|Needed_Documents22"/>
      <sheetName val="_PAJE1126"/>
      <sheetName val="ExcavationWorks_Type_IV24"/>
      <sheetName val="1|_EWP22"/>
      <sheetName val="6|_NFS22"/>
      <sheetName val="DAILY-BOXES_PACKED-ENTRY22"/>
      <sheetName val="ACTUALSALARIES_AS_OF_050224"/>
      <sheetName val="VP_Lookup22"/>
      <sheetName val="Other_Investment22"/>
      <sheetName val="2201_-_Due_to_Media22"/>
      <sheetName val="2015_Ropax_Sked22"/>
      <sheetName val="2015_Frt_Sked22"/>
      <sheetName val="2014_Sked22"/>
      <sheetName val="2014_Fuel_Prices22"/>
      <sheetName val="REF_CODES22"/>
      <sheetName val="co_1022"/>
      <sheetName val="Store_Plan22"/>
      <sheetName val="Annex_E22"/>
      <sheetName val="3_3_details22"/>
      <sheetName val="YTD_Pivots22"/>
      <sheetName val="POS_INV_971222"/>
      <sheetName val="pos_collection_timeliness22"/>
      <sheetName val="trial_balance22"/>
      <sheetName val="Trnf_frm_ORE22"/>
      <sheetName val="Currency_Converter12"/>
      <sheetName val="sales_and_expenses_summary12"/>
      <sheetName val="Determination_of_Threshold12"/>
      <sheetName val="Tax_Comp12"/>
      <sheetName val="ME_200412"/>
      <sheetName val="RU_Overview12"/>
      <sheetName val="Credit_Card12"/>
      <sheetName val="Codes-Do_not_delete12"/>
      <sheetName val="ClaireMde_Glass12"/>
      <sheetName val="Claire_Mde_Plastics12"/>
      <sheetName val="CAN_COST_SUMMARY12"/>
      <sheetName val="INCOME_TAX_0212"/>
      <sheetName val="Net_Trans_Sum12"/>
      <sheetName val="RC_Code12"/>
      <sheetName val="Form_10012"/>
      <sheetName val="SOC_forDomestic_Subsi12"/>
      <sheetName val="PAJE_13_Support12"/>
      <sheetName val="Prem_EIR12"/>
      <sheetName val="Consideration_Illustration12"/>
      <sheetName val="1-Test_of_Details12"/>
      <sheetName val="Original_Andrew___Data9"/>
      <sheetName val="DATA_9"/>
      <sheetName val="PT_BS9"/>
      <sheetName val="Overview_(100)9"/>
      <sheetName val="GAE_Data_Entry9"/>
      <sheetName val="STATEMENT_OF_EXP__&amp;_HO_ACCOUNT9"/>
      <sheetName val="All_Expenses9"/>
      <sheetName val="BAD_DEBTS_EXPENSE9"/>
      <sheetName val="service_charge9"/>
      <sheetName val="Total_Spend_Per_Category9"/>
      <sheetName val="Vari_by_Vendor2"/>
      <sheetName val="Mgt_HMO1"/>
      <sheetName val="Input_CPPC1"/>
      <sheetName val="Key_Inputs1"/>
      <sheetName val="MAKBAN_A1"/>
      <sheetName val="MAKBAN_B1"/>
      <sheetName val="MAKBAN_C1"/>
      <sheetName val="MAKBAN_D1"/>
      <sheetName val="MAKBAN_E1"/>
      <sheetName val="TOTAL_SLN1"/>
      <sheetName val="TOTAL_SLS1"/>
      <sheetName val="TIWI_A1"/>
      <sheetName val="TIWI_C1"/>
      <sheetName val="dollar_policies1"/>
      <sheetName val="U1_P&amp;L1"/>
      <sheetName val="Topsheet_2013A1"/>
      <sheetName val="Unique_Records1"/>
      <sheetName val="WAO_Classification1"/>
      <sheetName val="trd_lastmo1"/>
      <sheetName val="ar_new1"/>
      <sheetName val="_IB-PL-YTD1"/>
      <sheetName val="__ls___ls___ls___ls___ls___ls_1"/>
      <sheetName val="reported_mhr-rs11"/>
      <sheetName val="E01_1_Aging_Summary1"/>
      <sheetName val="E01_1_4_URCCC1"/>
      <sheetName val="BS_Process_&amp;_Approach1"/>
      <sheetName val="IS_Process_&amp;_Approach1"/>
      <sheetName val="codes DO NOT DELETE"/>
      <sheetName val="Payroll"/>
      <sheetName val="sgn"/>
      <sheetName val="Dec 01 - Detail"/>
      <sheetName val="Drop List"/>
      <sheetName val="AP by-brand"/>
      <sheetName val="Kenya"/>
      <sheetName val="Africa RMO"/>
      <sheetName val="SPI GMBH"/>
      <sheetName val="ATK-LEGAL-05"/>
      <sheetName val="Codes"/>
      <sheetName val="janflash"/>
      <sheetName val="U-1@+"/>
      <sheetName val="Account Code"/>
      <sheetName val="Total_Cost"/>
      <sheetName val="2001GeneralInfo"/>
      <sheetName val="Bananas-Other"/>
      <sheetName val="15B"/>
      <sheetName val="repair"/>
      <sheetName val="coa"/>
      <sheetName val="STRT"/>
      <sheetName val="Week"/>
      <sheetName val="addl cost"/>
      <sheetName val="Cash CRAM"/>
      <sheetName val="CMA"/>
      <sheetName val="SUBSTRATE UNC + INT HC"/>
      <sheetName val="UNCOAT"/>
      <sheetName val="HMC AV"/>
      <sheetName val="HMC AV BLUE CUT GEN 2"/>
      <sheetName val="HMC PR GEN 2"/>
      <sheetName val="HMC PR GEN 3"/>
      <sheetName val="HMC PR GEN 4"/>
      <sheetName val="HC"/>
      <sheetName val="TINTING"/>
      <sheetName val="CTRAWMAT"/>
      <sheetName val="SFGOODS"/>
      <sheetName val="MANUF COST"/>
      <sheetName val="Raw mat &amp; quantities"/>
      <sheetName val="RMJ-MAR19"/>
      <sheetName val="WIP FOR MPE"/>
      <sheetName val="PR REPORT"/>
      <sheetName val="Working Mfg Hours"/>
      <sheetName val="Working Mfg Hours-mpe2"/>
      <sheetName val="Results Of AllocationATOME"/>
      <sheetName val="ATOME"/>
      <sheetName val="Results Of Allocationmpe2"/>
      <sheetName val="OVH AFT"/>
      <sheetName val="MANUF AFTER"/>
      <sheetName val="SUMFS"/>
      <sheetName val="FS"/>
      <sheetName val="MON ALLOC"/>
      <sheetName val="TRNG &amp; TEST"/>
      <sheetName val="SF ALLOC"/>
      <sheetName val="CP"/>
      <sheetName val="MOLDS REJECT"/>
      <sheetName val="MON ALLOC @2018"/>
      <sheetName val="Currency Converter Q1"/>
      <sheetName val="Q1 lookup"/>
      <sheetName val="__x0010__ꂽ_x0"/>
      <sheetName val="[_x0010__x005"/>
      <sheetName val="[_x0010_?_x00"/>
      <sheetName val="NI"/>
      <sheetName val="B S"/>
      <sheetName val="CF (2)"/>
      <sheetName val="3."/>
      <sheetName val="FEI  BS PL"/>
      <sheetName val="FEI BS"/>
      <sheetName val="FEI PL"/>
      <sheetName val="FEI PL Actual"/>
      <sheetName val="BS Acc"/>
      <sheetName val="QB BS"/>
      <sheetName val="PL-QB"/>
      <sheetName val="Budget"/>
      <sheetName val="FEI Cash Flow"/>
      <sheetName val="BS Interim sig acct"/>
      <sheetName val="CRITERIA3"/>
      <sheetName val="2011 Refo"/>
      <sheetName val="PL Act v Bud - FPM"/>
      <sheetName val="E0- Lead"/>
      <sheetName val="PACKAGE"/>
      <sheetName val="ADJ TB DEC01"/>
      <sheetName val="LS"/>
      <sheetName val="itr1"/>
      <sheetName val="itr2"/>
      <sheetName val="itr3"/>
      <sheetName val="itax"/>
      <sheetName val="def.  tax"/>
      <sheetName val="PPE"/>
      <sheetName val="RR"/>
      <sheetName val="Ratio Analysis"/>
      <sheetName val="Balance Sheet"/>
      <sheetName val="Vendor Setup"/>
      <sheetName val="WR"/>
      <sheetName val="Zoll_Transp"/>
      <sheetName val="Top Sheet"/>
      <sheetName val="Sum_PNL2019"/>
      <sheetName val="PNL_Jan-July_2019"/>
      <sheetName val="COG-July2019"/>
      <sheetName val="COG-June2019"/>
      <sheetName val="COG-MAY_2019"/>
      <sheetName val="MonthofJULY2019Sort"/>
      <sheetName val="SALESJuly2019"/>
      <sheetName val="UTILITIESJan.June2019&amp;Prod.Repo"/>
      <sheetName val="Purchases_RR_May2019"/>
      <sheetName val="Purchases_RR_June2019PNL"/>
      <sheetName val="CDB-MAY2019"/>
      <sheetName val="CDB-JUNE2019"/>
      <sheetName val="RM-May2019Beg.RM"/>
      <sheetName val="RM-May2019End.Inventory"/>
      <sheetName val="FG-May2019End.Inventory"/>
      <sheetName val="FG-May2019End.Inventory-Yoshi"/>
      <sheetName val="PriceAdjustment.May2019"/>
      <sheetName val="MAY1-15"/>
      <sheetName val="MAY16-31"/>
      <sheetName val="Trainee_Payroll_JUNE 1-15"/>
      <sheetName val="Trainee_Payroll_JUNE 16-30"/>
      <sheetName val="Admin_Reg.Payroll_JUNE 16-30"/>
      <sheetName val="Admin_Reg.Pyroll_JUNE 1-15"/>
      <sheetName val="FG-Yoshi_Beg.InvtryJune2019"/>
      <sheetName val="FG-Beg.InvtryJune2019"/>
      <sheetName val="DRY-Beg.InvrtyJune2019"/>
      <sheetName val="RM-Beg.InvrtyJune 2019"/>
      <sheetName val="MAY2019_SalesReportMaukas"/>
      <sheetName val="May2019_Sales ReportYoshi"/>
      <sheetName val="June2019SalesReportMaukas"/>
      <sheetName val="June2019SalesReport_Yoshi"/>
      <sheetName val="June2019SalesReportJagtry"/>
      <sheetName val="June2019SalesReportKR_SBC"/>
      <sheetName val="RR-JULY2019"/>
      <sheetName val="YOSHI ELECT FEB TO MAY"/>
      <sheetName val="YOSHI JUNE TO JULY"/>
      <sheetName val="UTILITIES"/>
      <sheetName val="MANPOWER OFFICE"/>
      <sheetName val="MANPOWER PRODUCTION"/>
      <sheetName val="FS Worksheet"/>
      <sheetName val="GL SUMMARY_04-25-06"/>
      <sheetName val="WklyProdReport"/>
      <sheetName val="ITAS Client List"/>
      <sheetName val="PERSONAL H.O."/>
      <sheetName val="POSITIONS TABLE"/>
      <sheetName val="SL)"/>
      <sheetName val="__ꂽ__________7__________倞"/>
      <sheetName val="part"/>
      <sheetName val="EX_STRBQ"/>
      <sheetName val="VC00"/>
      <sheetName val="account"/>
      <sheetName val="ADV OE SEPT 2019"/>
      <sheetName val="Govt ER Shares"/>
      <sheetName val="Inputs"/>
      <sheetName val="#REF!"/>
      <sheetName val="tax-employees with no refund"/>
      <sheetName val="FG RM MKN"/>
      <sheetName val="[_x005f_x005f_x005f_x0010_?傄_x0"/>
      <sheetName val="_2Lapsing2"/>
      <sheetName val="AC_Details"/>
      <sheetName val="Salary_Data"/>
      <sheetName val="Hire_Date"/>
      <sheetName val="Resignation_Date"/>
      <sheetName val="C-For_Settlement"/>
      <sheetName val="Asset_Classes"/>
      <sheetName val="Rates_to_PHP"/>
      <sheetName val="2_2-MUS_Calculations-_Interim"/>
      <sheetName val="SCH_2_1"/>
      <sheetName val="Summary_(overall)"/>
      <sheetName val="Additions-10_30"/>
      <sheetName val="_2Lapsing4"/>
      <sheetName val="BSS_GLP_Pricelist4"/>
      <sheetName val="External_order4"/>
      <sheetName val="TB_Sept_'044"/>
      <sheetName val="AC_Details2"/>
      <sheetName val="Rate_&amp;_Other_Tables2"/>
      <sheetName val="Working_Pgs2"/>
      <sheetName val="Salary_Data2"/>
      <sheetName val="Hire_Date2"/>
      <sheetName val="Resignation_Date2"/>
      <sheetName val="STAFF_LIST2"/>
      <sheetName val="C-For_Settlement2"/>
      <sheetName val="Asset_Classes2"/>
      <sheetName val="C3_2"/>
      <sheetName val="Rates_to_PHP2"/>
      <sheetName val="2_2-MUS_Calculations-_Interim2"/>
      <sheetName val="SCH_2_12"/>
      <sheetName val="Summary_(overall)2"/>
      <sheetName val="Additions-10_302"/>
      <sheetName val="_2Lapsing3"/>
      <sheetName val="BSS_GLP_Pricelist3"/>
      <sheetName val="AC_Details1"/>
      <sheetName val="Salary_Data1"/>
      <sheetName val="Hire_Date1"/>
      <sheetName val="Resignation_Date1"/>
      <sheetName val="C-For_Settlement1"/>
      <sheetName val="Asset_Classes1"/>
      <sheetName val="C3_1"/>
      <sheetName val="Rates_to_PHP1"/>
      <sheetName val="2_2-MUS_Calculations-_Interim1"/>
      <sheetName val="SCH_2_11"/>
      <sheetName val="Summary_(overall)1"/>
      <sheetName val="Additions-10_301"/>
      <sheetName val="KEYS_CONTRIBUTION3"/>
      <sheetName val="RFDA_Support_T33"/>
      <sheetName val="E310_Plantation_Hills_3"/>
      <sheetName val="P&amp;L_by_Mth3"/>
      <sheetName val="2006_FCST3"/>
      <sheetName val="Interim_--&gt;_Top1"/>
      <sheetName val="Product_Cost_11"/>
      <sheetName val="Vol_Report_21"/>
      <sheetName val="TAP_MONITORING1"/>
      <sheetName val="Sprint_Intercarrier_Pricing1"/>
      <sheetName val="All_Chart_Data1"/>
      <sheetName val="Epiq_GmbH1"/>
      <sheetName val="ASP_Database1"/>
      <sheetName val="Appendix_H_-_Exchange_Rates1"/>
      <sheetName val="MWC_TO1"/>
      <sheetName val="25_NI_Reconciliation1"/>
      <sheetName val="01|_ATLP1"/>
      <sheetName val="Trans_Type1"/>
      <sheetName val="Gia_vat_tu1"/>
      <sheetName val="G_Adv_to_OE1"/>
      <sheetName val="Library_Procedures1"/>
      <sheetName val="B2_1_-_CRAM1"/>
      <sheetName val="Ex_Rate1"/>
      <sheetName val="Relief_Fr_Royalty1"/>
      <sheetName val="TB_with_Adj_2009"/>
      <sheetName val="NEW_CODES"/>
      <sheetName val="영업_일1"/>
      <sheetName val="Phase_6"/>
      <sheetName val="AMORTIZE(Bldg_&amp;_Land)"/>
      <sheetName val="[_x00"/>
      <sheetName val="[??_x"/>
      <sheetName val="[?傄??"/>
      <sheetName val="__ꂽ__"/>
      <sheetName val="__傄_x0"/>
      <sheetName val="Cash_Flows_(2011)"/>
      <sheetName val="Interim_--&gt;_Top"/>
      <sheetName val="All_Chart_Data"/>
      <sheetName val="Epiq_GmbH"/>
      <sheetName val="ASP_Database"/>
      <sheetName val="Appendix_H_-_Exchange_Rates"/>
      <sheetName val="TAP_MONITORING"/>
      <sheetName val="Sprint_Intercarrier_Pricing"/>
      <sheetName val="MWC_TO"/>
      <sheetName val="25_NI_Reconciliation"/>
      <sheetName val="01|_ATLP"/>
      <sheetName val="Trans_Type"/>
      <sheetName val="Gia_vat_tu"/>
      <sheetName val="G_Adv_to_OE"/>
      <sheetName val="Library_Procedures"/>
      <sheetName val="B2_1_-_CRAM"/>
      <sheetName val="Ex_Rate"/>
      <sheetName val="Relief_Fr_Royalty"/>
      <sheetName val="Securities Masterlist"/>
      <sheetName val="emp12"/>
      <sheetName val="[傄_x0"/>
      <sheetName val="[ꂽ_x0"/>
      <sheetName val="Banks Details"/>
      <sheetName val="PBC - BDO CA"/>
      <sheetName val="PBC - BDO SA"/>
      <sheetName val="PBC - BPI CA"/>
      <sheetName val="PBC - BPI SA"/>
      <sheetName val="SPC_LIST"/>
      <sheetName val="tgt call prod"/>
      <sheetName val="fixedcosts"/>
      <sheetName val="Appendix"/>
      <sheetName val="T 5-02"/>
      <sheetName val="실행내역"/>
      <sheetName val="Labor-Equipment Rates"/>
      <sheetName val="tons"/>
      <sheetName val="IBA"/>
      <sheetName val="PRODUCTION COST PER BOX_ALL"/>
      <sheetName val="PER-IN PHP"/>
      <sheetName val="DMC_C"/>
      <sheetName val="Links"/>
      <sheetName val="Assumptions - 16X6 + 2 Sundays"/>
      <sheetName val="Normal"/>
      <sheetName val="Config"/>
      <sheetName val="__x005f_x0010__ꂽ_x005f_x0004__________0_x0000_Ԁ_x0000_찀"/>
      <sheetName val="No. Of Users"/>
      <sheetName val="IT Details"/>
      <sheetName val="TB 2.10"/>
      <sheetName val="Schedule 2"/>
      <sheetName val="Schedule 3"/>
      <sheetName val="Schedule 4"/>
      <sheetName val="Vol_Pd_Tot"/>
      <sheetName val="FS vs. Alphalist-CF            "/>
      <sheetName val="APR-YONGHWA"/>
      <sheetName val="1996"/>
      <sheetName val="Bank Recon-0094107563"/>
      <sheetName val="FINISHES"/>
      <sheetName val="fai unrelesed sept2011"/>
      <sheetName val="Data Validation"/>
      <sheetName val="Parameter Sheet"/>
      <sheetName val="Audit Requests Monitoring"/>
      <sheetName val="daywork- Tham khao"/>
      <sheetName val="GLdownload"/>
      <sheetName val="SPI"/>
      <sheetName val="std"/>
      <sheetName val="WK Local"/>
      <sheetName val="Balance Sheet P&amp;L CF"/>
      <sheetName val="FormHYP"/>
      <sheetName val="ＬＡＮ"/>
      <sheetName val="Statement Earning"/>
      <sheetName val="EMAS Overview"/>
      <sheetName val="Cover Page"/>
      <sheetName val="GJ"/>
      <sheetName val="icc"/>
      <sheetName val="SPG"/>
      <sheetName val="P&amp;L PP"/>
      <sheetName val="Flash-pp"/>
      <sheetName val="PY-pp"/>
      <sheetName val="MYF-pp"/>
      <sheetName val="ADJ SOURCE"/>
      <sheetName val="actg"/>
      <sheetName val="ADJ_SOURCE"/>
      <sheetName val="TransInput"/>
      <sheetName val="Basis"/>
      <sheetName val="LandedCost"/>
      <sheetName val="U1.1 - detailed P&amp;L"/>
      <sheetName val="U7 - AAFES ex fee-reasonable"/>
      <sheetName val="O101"/>
      <sheetName val="A2.100 AJE"/>
      <sheetName val="bdo"/>
      <sheetName val="__x0010____x0004_______Ã_______"/>
      <sheetName val="__x005f_x0010__x005f_x0000___x0"/>
      <sheetName val="Price Index Jun.07"/>
      <sheetName val="restoexcel"/>
      <sheetName val="Overzicht"/>
      <sheetName val="FINAL "/>
      <sheetName val="Store Summary-2001 EOY"/>
      <sheetName val="tor-int__expense30"/>
      <sheetName val="mcit_(sb)30"/>
      <sheetName val="LIAB_SHE30"/>
      <sheetName val="list_of_pend_8_25_0330"/>
      <sheetName val="specific_i_d_30"/>
      <sheetName val="list_of_pend_9_1_0330"/>
      <sheetName val="E-1l2_memo30"/>
      <sheetName val="N_memo30"/>
      <sheetName val="U-2l3_memo30"/>
      <sheetName val="FOREX_(2)30"/>
      <sheetName val="ITR_RECON30"/>
      <sheetName val="financial_highlights30"/>
      <sheetName val="key_mgt_ratios30"/>
      <sheetName val="tax_recon30"/>
      <sheetName val="INCOME_TAX30"/>
      <sheetName val="notes_updated30"/>
      <sheetName val="POSTED_ADJ30"/>
      <sheetName val="RF_RE30"/>
      <sheetName val="PASSED_ADJ30"/>
      <sheetName val="analytic_review30"/>
      <sheetName val="Significant_Processes30"/>
      <sheetName val="2006-3_Asia_Reimb30"/>
      <sheetName val="Bertha_Yuen30"/>
      <sheetName val="David_Schaefer30"/>
      <sheetName val="Elise_Lai30"/>
      <sheetName val="Guy_Fulton30"/>
      <sheetName val="Howard_Zhang30"/>
      <sheetName val="Juno_Hwang30"/>
      <sheetName val="Kate_B30"/>
      <sheetName val="Leo_Chen30"/>
      <sheetName val="Marco_Ho30"/>
      <sheetName val="Pius_Ho30"/>
      <sheetName val="Ravi_Hansoty30"/>
      <sheetName val="Sarina_Chau30"/>
      <sheetName val="Suresh_M30"/>
      <sheetName val="Week_130"/>
      <sheetName val="Week_230"/>
      <sheetName val="Week_330"/>
      <sheetName val="Week_430"/>
      <sheetName val="Week_530"/>
      <sheetName val="Profit_&amp;_Loss30"/>
      <sheetName val="Quezon_Ave30"/>
      <sheetName val="Aug_Dump30"/>
      <sheetName val="SAP_Extract30"/>
      <sheetName val="Stock_Div_Accural30"/>
      <sheetName val="RE_recon30"/>
      <sheetName val="wbs_fsa30"/>
      <sheetName val="99_FM_-_NFM30"/>
      <sheetName val="Std_Time_A30"/>
      <sheetName val="translist_(2)30"/>
      <sheetName val="gà_30"/>
      <sheetName val="09_30_03_Recon30"/>
      <sheetName val="FA_Movement30"/>
      <sheetName val="Variance_Report_Reorganized30"/>
      <sheetName val="NL290_WGACC_&amp;_DEHYDR_30"/>
      <sheetName val="2-cash_CRAM30"/>
      <sheetName val="2-2022_AP_SUBS30"/>
      <sheetName val="Foreign_Details30"/>
      <sheetName val="Summary_of_AR30"/>
      <sheetName val="account_name30"/>
      <sheetName val="outside_services,_gen_&amp;_bus_e30"/>
      <sheetName val="Input_SFR30"/>
      <sheetName val="JAN_TRADE_30"/>
      <sheetName val="Interest_Rates30"/>
      <sheetName val="MFO_Lookup30"/>
      <sheetName val="Voc_1_VL30"/>
      <sheetName val="Voc_2_VL30"/>
      <sheetName val="SL_VOC30"/>
      <sheetName val="pcc_niigata30"/>
      <sheetName val="Server_Ratios30"/>
      <sheetName val="Notes_to_Accounts30"/>
      <sheetName val="Int__&amp;_Inv__Details30"/>
      <sheetName val="map-VENDOR_CODE30"/>
      <sheetName val="WEEKLY-BUD_INJECTION-BAG-TOTA30"/>
      <sheetName val="K513_(2)30"/>
      <sheetName val="Sheet1_(4)30"/>
      <sheetName val="Qry_AssetLocation_(2)30"/>
      <sheetName val="Sheet1_(3)30"/>
      <sheetName val="Sheet1_(2)30"/>
      <sheetName val="Income_Statement30"/>
      <sheetName val="SRP_FH30"/>
      <sheetName val="US_Codes30"/>
      <sheetName val="R5_-_PBC_2009_Opex_Schedule28"/>
      <sheetName val="R6_-Interim_PBC_2010_Opex_Sch28"/>
      <sheetName val="R9_-_Interim_Utilities_Exp_TO28"/>
      <sheetName val="R4_-_Interim_Operating_Expens28"/>
      <sheetName val="Schedule_E26"/>
      <sheetName val="Schedule_A_26"/>
      <sheetName val="Schedule_B26"/>
      <sheetName val="ExcavationWorks_Type_IV26"/>
      <sheetName val="FC_switches30"/>
      <sheetName val="Other_Investment24"/>
      <sheetName val="2201_-_Due_to_Media24"/>
      <sheetName val="_PAJE1128"/>
      <sheetName val="Specific_Question_Report28"/>
      <sheetName val="POSTED_ŁDJ28"/>
      <sheetName val="ACTUALSALARIES_AS_OF_050226"/>
      <sheetName val="1|_EWP24"/>
      <sheetName val="6|_NFS24"/>
      <sheetName val="ALL_FW-SOLIDS24"/>
      <sheetName val="A,B,C_Sales_Timing24"/>
      <sheetName val="VP_Lookup24"/>
      <sheetName val="2015_Ropax_Sked24"/>
      <sheetName val="2015_Frt_Sked24"/>
      <sheetName val="2014_Sked24"/>
      <sheetName val="2014_Fuel_Prices24"/>
      <sheetName val="FDC_FS_CY24"/>
      <sheetName val="FDC_TB_CY24"/>
      <sheetName val="Advertising_&amp;_Marketing24"/>
      <sheetName val="Miscellaneous_Expense24"/>
      <sheetName val="Need_Breakdown24"/>
      <sheetName val="|Needed_Documents24"/>
      <sheetName val="DAILY-BOXES_PACKED-ENTRY24"/>
      <sheetName val="co_1024"/>
      <sheetName val="REF_CODES24"/>
      <sheetName val="POS_INV_971224"/>
      <sheetName val="pos_collection_timeliness24"/>
      <sheetName val="Annex_E24"/>
      <sheetName val="Store_Plan24"/>
      <sheetName val="trial_balance24"/>
      <sheetName val="Trnf_frm_ORE24"/>
      <sheetName val="3_3_details24"/>
      <sheetName val="YTD_Pivots24"/>
      <sheetName val="Determination_of_Threshold14"/>
      <sheetName val="sales_and_expenses_summary14"/>
      <sheetName val="Currency_Converter14"/>
      <sheetName val="Tax_Comp14"/>
      <sheetName val="Credit_Card14"/>
      <sheetName val="ME_200414"/>
      <sheetName val="RU_Overview14"/>
      <sheetName val="INCOME_TAX_0214"/>
      <sheetName val="ClaireMde_Glass14"/>
      <sheetName val="Claire_Mde_Plastics14"/>
      <sheetName val="CAN_COST_SUMMARY14"/>
      <sheetName val="Codes-Do_not_delete14"/>
      <sheetName val="Net_Trans_Sum14"/>
      <sheetName val="1-Test_of_Details14"/>
      <sheetName val="Form_10014"/>
      <sheetName val="RC_Code14"/>
      <sheetName val="PAJE_13_Support14"/>
      <sheetName val="SOC_forDomestic_Subsi14"/>
      <sheetName val="Original_Andrew___Data11"/>
      <sheetName val="Prem_EIR14"/>
      <sheetName val="Consideration_Illustration14"/>
      <sheetName val="DATA_11"/>
      <sheetName val="PT_BS11"/>
      <sheetName val="All_Expenses11"/>
      <sheetName val="BAD_DEBTS_EXPENSE11"/>
      <sheetName val="Overview_(100)11"/>
      <sheetName val="service_charge11"/>
      <sheetName val="GALBI_Tax_Comp3"/>
      <sheetName val="SAP_0523"/>
      <sheetName val="STATEMENT_OF_EXP__&amp;_HO_ACCOUN11"/>
      <sheetName val="GAE_Data_Entry11"/>
      <sheetName val="Total_Spend_Per_Category11"/>
      <sheetName val="Option_24"/>
      <sheetName val="chicken_meal4"/>
      <sheetName val="spaghetti_meal4"/>
      <sheetName val="Vari_by_Vendor4"/>
      <sheetName val="dollar_policies3"/>
      <sheetName val="U1_P&amp;L3"/>
      <sheetName val="Topsheet_2013A3"/>
      <sheetName val="bp_and_bills_discounted3"/>
      <sheetName val="trd_lastmo3"/>
      <sheetName val="ar_new3"/>
      <sheetName val="Accounts_List3"/>
      <sheetName val="&lt;PBC_02_04&gt;_Loans_to_Affiliate3"/>
      <sheetName val="Unique_Records3"/>
      <sheetName val="Key_Inputs3"/>
      <sheetName val="transpo_&amp;_other_allow3"/>
      <sheetName val="MAKBAN_A3"/>
      <sheetName val="MAKBAN_B3"/>
      <sheetName val="MAKBAN_C3"/>
      <sheetName val="MAKBAN_D3"/>
      <sheetName val="MAKBAN_E3"/>
      <sheetName val="TOTAL_SLN3"/>
      <sheetName val="TOTAL_SLS3"/>
      <sheetName val="TIWI_A3"/>
      <sheetName val="TIWI_C3"/>
      <sheetName val="_IB-PL-YTD3"/>
      <sheetName val="Input_CPPC3"/>
      <sheetName val="__ls___ls___ls___ls___ls___ls_3"/>
      <sheetName val="reported_mhr-rs13"/>
      <sheetName val="Mgt_HMO3"/>
      <sheetName val="E01_1_Aging_Summary3"/>
      <sheetName val="E01_1_4_URCCC3"/>
      <sheetName val="PRICE_SELECTION3"/>
      <sheetName val="trade_(2)3"/>
      <sheetName val="WAO_Classification3"/>
      <sheetName val="BS_Process_&amp;_Approach3"/>
      <sheetName val="IS_Process_&amp;_Approach3"/>
      <sheetName val="Lapsing_Disclosure"/>
      <sheetName val="PRIME_MEAT"/>
      <sheetName val="A2_1_Procedure"/>
      <sheetName val="A2_2_PPE_Rollforward_support"/>
      <sheetName val="2_´ë?Ü°o1®"/>
      <sheetName val="FDC_TB_C"/>
      <sheetName val="K20_Office_Equipment"/>
      <sheetName val="Global_Data"/>
      <sheetName val="Sch_II"/>
      <sheetName val="DB_Bangkok"/>
      <sheetName val="DB_London"/>
      <sheetName val="DB_Frankfurt"/>
      <sheetName val="Memo-Bank_Recon"/>
      <sheetName val="Timaru_Chips"/>
      <sheetName val="Tim_Milling"/>
      <sheetName val="unitcost_for_pivot"/>
      <sheetName val="Jan2001_cc_rollup_rf"/>
      <sheetName val="GS_VP_table"/>
      <sheetName val="4_-_Depreciation"/>
      <sheetName val="B_S"/>
      <sheetName val="CF_(2)"/>
      <sheetName val="3_"/>
      <sheetName val="Dep__PIT"/>
      <sheetName val="FEI__BS_PL"/>
      <sheetName val="FEI_BS"/>
      <sheetName val="FEI_PL"/>
      <sheetName val="FEI_PL_Actual"/>
      <sheetName val="BS_Acc"/>
      <sheetName val="QB_BS"/>
      <sheetName val="FEI_Cash_Flow"/>
      <sheetName val="Currency_Converter_Q1"/>
      <sheetName val="Q1_lookup"/>
      <sheetName val="Leadsheet"/>
      <sheetName val="Wee_x005f_x0006_"/>
      <sheetName val="_x005f_x0010_ô"/>
      <sheetName val="__x005f_x0010____x005f_x0004_______Ã_______"/>
      <sheetName val="__x005f_x005f_x005f_x0010__x005f_x005f_x005f_x0000___x0"/>
      <sheetName val="Qry_AssetLocation_(2_x005f_x0005_"/>
      <sheetName val="Input_SF_x005f_x000b_¿"/>
      <sheetName val="Week_2_x005f_x0010_"/>
      <sheetName val="Finance Allocations"/>
      <sheetName val="Total"/>
      <sheetName val="部门费用05.4-5"/>
      <sheetName val="Payreg"/>
      <sheetName val="F  Reconciliation "/>
      <sheetName val="A-1016"/>
      <sheetName val="BOOK FCST"/>
      <sheetName val="Compensation"/>
      <sheetName val="Project Summary"/>
      <sheetName val="codes_DO_NOT_DELETE"/>
      <sheetName val="SUBSTRATE_UNC_+_INT_HC"/>
      <sheetName val="HMC_AV"/>
      <sheetName val="HMC_AV_BLUE_CUT_GEN_2"/>
      <sheetName val="HMC_PR_GEN_2"/>
      <sheetName val="HMC_PR_GEN_3"/>
      <sheetName val="HMC_PR_GEN_4"/>
      <sheetName val="MANUF_COST"/>
      <sheetName val="Raw_mat_&amp;_quantities"/>
      <sheetName val="WIP_FOR_MPE"/>
      <sheetName val="PR_REPORT"/>
      <sheetName val="Working_Mfg_Hours"/>
      <sheetName val="Working_Mfg_Hours-mpe2"/>
      <sheetName val="Results_Of_AllocationATOME"/>
      <sheetName val="Results_Of_Allocationmpe2"/>
      <sheetName val="OVH_AFT"/>
      <sheetName val="MANUF_AFTER"/>
      <sheetName val="MON_ALLOC"/>
      <sheetName val="TRNG_&amp;_TEST"/>
      <sheetName val="SF_ALLOC"/>
      <sheetName val="MOLDS_REJECT"/>
      <sheetName val="MON_ALLOC_@2018"/>
      <sheetName val="인원계획-미화"/>
      <sheetName val="EDITTED"/>
      <sheetName val="coll"/>
      <sheetName val="assump"/>
      <sheetName val="SL°"/>
      <sheetName val="tmWK40"/>
      <sheetName val="TBD&gt;&gt;&gt;RATING"/>
      <sheetName val="MAIN_(2)"/>
      <sheetName val="JUNE"/>
      <sheetName val="ayala_10265 _ "/>
      <sheetName val="Others &amp; WC"/>
      <sheetName val="Assmptn3"/>
      <sheetName val="loc"/>
      <sheetName val="Premium Per Line"/>
      <sheetName val="t105"/>
      <sheetName val="TB (2)"/>
      <sheetName val="CIP recon"/>
      <sheetName val="beg balance"/>
      <sheetName val="combined_teresa"/>
      <sheetName val="teresa-2006"/>
      <sheetName val="Teresa - 2007"/>
      <sheetName val="test of additions"/>
      <sheetName val="TCG PPE DET"/>
      <sheetName val="PL"/>
      <sheetName val="上海创品"/>
      <sheetName val="上海德泰"/>
      <sheetName val="云南爱法"/>
      <sheetName val="北京健亮"/>
      <sheetName val="华东电子管"/>
      <sheetName val="南京南安"/>
      <sheetName val="南京新金辉"/>
      <sheetName val="南美板材"/>
      <sheetName val="杭州国际"/>
      <sheetName val="上海山崎"/>
      <sheetName val="广州依利"/>
      <sheetName val="杜昆电子"/>
      <sheetName val="杜邦公司"/>
      <sheetName val="桂林无线"/>
      <sheetName val="武进华锋"/>
      <sheetName val="江浦大河"/>
      <sheetName val="扬中宏达"/>
      <sheetName val="江苏物资"/>
      <sheetName val="江阴金塔电工"/>
      <sheetName val="深圳先得利"/>
      <sheetName val="深圳太平洋"/>
      <sheetName val="深圳金洲"/>
      <sheetName val="苏州天龙"/>
      <sheetName val="西江电子"/>
      <sheetName val="长沙管件"/>
      <sheetName val="Consolidated report A$"/>
      <sheetName val="__x005f_x0010__x005f_x0000__x005f_x0010__x005f_x0000__2"/>
      <sheetName val="__x005f_x0010___x005f_x0010___x005f_x0006___x00_2"/>
      <sheetName val="__x005f_x0010__x005f_x0000___x005f_x0004__x005f_x0000_2"/>
      <sheetName val="__x005f_x0010___x005f_x0010___x005f_x0006___x00_3"/>
      <sheetName val="__x005f_x005f_x005f_x0010__x005f_x005f_x005f_x0000__x_2"/>
      <sheetName val="__x005f_x005f_x005f_x0010___x005f_x005f_x005f_x0010___2"/>
      <sheetName val="__x005f_x0010____x005f_x0004______________2"/>
      <sheetName val="__x005f_x005f_x005f_x005f_x005f_x005f_x005f_x0010__x0_2"/>
      <sheetName val="__x005f_x005f_x005f_x005f_x005f_x005f_x005f_x0010___x_2"/>
      <sheetName val="__x005f_x005f_x005f_x0010__x005f_x005f_x005f_x0000____2"/>
      <sheetName val="__x005f_x0010__x005f_x0000___x005f_x0004__x005f_x0000_3"/>
      <sheetName val="__x005f_x005f_x005f_x0010____x005f_x005f_x005f_x0004__2"/>
      <sheetName val="__x005f_x005f_x005f_x005f_x005f_x005f_x005f_x005f_x00_2"/>
      <sheetName val="__x005f_x005f_x005f_x005f_x005f_x005f_x005f_x005f_x00_3"/>
      <sheetName val="__x005f_x005f_x005f_x005f_x005f_x005f_x005f_x005f_x00_4"/>
      <sheetName val="__x005f_x005f_x005f_x005f_x005f_x005f_x005f_x0010__x0_3"/>
      <sheetName val="__x005f_x005f_x005f_x0010__x005f_x005f_x005f_x0000____3"/>
      <sheetName val="External_order5"/>
      <sheetName val="_2Lapsing5"/>
      <sheetName val="BSS_GLP_Pricelist5"/>
      <sheetName val="TB_Sept_'045"/>
      <sheetName val="AC_Details3"/>
      <sheetName val="Rate_&amp;_Other_Tables3"/>
      <sheetName val="Working_Pgs3"/>
      <sheetName val="Salary_Data3"/>
      <sheetName val="Hire_Date3"/>
      <sheetName val="Resignation_Date3"/>
      <sheetName val="STAFF_LIST3"/>
      <sheetName val="C-For_Settlement3"/>
      <sheetName val="Asset_Classes3"/>
      <sheetName val="C3_3"/>
      <sheetName val="Rates_to_PHP3"/>
      <sheetName val="2_2-MUS_Calculations-_Interim3"/>
      <sheetName val="SCH_2_13"/>
      <sheetName val="Summary_(overall)3"/>
      <sheetName val="Additions-10_303"/>
      <sheetName val="External_order6"/>
      <sheetName val="_2Lapsing6"/>
      <sheetName val="BSS_GLP_Pricelist6"/>
      <sheetName val="TB_Sept_'046"/>
      <sheetName val="bp_and_bills_discounted4"/>
      <sheetName val="KEYS_CONTRIBUTION4"/>
      <sheetName val="E310_Plantation_Hills_4"/>
      <sheetName val="RFDA_Support_T34"/>
      <sheetName val="P&amp;L_by_Mth4"/>
      <sheetName val="2006_FCST4"/>
      <sheetName val="GALBI_Tax_Comp4"/>
      <sheetName val="SAP_0524"/>
      <sheetName val="transpo_&amp;_other_allow4"/>
      <sheetName val="Accounts_List4"/>
      <sheetName val="&lt;PBC_02_04&gt;_Loans_to_Affiliate4"/>
      <sheetName val="AC_Details4"/>
      <sheetName val="Rate_&amp;_Other_Tables4"/>
      <sheetName val="MAKBAN_A4"/>
      <sheetName val="MAKBAN_B4"/>
      <sheetName val="MAKBAN_C4"/>
      <sheetName val="MAKBAN_D4"/>
      <sheetName val="MAKBAN_E4"/>
      <sheetName val="TOTAL_SLN4"/>
      <sheetName val="TOTAL_SLS4"/>
      <sheetName val="TIWI_A4"/>
      <sheetName val="TIWI_C4"/>
      <sheetName val="Working_Pgs4"/>
      <sheetName val="trade_(2)4"/>
      <sheetName val="Unique_Records4"/>
      <sheetName val="Mgt_HMO4"/>
      <sheetName val="Salary_Data4"/>
      <sheetName val="Hire_Date4"/>
      <sheetName val="Resignation_Date4"/>
      <sheetName val="COMANCHE"/>
      <sheetName val="AP"/>
      <sheetName val="_2Lapsing7"/>
      <sheetName val="BSS_GLP_Pricelist7"/>
      <sheetName val="External_order7"/>
      <sheetName val="TB_Sept_'047"/>
      <sheetName val="Option_25"/>
      <sheetName val="RFDA_Support_T35"/>
      <sheetName val="P&amp;L_by_Mth5"/>
      <sheetName val="2006_FCST5"/>
      <sheetName val="chicken_meal5"/>
      <sheetName val="spaghetti_meal5"/>
      <sheetName val="AC_Details5"/>
      <sheetName val="E310_Plantation_Hills_5"/>
      <sheetName val="KEYS_CONTRIBUTION5"/>
      <sheetName val="Vari_by_Vendor5"/>
      <sheetName val="Rate_&amp;_Other_Tables5"/>
      <sheetName val="MAKBAN_A5"/>
      <sheetName val="MAKBAN_B5"/>
      <sheetName val="MAKBAN_C5"/>
      <sheetName val="MAKBAN_D5"/>
      <sheetName val="MAKBAN_E5"/>
      <sheetName val="TOTAL_SLN5"/>
      <sheetName val="TOTAL_SLS5"/>
      <sheetName val="TIWI_A5"/>
      <sheetName val="TIWI_C5"/>
      <sheetName val="transpo_&amp;_other_allow5"/>
      <sheetName val="Working_Pgs5"/>
      <sheetName val="trade_(2)5"/>
      <sheetName val="Unique_Records5"/>
      <sheetName val="bp_and_bills_discounted5"/>
      <sheetName val="GALBI_Tax_Comp5"/>
      <sheetName val="SAP_0525"/>
      <sheetName val="Mgt_HMO5"/>
      <sheetName val="Balance_Sheet"/>
      <sheetName val="Accounts_List5"/>
      <sheetName val="&lt;PBC_02_04&gt;_Loans_to_Affiliate5"/>
      <sheetName val="__ꂽ_x0"/>
      <sheetName val="[_x005"/>
      <sheetName val="[?_x00"/>
      <sheetName val="PRICE_SELECTION4"/>
      <sheetName val="Input_CPPC4"/>
      <sheetName val="STAFF_LIST4"/>
      <sheetName val="dollar_policies4"/>
      <sheetName val="U1_P&amp;L4"/>
      <sheetName val="Topsheet_2013A4"/>
      <sheetName val="Key_Inputs4"/>
      <sheetName val="C-For_Settlement4"/>
      <sheetName val="Asset_Classes4"/>
      <sheetName val="Salary_Data5"/>
      <sheetName val="Hire_Date5"/>
      <sheetName val="Resignation_Date5"/>
      <sheetName val="E01_1_Aging_Summary4"/>
      <sheetName val="E01_1_4_URCCC4"/>
      <sheetName val="_IB-PL-YTD4"/>
      <sheetName val="__ls___ls___ls___ls___ls___ls_4"/>
      <sheetName val="trd_lastmo4"/>
      <sheetName val="ar_new4"/>
      <sheetName val="C3_4"/>
      <sheetName val="Rates_to_PHP4"/>
      <sheetName val="2_2-MUS_Calculations-_Interim4"/>
      <sheetName val="reported_mhr-rs14"/>
      <sheetName val="SCH_2_14"/>
      <sheetName val="Summary_(overall)4"/>
      <sheetName val="Additions-10_304"/>
      <sheetName val="tor-int__expense31"/>
      <sheetName val="mcit_(sb)31"/>
      <sheetName val="ITR_RECON31"/>
      <sheetName val="financial_highlights31"/>
      <sheetName val="key_mgt_ratios31"/>
      <sheetName val="tax_recon31"/>
      <sheetName val="INCOME_TAX31"/>
      <sheetName val="notes_updated31"/>
      <sheetName val="POSTED_ADJ31"/>
      <sheetName val="RF_RE31"/>
      <sheetName val="PASSED_ADJ31"/>
      <sheetName val="analytic_review31"/>
      <sheetName val="FOREX_(2)31"/>
      <sheetName val="E-1l2_memo31"/>
      <sheetName val="N_memo31"/>
      <sheetName val="U-2l3_memo31"/>
      <sheetName val="LIAB_SHE31"/>
      <sheetName val="list_of_pend_8_25_0331"/>
      <sheetName val="specific_i_d_31"/>
      <sheetName val="list_of_pend_9_1_0331"/>
      <sheetName val="Significant_Processes31"/>
      <sheetName val="Profit_&amp;_Loss31"/>
      <sheetName val="2006-3_Asia_Reimb31"/>
      <sheetName val="Bertha_Yuen31"/>
      <sheetName val="David_Schaefer31"/>
      <sheetName val="Elise_Lai31"/>
      <sheetName val="Guy_Fulton31"/>
      <sheetName val="Howard_Zhang31"/>
      <sheetName val="Juno_Hwang31"/>
      <sheetName val="Kate_B31"/>
      <sheetName val="Leo_Chen31"/>
      <sheetName val="Marco_Ho31"/>
      <sheetName val="Pius_Ho31"/>
      <sheetName val="Ravi_Hansoty31"/>
      <sheetName val="Sarina_Chau31"/>
      <sheetName val="Suresh_M31"/>
      <sheetName val="Week_131"/>
      <sheetName val="Week_231"/>
      <sheetName val="Week_331"/>
      <sheetName val="Week_431"/>
      <sheetName val="Week_531"/>
      <sheetName val="RE_recon31"/>
      <sheetName val="wbs_fsa31"/>
      <sheetName val="Quezon_Ave31"/>
      <sheetName val="99_FM_-_NFM31"/>
      <sheetName val="Std_Time_A31"/>
      <sheetName val="SAP_Extract31"/>
      <sheetName val="Stock_Div_Accural31"/>
      <sheetName val="Aug_Dump31"/>
      <sheetName val="translist_(2)31"/>
      <sheetName val="gà_31"/>
      <sheetName val="Interest_Rates31"/>
      <sheetName val="Foreign_Details31"/>
      <sheetName val="JAN_TRADE_31"/>
      <sheetName val="MFO_Lookup31"/>
      <sheetName val="outside_services,_gen_&amp;_bus_e31"/>
      <sheetName val="Input_SFR31"/>
      <sheetName val="09_30_03_Recon31"/>
      <sheetName val="FA_Movement31"/>
      <sheetName val="Voc_1_VL31"/>
      <sheetName val="Voc_2_VL31"/>
      <sheetName val="SL_VOC31"/>
      <sheetName val="Notes_to_Accounts31"/>
      <sheetName val="2-2022_AP_SUBS31"/>
      <sheetName val="Summary_of_AR31"/>
      <sheetName val="account_name31"/>
      <sheetName val="pcc_niigata31"/>
      <sheetName val="NL290_WGACC_&amp;_DEHYDR_31"/>
      <sheetName val="Server_Ratios31"/>
      <sheetName val="Variance_Report_Reorganized31"/>
      <sheetName val="2-cash_CRAM31"/>
      <sheetName val="Int__&amp;_Inv__Details31"/>
      <sheetName val="K513_(2)31"/>
      <sheetName val="Sheet1_(4)31"/>
      <sheetName val="Qry_AssetLocation_(2)31"/>
      <sheetName val="Sheet1_(3)31"/>
      <sheetName val="Sheet1_(2)31"/>
      <sheetName val="WEEKLY-BUD_INJECTION-BAG-TOTA31"/>
      <sheetName val="map-VENDOR_CODE31"/>
      <sheetName val="Income_Statement31"/>
      <sheetName val="US_Codes31"/>
      <sheetName val="co_1025"/>
      <sheetName val="R5_-_PBC_2009_Opex_Schedule29"/>
      <sheetName val="R6_-Interim_PBC_2010_Opex_Sch29"/>
      <sheetName val="R9_-_Interim_Utilities_Exp_TO29"/>
      <sheetName val="R4_-_Interim_Operating_Expens29"/>
      <sheetName val="Schedule_E27"/>
      <sheetName val="Schedule_A_27"/>
      <sheetName val="Schedule_B27"/>
      <sheetName val="SRP_FH31"/>
      <sheetName val="2015_Ropax_Sked25"/>
      <sheetName val="2015_Frt_Sked25"/>
      <sheetName val="2014_Sked25"/>
      <sheetName val="2014_Fuel_Prices25"/>
      <sheetName val="ALL_FW-SOLIDS25"/>
      <sheetName val="A,B,C_Sales_Timing25"/>
      <sheetName val="FC_switches31"/>
      <sheetName val="2201_-_Due_to_Media25"/>
      <sheetName val="Specific_Question_Report29"/>
      <sheetName val="POSTED_ŁDJ29"/>
      <sheetName val="ExcavationWorks_Type_IV27"/>
      <sheetName val="ACTUALSALARIES_AS_OF_050227"/>
      <sheetName val="Other_Investment25"/>
      <sheetName val="_PAJE1129"/>
      <sheetName val="VP_Lookup25"/>
      <sheetName val="1|_EWP25"/>
      <sheetName val="6|_NFS25"/>
      <sheetName val="FDC_FS_CY25"/>
      <sheetName val="FDC_TB_CY25"/>
      <sheetName val="Advertising_&amp;_Marketing25"/>
      <sheetName val="Miscellaneous_Expense25"/>
      <sheetName val="Need_Breakdown25"/>
      <sheetName val="|Needed_Documents25"/>
      <sheetName val="DAILY-BOXES_PACKED-ENTRY25"/>
      <sheetName val="REF_CODES25"/>
      <sheetName val="POS_INV_971225"/>
      <sheetName val="pos_collection_timeliness25"/>
      <sheetName val="Annex_E25"/>
      <sheetName val="Trnf_frm_ORE25"/>
      <sheetName val="trial_balance25"/>
      <sheetName val="Store_Plan25"/>
      <sheetName val="3_3_details25"/>
      <sheetName val="YTD_Pivots25"/>
      <sheetName val="Currency_Converter15"/>
      <sheetName val="Determination_of_Threshold15"/>
      <sheetName val="sales_and_expenses_summary15"/>
      <sheetName val="ME_200415"/>
      <sheetName val="Tax_Comp15"/>
      <sheetName val="Credit_Card15"/>
      <sheetName val="RU_Overview15"/>
      <sheetName val="ClaireMde_Glass15"/>
      <sheetName val="Claire_Mde_Plastics15"/>
      <sheetName val="Prem_EIR15"/>
      <sheetName val="INCOME_TAX_0215"/>
      <sheetName val="SOC_forDomestic_Subsi15"/>
      <sheetName val="CAN_COST_SUMMARY15"/>
      <sheetName val="Net_Trans_Sum15"/>
      <sheetName val="PAJE_13_Support15"/>
      <sheetName val="Codes-Do_not_delete15"/>
      <sheetName val="Form_10015"/>
      <sheetName val="RC_Code15"/>
      <sheetName val="1-Test_of_Details15"/>
      <sheetName val="Consideration_Illustration15"/>
      <sheetName val="Original_Andrew___Data13"/>
      <sheetName val="DATA_13"/>
      <sheetName val="PT_BS13"/>
      <sheetName val="Overview_(100)12"/>
      <sheetName val="GAE_Data_Entry12"/>
      <sheetName val="STATEMENT_OF_EXP__&amp;_HO_ACCOUN12"/>
      <sheetName val="All_Expenses12"/>
      <sheetName val="BAD_DEBTS_EXPENSE12"/>
      <sheetName val="service_charge12"/>
      <sheetName val="Total_Spend_Per_Category12"/>
      <sheetName val="External_order10"/>
      <sheetName val="_2Lapsing10"/>
      <sheetName val="BSS_GLP_Pricelist10"/>
      <sheetName val="TB_Sept_'0410"/>
      <sheetName val="bp_and_bills_discounted8"/>
      <sheetName val="Option_28"/>
      <sheetName val="chicken_meal8"/>
      <sheetName val="spaghetti_meal8"/>
      <sheetName val="KEYS_CONTRIBUTION8"/>
      <sheetName val="E310_Plantation_Hills_8"/>
      <sheetName val="RFDA_Support_T38"/>
      <sheetName val="P&amp;L_by_Mth8"/>
      <sheetName val="2006_FCST8"/>
      <sheetName val="Vari_by_Vendor8"/>
      <sheetName val="GALBI_Tax_Comp8"/>
      <sheetName val="SAP_0528"/>
      <sheetName val="transpo_&amp;_other_allow8"/>
      <sheetName val="Accounts_List8"/>
      <sheetName val="&lt;PBC_02_04&gt;_Loans_to_Affiliate8"/>
      <sheetName val="AC_Details8"/>
      <sheetName val="Rate_&amp;_Other_Tables8"/>
      <sheetName val="MAKBAN_A8"/>
      <sheetName val="MAKBAN_B8"/>
      <sheetName val="MAKBAN_C8"/>
      <sheetName val="MAKBAN_D8"/>
      <sheetName val="MAKBAN_E8"/>
      <sheetName val="TOTAL_SLN8"/>
      <sheetName val="TOTAL_SLS8"/>
      <sheetName val="TIWI_A8"/>
      <sheetName val="TIWI_C8"/>
      <sheetName val="Working_Pgs8"/>
      <sheetName val="trade_(2)8"/>
      <sheetName val="Unique_Records8"/>
      <sheetName val="Mgt_HMO8"/>
      <sheetName val="Salary_Data8"/>
      <sheetName val="Hire_Date8"/>
      <sheetName val="Resignation_Date8"/>
      <sheetName val="PRICE_SELECTION7"/>
      <sheetName val="Input_CPPC7"/>
      <sheetName val="STAFF_LIST7"/>
      <sheetName val="dollar_policies7"/>
      <sheetName val="U1_P&amp;L7"/>
      <sheetName val="Topsheet_2013A7"/>
      <sheetName val="Key_Inputs7"/>
      <sheetName val="C-For_Settlement7"/>
      <sheetName val="Asset_Classes7"/>
      <sheetName val="E01_1_Aging_Summary7"/>
      <sheetName val="E01_1_4_URCCC7"/>
      <sheetName val="_IB-PL-YTD7"/>
      <sheetName val="__ls___ls___ls___ls___ls___ls_7"/>
      <sheetName val="trd_lastmo7"/>
      <sheetName val="ar_new7"/>
      <sheetName val="C3_7"/>
      <sheetName val="Rates_to_PHP7"/>
      <sheetName val="2_2-MUS_Calculations-_Interim7"/>
      <sheetName val="reported_mhr-rs17"/>
      <sheetName val="SCH_2_17"/>
      <sheetName val="Summary_(overall)7"/>
      <sheetName val="Additions-10_307"/>
      <sheetName val="unitcost_for_pivot3"/>
      <sheetName val="Sch_II3"/>
      <sheetName val="Balance_Sheet3"/>
      <sheetName val="DB_Bangkok3"/>
      <sheetName val="DB_London3"/>
      <sheetName val="DB_Frankfurt3"/>
      <sheetName val="Memo-Bank_Recon3"/>
      <sheetName val="External_order8"/>
      <sheetName val="_2Lapsing8"/>
      <sheetName val="BSS_GLP_Pricelist8"/>
      <sheetName val="TB_Sept_'048"/>
      <sheetName val="bp_and_bills_discounted6"/>
      <sheetName val="Option_26"/>
      <sheetName val="chicken_meal6"/>
      <sheetName val="spaghetti_meal6"/>
      <sheetName val="KEYS_CONTRIBUTION6"/>
      <sheetName val="E310_Plantation_Hills_6"/>
      <sheetName val="RFDA_Support_T36"/>
      <sheetName val="P&amp;L_by_Mth6"/>
      <sheetName val="2006_FCST6"/>
      <sheetName val="Vari_by_Vendor6"/>
      <sheetName val="GALBI_Tax_Comp6"/>
      <sheetName val="SAP_0526"/>
      <sheetName val="transpo_&amp;_other_allow6"/>
      <sheetName val="Accounts_List6"/>
      <sheetName val="&lt;PBC_02_04&gt;_Loans_to_Affiliate6"/>
      <sheetName val="AC_Details6"/>
      <sheetName val="Rate_&amp;_Other_Tables6"/>
      <sheetName val="MAKBAN_A6"/>
      <sheetName val="MAKBAN_B6"/>
      <sheetName val="MAKBAN_C6"/>
      <sheetName val="MAKBAN_D6"/>
      <sheetName val="MAKBAN_E6"/>
      <sheetName val="TOTAL_SLN6"/>
      <sheetName val="TOTAL_SLS6"/>
      <sheetName val="TIWI_A6"/>
      <sheetName val="TIWI_C6"/>
      <sheetName val="Working_Pgs6"/>
      <sheetName val="trade_(2)6"/>
      <sheetName val="Unique_Records6"/>
      <sheetName val="Mgt_HMO6"/>
      <sheetName val="Salary_Data6"/>
      <sheetName val="Hire_Date6"/>
      <sheetName val="Resignation_Date6"/>
      <sheetName val="PRICE_SELECTION5"/>
      <sheetName val="Input_CPPC5"/>
      <sheetName val="STAFF_LIST5"/>
      <sheetName val="dollar_policies5"/>
      <sheetName val="U1_P&amp;L5"/>
      <sheetName val="Topsheet_2013A5"/>
      <sheetName val="Key_Inputs5"/>
      <sheetName val="C-For_Settlement5"/>
      <sheetName val="Asset_Classes5"/>
      <sheetName val="E01_1_Aging_Summary5"/>
      <sheetName val="E01_1_4_URCCC5"/>
      <sheetName val="_IB-PL-YTD5"/>
      <sheetName val="__ls___ls___ls___ls___ls___ls_5"/>
      <sheetName val="trd_lastmo5"/>
      <sheetName val="ar_new5"/>
      <sheetName val="C3_5"/>
      <sheetName val="Rates_to_PHP5"/>
      <sheetName val="2_2-MUS_Calculations-_Interim5"/>
      <sheetName val="reported_mhr-rs15"/>
      <sheetName val="SCH_2_15"/>
      <sheetName val="Summary_(overall)5"/>
      <sheetName val="Additions-10_305"/>
      <sheetName val="unitcost_for_pivot1"/>
      <sheetName val="Sch_II1"/>
      <sheetName val="Balance_Sheet1"/>
      <sheetName val="DB_Bangkok1"/>
      <sheetName val="DB_London1"/>
      <sheetName val="DB_Frankfurt1"/>
      <sheetName val="Memo-Bank_Recon1"/>
      <sheetName val="Original_Andrew___Data12"/>
      <sheetName val="DATA_12"/>
      <sheetName val="PT_BS12"/>
      <sheetName val="External_order9"/>
      <sheetName val="_2Lapsing9"/>
      <sheetName val="BSS_GLP_Pricelist9"/>
      <sheetName val="TB_Sept_'049"/>
      <sheetName val="bp_and_bills_discounted7"/>
      <sheetName val="Option_27"/>
      <sheetName val="chicken_meal7"/>
      <sheetName val="spaghetti_meal7"/>
      <sheetName val="KEYS_CONTRIBUTION7"/>
      <sheetName val="E310_Plantation_Hills_7"/>
      <sheetName val="RFDA_Support_T37"/>
      <sheetName val="P&amp;L_by_Mth7"/>
      <sheetName val="2006_FCST7"/>
      <sheetName val="Vari_by_Vendor7"/>
      <sheetName val="GALBI_Tax_Comp7"/>
      <sheetName val="SAP_0527"/>
      <sheetName val="transpo_&amp;_other_allow7"/>
      <sheetName val="Accounts_List7"/>
      <sheetName val="&lt;PBC_02_04&gt;_Loans_to_Affiliate7"/>
      <sheetName val="AC_Details7"/>
      <sheetName val="Rate_&amp;_Other_Tables7"/>
      <sheetName val="MAKBAN_A7"/>
      <sheetName val="MAKBAN_B7"/>
      <sheetName val="MAKBAN_C7"/>
      <sheetName val="MAKBAN_D7"/>
      <sheetName val="MAKBAN_E7"/>
      <sheetName val="TOTAL_SLN7"/>
      <sheetName val="TOTAL_SLS7"/>
      <sheetName val="TIWI_A7"/>
      <sheetName val="TIWI_C7"/>
      <sheetName val="Working_Pgs7"/>
      <sheetName val="trade_(2)7"/>
      <sheetName val="Unique_Records7"/>
      <sheetName val="Mgt_HMO7"/>
      <sheetName val="Salary_Data7"/>
      <sheetName val="Hire_Date7"/>
      <sheetName val="Resignation_Date7"/>
      <sheetName val="PRICE_SELECTION6"/>
      <sheetName val="Input_CPPC6"/>
      <sheetName val="STAFF_LIST6"/>
      <sheetName val="dollar_policies6"/>
      <sheetName val="U1_P&amp;L6"/>
      <sheetName val="Topsheet_2013A6"/>
      <sheetName val="Key_Inputs6"/>
      <sheetName val="C-For_Settlement6"/>
      <sheetName val="Asset_Classes6"/>
      <sheetName val="E01_1_Aging_Summary6"/>
      <sheetName val="E01_1_4_URCCC6"/>
      <sheetName val="_IB-PL-YTD6"/>
      <sheetName val="__ls___ls___ls___ls___ls___ls_6"/>
      <sheetName val="trd_lastmo6"/>
      <sheetName val="ar_new6"/>
      <sheetName val="C3_6"/>
      <sheetName val="Rates_to_PHP6"/>
      <sheetName val="2_2-MUS_Calculations-_Interim6"/>
      <sheetName val="reported_mhr-rs16"/>
      <sheetName val="SCH_2_16"/>
      <sheetName val="Summary_(overall)6"/>
      <sheetName val="Additions-10_306"/>
      <sheetName val="unitcost_for_pivot2"/>
      <sheetName val="Sch_II2"/>
      <sheetName val="Balance_Sheet2"/>
      <sheetName val="DB_Bangkok2"/>
      <sheetName val="DB_London2"/>
      <sheetName val="DB_Frankfurt2"/>
      <sheetName val="Memo-Bank_Recon2"/>
      <sheetName val="tor-int__expense32"/>
      <sheetName val="mcit_(sb)32"/>
      <sheetName val="ITR_RECON32"/>
      <sheetName val="financial_highlights32"/>
      <sheetName val="key_mgt_ratios32"/>
      <sheetName val="tax_recon32"/>
      <sheetName val="INCOME_TAX32"/>
      <sheetName val="notes_updated32"/>
      <sheetName val="POSTED_ADJ32"/>
      <sheetName val="RF_RE32"/>
      <sheetName val="PASSED_ADJ32"/>
      <sheetName val="analytic_review32"/>
      <sheetName val="FOREX_(2)32"/>
      <sheetName val="E-1l2_memo32"/>
      <sheetName val="N_memo32"/>
      <sheetName val="U-2l3_memo32"/>
      <sheetName val="LIAB_SHE32"/>
      <sheetName val="list_of_pend_8_25_0332"/>
      <sheetName val="specific_i_d_32"/>
      <sheetName val="list_of_pend_9_1_0332"/>
      <sheetName val="Significant_Processes32"/>
      <sheetName val="Profit_&amp;_Loss32"/>
      <sheetName val="2006-3_Asia_Reimb32"/>
      <sheetName val="Bertha_Yuen32"/>
      <sheetName val="David_Schaefer32"/>
      <sheetName val="Elise_Lai32"/>
      <sheetName val="Guy_Fulton32"/>
      <sheetName val="Howard_Zhang32"/>
      <sheetName val="Juno_Hwang32"/>
      <sheetName val="Kate_B32"/>
      <sheetName val="Leo_Chen32"/>
      <sheetName val="Marco_Ho32"/>
      <sheetName val="Pius_Ho32"/>
      <sheetName val="Ravi_Hansoty32"/>
      <sheetName val="Sarina_Chau32"/>
      <sheetName val="Suresh_M32"/>
      <sheetName val="Week_132"/>
      <sheetName val="Week_232"/>
      <sheetName val="Week_332"/>
      <sheetName val="Week_432"/>
      <sheetName val="Week_532"/>
      <sheetName val="99_FM_-_NFM32"/>
      <sheetName val="RE_recon32"/>
      <sheetName val="wbs_fsa32"/>
      <sheetName val="Quezon_Ave32"/>
      <sheetName val="Std_Time_A32"/>
      <sheetName val="SAP_Extract32"/>
      <sheetName val="Stock_Div_Accural32"/>
      <sheetName val="Aug_Dump32"/>
      <sheetName val="Summary_of_AR32"/>
      <sheetName val="09_30_03_Recon32"/>
      <sheetName val="FA_Movement32"/>
      <sheetName val="translist_(2)32"/>
      <sheetName val="Foreign_Details32"/>
      <sheetName val="gà_32"/>
      <sheetName val="account_name32"/>
      <sheetName val="pcc_niigata32"/>
      <sheetName val="NL290_WGACC_&amp;_DEHYDR_32"/>
      <sheetName val="Voc_1_VL32"/>
      <sheetName val="Voc_2_VL32"/>
      <sheetName val="SL_VOC32"/>
      <sheetName val="Server_Ratios32"/>
      <sheetName val="Interest_Rates32"/>
      <sheetName val="Variance_Report_Reorganized32"/>
      <sheetName val="Notes_to_Accounts32"/>
      <sheetName val="2-2022_AP_SUBS32"/>
      <sheetName val="JAN_TRADE_32"/>
      <sheetName val="MFO_Lookup32"/>
      <sheetName val="outside_services,_gen_&amp;_bus_e32"/>
      <sheetName val="Input_SFR32"/>
      <sheetName val="Schedule_E28"/>
      <sheetName val="Schedule_A_28"/>
      <sheetName val="Schedule_B28"/>
      <sheetName val="2-cash_CRAM32"/>
      <sheetName val="Int__&amp;_Inv__Details32"/>
      <sheetName val="K513_(2)32"/>
      <sheetName val="Sheet1_(4)32"/>
      <sheetName val="Qry_AssetLocation_(2)32"/>
      <sheetName val="Sheet1_(3)32"/>
      <sheetName val="Sheet1_(2)32"/>
      <sheetName val="WEEKLY-BUD_INJECTION-BAG-TOTA32"/>
      <sheetName val="map-VENDOR_CODE32"/>
      <sheetName val="Income_Statement32"/>
      <sheetName val="US_Codes32"/>
      <sheetName val="R5_-_PBC_2009_Opex_Schedule30"/>
      <sheetName val="R6_-Interim_PBC_2010_Opex_Sch30"/>
      <sheetName val="R9_-_Interim_Utilities_Exp_TO30"/>
      <sheetName val="R4_-_Interim_Operating_Expens30"/>
      <sheetName val="SRP_FH32"/>
      <sheetName val="ALL_FW-SOLIDS26"/>
      <sheetName val="A,B,C_Sales_Timing26"/>
      <sheetName val="FC_switches32"/>
      <sheetName val="ExcavationWorks_Type_IV28"/>
      <sheetName val="ACTUALSALARIES_AS_OF_050228"/>
      <sheetName val="POSTED_ŁDJ30"/>
      <sheetName val="Other_Investment26"/>
      <sheetName val="Trnf_frm_ORE26"/>
      <sheetName val="co_1026"/>
      <sheetName val="_PAJE1130"/>
      <sheetName val="Specific_Question_Report30"/>
      <sheetName val="2201_-_Due_to_Media26"/>
      <sheetName val="1|_EWP26"/>
      <sheetName val="6|_NFS26"/>
      <sheetName val="VP_Lookup26"/>
      <sheetName val="DAILY-BOXES_PACKED-ENTRY26"/>
      <sheetName val="trial_balance26"/>
      <sheetName val="2015_Ropax_Sked26"/>
      <sheetName val="2015_Frt_Sked26"/>
      <sheetName val="2014_Sked26"/>
      <sheetName val="2014_Fuel_Prices26"/>
      <sheetName val="FDC_FS_CY26"/>
      <sheetName val="FDC_TB_CY26"/>
      <sheetName val="Advertising_&amp;_Marketing26"/>
      <sheetName val="Miscellaneous_Expense26"/>
      <sheetName val="Need_Breakdown26"/>
      <sheetName val="|Needed_Documents26"/>
      <sheetName val="REF_CODES26"/>
      <sheetName val="Annex_E26"/>
      <sheetName val="sales_and_expenses_summary16"/>
      <sheetName val="Store_Plan26"/>
      <sheetName val="3_3_details26"/>
      <sheetName val="YTD_Pivots26"/>
      <sheetName val="POS_INV_971226"/>
      <sheetName val="pos_collection_timeliness26"/>
      <sheetName val="Determination_of_Threshold16"/>
      <sheetName val="Currency_Converter16"/>
      <sheetName val="ME_200416"/>
      <sheetName val="Tax_Comp16"/>
      <sheetName val="Credit_Card16"/>
      <sheetName val="RU_Overview16"/>
      <sheetName val="ClaireMde_Glass16"/>
      <sheetName val="Claire_Mde_Plastics16"/>
      <sheetName val="Net_Trans_Sum16"/>
      <sheetName val="INCOME_TAX_0216"/>
      <sheetName val="SOC_forDomestic_Subsi16"/>
      <sheetName val="Codes-Do_not_delete16"/>
      <sheetName val="RC_Code16"/>
      <sheetName val="Consideration_Illustration16"/>
      <sheetName val="CAN_COST_SUMMARY16"/>
      <sheetName val="Prem_EIR16"/>
      <sheetName val="PAJE_13_Support16"/>
      <sheetName val="Original_Andrew___Data14"/>
      <sheetName val="Form_10016"/>
      <sheetName val="1-Test_of_Details16"/>
      <sheetName val="Overview_(100)13"/>
      <sheetName val="DATA_14"/>
      <sheetName val="PT_BS14"/>
      <sheetName val="All_Expenses13"/>
      <sheetName val="BAD_DEBTS_EXPENSE13"/>
      <sheetName val="service_charge13"/>
      <sheetName val="STATEMENT_OF_EXP__&amp;_HO_ACCOUN13"/>
      <sheetName val="_2Lapsing11"/>
      <sheetName val="BSS_GLP_Pricelist11"/>
      <sheetName val="Total_Spend_Per_Category13"/>
      <sheetName val="External_order11"/>
      <sheetName val="GAE_Data_Entry13"/>
      <sheetName val="TB_Sept_'0411"/>
      <sheetName val="Option_29"/>
      <sheetName val="RFDA_Support_T39"/>
      <sheetName val="P&amp;L_by_Mth9"/>
      <sheetName val="2006_FCST9"/>
      <sheetName val="chicken_meal9"/>
      <sheetName val="spaghetti_meal9"/>
      <sheetName val="AC_Details9"/>
      <sheetName val="E310_Plantation_Hills_9"/>
      <sheetName val="KEYS_CONTRIBUTION9"/>
      <sheetName val="Vari_by_Vendor9"/>
      <sheetName val="Rate_&amp;_Other_Tables9"/>
      <sheetName val="MAKBAN_A9"/>
      <sheetName val="MAKBAN_B9"/>
      <sheetName val="MAKBAN_C9"/>
      <sheetName val="MAKBAN_D9"/>
      <sheetName val="MAKBAN_E9"/>
      <sheetName val="TOTAL_SLN9"/>
      <sheetName val="TOTAL_SLS9"/>
      <sheetName val="TIWI_A9"/>
      <sheetName val="TIWI_C9"/>
      <sheetName val="transpo_&amp;_other_allow9"/>
      <sheetName val="Working_Pgs9"/>
      <sheetName val="trade_(2)9"/>
      <sheetName val="Unique_Records9"/>
      <sheetName val="bp_and_bills_discounted9"/>
      <sheetName val="GALBI_Tax_Comp9"/>
      <sheetName val="SAP_0529"/>
      <sheetName val="Mgt_HMO9"/>
      <sheetName val="Balance_Sheet4"/>
      <sheetName val="Accounts_List9"/>
      <sheetName val="&lt;PBC_02_04&gt;_Loans_to_Affiliate9"/>
      <sheetName val="PRICE_SELECTION8"/>
      <sheetName val="Input_CPPC8"/>
      <sheetName val="STAFF_LIST8"/>
      <sheetName val="dollar_policies8"/>
      <sheetName val="U1_P&amp;L8"/>
      <sheetName val="Topsheet_2013A8"/>
      <sheetName val="Key_Inputs8"/>
      <sheetName val="C-For_Settlement8"/>
      <sheetName val="Asset_Classes8"/>
      <sheetName val="Salary_Data9"/>
      <sheetName val="Hire_Date9"/>
      <sheetName val="Resignation_Date9"/>
      <sheetName val="Sch_II4"/>
      <sheetName val="E01_1_Aging_Summary8"/>
      <sheetName val="E01_1_4_URCCC8"/>
      <sheetName val="_IB-PL-YTD8"/>
      <sheetName val="__ls___ls___ls___ls___ls___ls_8"/>
      <sheetName val="trd_lastmo8"/>
      <sheetName val="ar_new8"/>
      <sheetName val="C3_8"/>
      <sheetName val="Rates_to_PHP8"/>
      <sheetName val="2_2-MUS_Calculations-_Interim8"/>
      <sheetName val="reported_mhr-rs18"/>
      <sheetName val="SCH_2_18"/>
      <sheetName val="Summary_(overall)8"/>
      <sheetName val="Additions-10_308"/>
      <sheetName val="BS_Process_&amp;_Approach4"/>
      <sheetName val="IS_Process_&amp;_Approach4"/>
      <sheetName val="DB_Bangkok4"/>
      <sheetName val="DB_London4"/>
      <sheetName val="DB_Frankfurt4"/>
      <sheetName val="Memo-Bank_Recon4"/>
      <sheetName val="unitcost_for_pivot4"/>
      <sheetName val="SAP 014 A"/>
      <sheetName val="[_x0010__x0000_ꂽ_x0004__x0000__x0000__x0000__x0000__x0000__x0000__x0000__x0000__x0000__x0000__x0000__x0000__x0000__x0000__x0000__x0000__x0000__x0000__x0000__x0000__x0010_"/>
      <sheetName val="Deployment Service Calc"/>
      <sheetName val="D200"/>
      <sheetName val="UNIT COST REC"/>
      <sheetName val="Prin Int Accounts"/>
      <sheetName val="Info"/>
      <sheetName val="SAMOA_Balance sheet movement"/>
      <sheetName val="Fund"/>
      <sheetName val="SA02-03"/>
      <sheetName val="E1020"/>
      <sheetName val="Data List"/>
      <sheetName val="P412-2001"/>
      <sheetName val="P413-2002"/>
      <sheetName val="G101"/>
      <sheetName val="R540"/>
      <sheetName val="Ref Assets"/>
      <sheetName val="D302 Mid Broker Quotes"/>
      <sheetName val="FX"/>
      <sheetName val="F211"/>
      <sheetName val="EXCH97 (1101)"/>
      <sheetName val="ING per MIS"/>
      <sheetName val="INVENCAP"/>
      <sheetName val="taxTable"/>
      <sheetName val="Admin Expense"/>
      <sheetName val="CI"/>
      <sheetName val="other expenses"/>
      <sheetName val="Payroll Register"/>
      <sheetName val="__x005f_x0010__ꂽ_x005f_x0004__________0"/>
      <sheetName val="2201"/>
      <sheetName val="시장별"/>
      <sheetName val="GLI Interface"/>
      <sheetName val="[_x0010_?ꂽ_x0004_???????????????"/>
      <sheetName val="[_x0010_?ꂽ_x0004_???????????????԰???Ā??"/>
      <sheetName val="G4"/>
      <sheetName val="G3"/>
      <sheetName val="A.4.1"/>
      <sheetName val="Sheet5"/>
      <sheetName val="PPE.1 LAPSING"/>
      <sheetName val="TOE-Disbursement"/>
      <sheetName val="Analytical proc."/>
      <sheetName val="24"/>
      <sheetName val="SUBSEC QTY (MAIN LINE)"/>
      <sheetName val="GL"/>
      <sheetName val="Transaction"/>
      <sheetName val="Query"/>
      <sheetName val="IND"/>
      <sheetName val="JVDOC1.XLM"/>
      <sheetName val="1ST RUN"/>
      <sheetName val="PRODSTAT"/>
      <sheetName val=" 4-Budgets"/>
      <sheetName val="6-7-PV"/>
      <sheetName val="Readme"/>
      <sheetName val="5-Growth"/>
      <sheetName val="5-Projection"/>
      <sheetName val="5-Policy"/>
      <sheetName val="9-Financing"/>
      <sheetName val="AV COSTBYITEM"/>
      <sheetName val="Rank"/>
      <sheetName val="Sales Seasonality by Month"/>
      <sheetName val="LIQSTATE"/>
      <sheetName val="aquila"/>
      <sheetName val="Assumption"/>
      <sheetName val="Cash Flow"/>
      <sheetName val="AFFL"/>
      <sheetName val="AWL"/>
      <sheetName val="BTTL"/>
      <sheetName val="CMC"/>
      <sheetName val="DCSC"/>
      <sheetName val="DPMC"/>
      <sheetName val="DTPL"/>
      <sheetName val="FCIL"/>
      <sheetName val="GFC"/>
      <sheetName val="LFC"/>
      <sheetName val="LHC"/>
      <sheetName val="LPI"/>
      <sheetName val="MFPS"/>
      <sheetName val="MHC"/>
      <sheetName val="OIL"/>
      <sheetName val="RMFL"/>
      <sheetName val="SWL"/>
      <sheetName val="[_x005f_x0010_?傄_x0"/>
      <sheetName val="bank comparison"/>
      <sheetName val="Product_Cost_12"/>
      <sheetName val="Vol_Report_22"/>
      <sheetName val="영업_일11"/>
      <sheetName val="TB_with_Adj_20091"/>
      <sheetName val="NEW_CODES1"/>
      <sheetName val="AMORTIZE(Bldg_&amp;_Land)1"/>
      <sheetName val="Phase_61"/>
      <sheetName val="Cash_Flows_(2011)1"/>
      <sheetName val="2_´ë?Ü°o1®1"/>
      <sheetName val="Dep__PIT1"/>
      <sheetName val="A2_1_Procedure1"/>
      <sheetName val="A2_2_PPE_Rollforward_support1"/>
      <sheetName val="FDC_TB_C1"/>
      <sheetName val="Jan2001_cc_rollup_rf1"/>
      <sheetName val="GS_VP_table1"/>
      <sheetName val="Timaru_Chips1"/>
      <sheetName val="Tim_Milling1"/>
      <sheetName val="Currency_Converter_Q11"/>
      <sheetName val="Q1_lookup1"/>
      <sheetName val="K20_Office_Equipment1"/>
      <sheetName val="Global_Data1"/>
      <sheetName val="B_S1"/>
      <sheetName val="CF_(2)1"/>
      <sheetName val="3_1"/>
      <sheetName val="FEI__BS_PL1"/>
      <sheetName val="FEI_BS1"/>
      <sheetName val="FEI_PL1"/>
      <sheetName val="FEI_PL_Actual1"/>
      <sheetName val="BS_Acc1"/>
      <sheetName val="QB_BS1"/>
      <sheetName val="FEI_Cash_Flow1"/>
      <sheetName val="4_-_Depreciation1"/>
      <sheetName val="PRIME_MEAT1"/>
      <sheetName val="Lapsing_Disclosure1"/>
      <sheetName val="Vendor_Setup1"/>
      <sheetName val="PERSONAL_H_O_1"/>
      <sheetName val="Vendor_Setup"/>
      <sheetName val="PERSONAL_H_O_"/>
      <sheetName val="MWC_TO2"/>
      <sheetName val="25_NI_Reconciliation2"/>
      <sheetName val="All_Chart_Data2"/>
      <sheetName val="Trans_Type2"/>
      <sheetName val="Product_Cost_13"/>
      <sheetName val="Vol_Report_23"/>
      <sheetName val="영업_일12"/>
      <sheetName val="Relief_Fr_Royalty2"/>
      <sheetName val="TB_with_Adj_20092"/>
      <sheetName val="NEW_CODES2"/>
      <sheetName val="ASP_Database2"/>
      <sheetName val="Appendix_H_-_Exchange_Rates2"/>
      <sheetName val="Interim_--&gt;_Top2"/>
      <sheetName val="B2_1_-_CRAM2"/>
      <sheetName val="Gia_vat_tu2"/>
      <sheetName val="Epiq_GmbH2"/>
      <sheetName val="Ex_Rate2"/>
      <sheetName val="TAP_MONITORING2"/>
      <sheetName val="Sprint_Intercarrier_Pricing2"/>
      <sheetName val="AMORTIZE(Bldg_&amp;_Land)2"/>
      <sheetName val="G_Adv_to_OE2"/>
      <sheetName val="Phase_62"/>
      <sheetName val="Cash_Flows_(2011)2"/>
      <sheetName val="Library_Procedures2"/>
      <sheetName val="2_´ë?Ü°o1®2"/>
      <sheetName val="01|_ATLP2"/>
      <sheetName val="Dep__PIT2"/>
      <sheetName val="A2_1_Procedure2"/>
      <sheetName val="A2_2_PPE_Rollforward_support2"/>
      <sheetName val="FDC_TB_C2"/>
      <sheetName val="Jan2001_cc_rollup_rf2"/>
      <sheetName val="GS_VP_table2"/>
      <sheetName val="Timaru_Chips2"/>
      <sheetName val="Tim_Milling2"/>
      <sheetName val="Currency_Converter_Q12"/>
      <sheetName val="Q1_lookup2"/>
      <sheetName val="K20_Office_Equipment2"/>
      <sheetName val="Global_Data2"/>
      <sheetName val="B_S2"/>
      <sheetName val="CF_(2)2"/>
      <sheetName val="3_2"/>
      <sheetName val="FEI__BS_PL2"/>
      <sheetName val="FEI_BS2"/>
      <sheetName val="FEI_PL2"/>
      <sheetName val="FEI_PL_Actual2"/>
      <sheetName val="BS_Acc2"/>
      <sheetName val="QB_BS2"/>
      <sheetName val="FEI_Cash_Flow2"/>
      <sheetName val="4_-_Depreciation2"/>
      <sheetName val="PRIME_MEAT2"/>
      <sheetName val="Lapsing_Disclosure2"/>
      <sheetName val="Vendor_Setup2"/>
      <sheetName val="PERSONAL_H_O_2"/>
      <sheetName val="Prices"/>
      <sheetName val="Top_Sheet"/>
      <sheetName val="Top_Sheet1"/>
      <sheetName val="MAIN_(2)1"/>
      <sheetName val="Bin"/>
      <sheetName val="3QLRP ( R2 MOR)"/>
      <sheetName val="DH"/>
      <sheetName val="List PC"/>
      <sheetName val="Balance Sheets"/>
      <sheetName val="16610"/>
      <sheetName val="MIS"/>
      <sheetName val="3-Ratios"/>
      <sheetName val="1-System"/>
      <sheetName val="5-Breakeven"/>
      <sheetName val="E10"/>
      <sheetName val="SAP-Oct"/>
      <sheetName val="FS_Worksheet"/>
      <sheetName val="GL_SUMMARY_04-25-06"/>
      <sheetName val="2011_Refo"/>
      <sheetName val="addl_cost"/>
      <sheetName val="BS_Interim_sig_acct"/>
      <sheetName val="Cash_CRAM"/>
      <sheetName val="POSITIONS_TABLE"/>
      <sheetName val="Securities_Masterlist"/>
      <sheetName val="FS_vs__Alphalist-CF____________"/>
      <sheetName val="E0-_Lead"/>
      <sheetName val="sub. paym."/>
      <sheetName val="March 2015 AR Report (Draft)"/>
      <sheetName val="U201"/>
      <sheetName val="Entity Data"/>
      <sheetName val="Drill"/>
      <sheetName val="LOANS"/>
      <sheetName val="[1702_JAN'951P者_x0000__x000f_P者_x0000__x000f_P者_x0000__x000f_P者_x0000_"/>
      <sheetName val="[1702_JAN'951P者"/>
      <sheetName val="ITAS_Client_List"/>
      <sheetName val="Dec_01_-_Detail"/>
      <sheetName val="Drop_List"/>
      <sheetName val="AP_by-brand"/>
      <sheetName val="Africa_RMO"/>
      <sheetName val="SPI_GMBH"/>
      <sheetName val="Account_Code"/>
      <sheetName val="PL_Act_v_Bud_-_FPM"/>
      <sheetName val="ADJ_TB_DEC01"/>
      <sheetName val="def___tax"/>
      <sheetName val="Ratio_Analysis"/>
      <sheetName val="FG_RM_MKN"/>
      <sheetName val="UTILITIESJan_June2019&amp;Prod_Repo"/>
      <sheetName val="RM-May2019Beg_RM"/>
      <sheetName val="RM-May2019End_Inventory"/>
      <sheetName val="FG-May2019End_Inventory"/>
      <sheetName val="FG-May2019End_Inventory-Yoshi"/>
      <sheetName val="PriceAdjustment_May2019"/>
      <sheetName val="Trainee_Payroll_JUNE_1-15"/>
      <sheetName val="Trainee_Payroll_JUNE_16-30"/>
      <sheetName val="Admin_Reg_Payroll_JUNE_16-30"/>
      <sheetName val="Admin_Reg_Pyroll_JUNE_1-15"/>
      <sheetName val="FG-Yoshi_Beg_InvtryJune2019"/>
      <sheetName val="FG-Beg_InvtryJune2019"/>
      <sheetName val="DRY-Beg_InvrtyJune2019"/>
      <sheetName val="RM-Beg_InvrtyJune_2019"/>
      <sheetName val="May2019_Sales_ReportYoshi"/>
      <sheetName val="YOSHI_ELECT_FEB_TO_MAY"/>
      <sheetName val="YOSHI_JUNE_TO_JULY"/>
      <sheetName val="MANPOWER_OFFICE"/>
      <sheetName val="MANPOWER_PRODUCTION"/>
      <sheetName val="Mapping table"/>
      <sheetName val="cheeseburger"/>
      <sheetName val="DROPDOWNS"/>
      <sheetName val="wtb2005"/>
      <sheetName val="2-FA Movement"/>
      <sheetName val="1505"/>
      <sheetName val="BSS AM Page"/>
      <sheetName val="CMA Testing"/>
      <sheetName val="2-Test of details"/>
      <sheetName val="Co. Code"/>
      <sheetName val="CRITERIA2"/>
      <sheetName val="CRITERIA1"/>
      <sheetName val="CF3"/>
      <sheetName val="Q"/>
      <sheetName val="[_x0010__x0010__x0006__x0006__x0019__x0019__x0006__x0006_ĢĢ_x0005__x0005_d."/>
      <sheetName val="[_x0010__x0010__x0006__x0006__x0019__x0019__x0006__x0006_GG_x0005__x0005_d."/>
      <sheetName val="[_x0010_?_x0004_??Ã?"/>
      <sheetName val="__x0010__x0010__x"/>
      <sheetName val="__x0010__x00"/>
      <sheetName val="Wee_x0006__x0006_"/>
      <sheetName val="[_x0010__x0010__x"/>
      <sheetName val="__x0010___x0004__"/>
      <sheetName val="[_x0010__x00"/>
      <sheetName val="[1702_JAN'951P者_x000f_P者_x000f_P者_x000f_P者"/>
      <sheetName val="Check Clearing"/>
      <sheetName val="Drop Down List"/>
      <sheetName val="USSalary04"/>
      <sheetName val="assum"/>
      <sheetName val="S12.7 LIBOR"/>
      <sheetName val="CHANGE"/>
      <sheetName val="target"/>
      <sheetName val="956ckr"/>
      <sheetName val="InvtySept05"/>
      <sheetName val="U1-1"/>
      <sheetName val="U2"/>
      <sheetName val="BudConfer"/>
      <sheetName val="E1"/>
      <sheetName val="O1"/>
      <sheetName val="Name"/>
      <sheetName val="PDCC"/>
      <sheetName val="SSI"/>
      <sheetName val="Syntegra"/>
      <sheetName val="4 Analysis"/>
      <sheetName val="Aboitiz"/>
      <sheetName val="JC CONT"/>
      <sheetName val="tax"/>
      <sheetName val="oe15"/>
      <sheetName val="PSI1 VL"/>
      <sheetName val="cuscode"/>
      <sheetName val="WACC"/>
      <sheetName val="UB branch"/>
      <sheetName val="SP"/>
      <sheetName val="Copy"/>
      <sheetName val="__x0010__ꂽ_x0004__________0Ԁ찀"/>
      <sheetName val="Recon  - 2019"/>
      <sheetName val="Project Data"/>
      <sheetName val="UOM"/>
      <sheetName val="PC Prediction"/>
      <sheetName val="pds"/>
      <sheetName val="LI12B1"/>
      <sheetName val="LI12B2"/>
      <sheetName val="LI12C1"/>
      <sheetName val="LI12C2"/>
      <sheetName val="LI12C4"/>
      <sheetName val="Bonchon"/>
      <sheetName val="COSY"/>
      <sheetName val="PIU Pricing"/>
      <sheetName val="NWEXT"/>
      <sheetName val="SUPPEXT"/>
      <sheetName val="OPTIONAL FEATURES"/>
      <sheetName val="SCA"/>
      <sheetName val="CHART OF ACCOUNTS"/>
      <sheetName val="JV"/>
      <sheetName val="Jan"/>
      <sheetName val="Feb"/>
      <sheetName val="Mar"/>
      <sheetName val="May"/>
      <sheetName val="Jun"/>
      <sheetName val="Jul"/>
      <sheetName val="Aug"/>
      <sheetName val="Sep"/>
      <sheetName val="Oct"/>
      <sheetName val="Dec"/>
      <sheetName val="YTD"/>
      <sheetName val="COC"/>
      <sheetName val="Lookup Table"/>
      <sheetName val="WAO_Classification4"/>
      <sheetName val="codes_DO_NOT_DELETE1"/>
      <sheetName val="SUBSTRATE_UNC_+_INT_HC1"/>
      <sheetName val="HMC_AV1"/>
      <sheetName val="HMC_AV_BLUE_CUT_GEN_21"/>
      <sheetName val="HMC_PR_GEN_21"/>
      <sheetName val="HMC_PR_GEN_31"/>
      <sheetName val="HMC_PR_GEN_41"/>
      <sheetName val="MANUF_COST1"/>
      <sheetName val="Raw_mat_&amp;_quantities1"/>
      <sheetName val="WIP_FOR_MPE1"/>
      <sheetName val="PR_REPORT1"/>
      <sheetName val="Working_Mfg_Hours1"/>
      <sheetName val="Working_Mfg_Hours-mpe21"/>
      <sheetName val="Results_Of_AllocationATOME1"/>
      <sheetName val="Results_Of_Allocationmpe21"/>
      <sheetName val="OVH_AFT1"/>
      <sheetName val="MANUF_AFTER1"/>
      <sheetName val="MON_ALLOC1"/>
      <sheetName val="TRNG_&amp;_TEST1"/>
      <sheetName val="SF_ALLOC1"/>
      <sheetName val="MOLDS_REJECT1"/>
      <sheetName val="MON_ALLOC_@20181"/>
      <sheetName val="ADV_OE_SEPT_2019"/>
      <sheetName val="Labor-Equipment_Rates"/>
      <sheetName val="T_5-02"/>
      <sheetName val="daywork-_Tham_khao"/>
      <sheetName val="WK_Local"/>
      <sheetName val="Balance_Sheet_P&amp;L_CF"/>
      <sheetName val="PRODUCTION_COST_PER_BOX_ALL"/>
      <sheetName val="PER-IN_PHP"/>
      <sheetName val="tax-employees_with_no_refund"/>
      <sheetName val="Price_Index_Jun_07"/>
      <sheetName val="Audit_Requests_Monitoring"/>
      <sheetName val="Data_Validation"/>
      <sheetName val="Parameter_Sheet"/>
      <sheetName val="fai_unrelesed_sept2011"/>
      <sheetName val="Assumptions_-_16X6_+_2_Sundays"/>
      <sheetName val="Schedule_2"/>
      <sheetName val="Schedule_3"/>
      <sheetName val="Schedule_4"/>
      <sheetName val="TB_2_10"/>
      <sheetName val="PBC_-_BDO_CA"/>
      <sheetName val="PBC_-_BDO_SA"/>
      <sheetName val="PBC_-_BPI_CA"/>
      <sheetName val="PBC_-_BPI_SA"/>
      <sheetName val="BOOK_FCST"/>
      <sheetName val="F__Reconciliation_"/>
      <sheetName val="_________Ã_______"/>
      <sheetName val="No__Of_Users"/>
      <sheetName val="IT_Details"/>
      <sheetName val="Project_Summary"/>
      <sheetName val="Finance_Allocations"/>
      <sheetName val="Premium_Per_Line"/>
      <sheetName val="TB_(2)"/>
      <sheetName val="CIP_recon"/>
      <sheetName val="beg_balance"/>
      <sheetName val="Teresa_-_2007"/>
      <sheetName val="test_of_additions"/>
      <sheetName val="TCG_PPE_DET"/>
      <sheetName val="UNIT_COST_REC"/>
      <sheetName val="Prin_Int_Accounts"/>
      <sheetName val="SAMOA_Balance_sheet_movement"/>
      <sheetName val="Data_List"/>
      <sheetName val="Ref_Assets"/>
      <sheetName val="D302_Mid_Broker_Quotes"/>
      <sheetName val="EXCH97_(1101)"/>
      <sheetName val="ING_per_MIS"/>
      <sheetName val="Govt_ER_Shares"/>
      <sheetName val="FINAL_"/>
      <sheetName val="sub__paym_"/>
      <sheetName val="March_2015_AR_Report_(Draft)"/>
      <sheetName val="ayala_10265___"/>
      <sheetName val="A_4_1"/>
      <sheetName val="Store_Summary-2001_EOY"/>
      <sheetName val="Inv Master"/>
      <sheetName val="anc_table"/>
      <sheetName val="2.´ë_Ü°o1®"/>
      <sheetName val="__x005f_x0010____x005f_x0004___"/>
      <sheetName val="__x005f_x005f_x005f_x0010____x0"/>
      <sheetName val="2_´ë_Ü°o1®"/>
      <sheetName val="Regions"/>
      <sheetName val="Intangible Assets"/>
      <sheetName val="Pivots"/>
      <sheetName val="Fcast PL-Internal"/>
      <sheetName val="__x0010__ꂽ_x0004__________0"/>
      <sheetName val="Franchisees Sales"/>
      <sheetName val="asia"/>
      <sheetName val="BS_09-30-12"/>
      <sheetName val="IS_09-30-12"/>
      <sheetName val="PAGE NO.     9"/>
      <sheetName val="accruals 2004 2"/>
      <sheetName val="FF-3"/>
      <sheetName val="IMG-V86報廢數據"/>
      <sheetName val="Lookups"/>
      <sheetName val="Detailed P&amp;L"/>
      <sheetName val="IRR_Mo"/>
      <sheetName val="資材規格リスト(単価確認）"/>
      <sheetName val="SC Orders"/>
      <sheetName val="06 JUN 07"/>
      <sheetName val="4-allowance FG"/>
      <sheetName val="SAP CK RUN "/>
      <sheetName val="Rules"/>
      <sheetName val="tsy_unwind"/>
      <sheetName val="CAT3596"/>
      <sheetName val="PC"/>
      <sheetName val="Per Business"/>
      <sheetName val="Reference Sheet"/>
      <sheetName val="[_x0010_?傄_x0004_???☁?蠤Ã???????????????"/>
      <sheetName val="__x0010__傄_x0004____☁_蠤Ã______________?"/>
      <sheetName val="__x005f_x005f_x005f_x005F_x005f_x0010__x005"/>
      <sheetName val="__x005f_x005f_x005f_x005F_x005f_x0010___x00"/>
      <sheetName val="__x005f_x005f_x005f_x005F_x005f_x0010_"/>
      <sheetName val="__x005f_x005f_x005f_x005F_x005f_x005f_x005f"/>
      <sheetName val="__x005f_x005f_x005f_x005F_x005f_x0010__傄_x0"/>
      <sheetName val="__x005f_x005f_x005f_x005F_x005f_x0010__ꂽ_x0"/>
      <sheetName val="[_x005f_x005f_x005f_x005F_x005f_x0010__x005"/>
      <sheetName val="[_x005f_x005f_x005f_x005F_x005f_x0010_?_x00"/>
      <sheetName val="c.1"/>
      <sheetName val="f1"/>
      <sheetName val="h1"/>
      <sheetName val="paint_lup-tables"/>
      <sheetName val="macro"/>
      <sheetName val="Supplier Database"/>
      <sheetName val="2002年"/>
      <sheetName val="Chart1"/>
      <sheetName val="LRI_NEW"/>
      <sheetName val="AP CHECKBOOK"/>
      <sheetName val="LIST_GLCHART"/>
      <sheetName val="Rosters"/>
      <sheetName val="P&amp;L"/>
      <sheetName val="#511BkRec"/>
      <sheetName val="#511-DEC97"/>
      <sheetName val="MAR06"/>
      <sheetName val="ActbyProd_LCY_Trend"/>
      <sheetName val="TAX RATES"/>
      <sheetName val="Community and Approvals (Pesos)"/>
      <sheetName val="XVIa(i) - average price (2)"/>
      <sheetName val="Questions"/>
      <sheetName val="PB-2018vs actual BP"/>
      <sheetName val="FormCO"/>
      <sheetName val="1 sum 05"/>
      <sheetName val="Aging"/>
      <sheetName val="Air Conditional"/>
      <sheetName val="Computer"/>
      <sheetName val="Equipment"/>
      <sheetName val="Motor Vehicle"/>
      <sheetName val="Renovation"/>
      <sheetName val="三和国际"/>
      <sheetName val="上海田村"/>
      <sheetName val="东莞生益"/>
      <sheetName val="丹阳绝缘"/>
      <sheetName val="浙华立达"/>
      <sheetName val="南京同德"/>
      <sheetName val="山东招远"/>
      <sheetName val="河北肃宁"/>
      <sheetName val="湖州锦龙"/>
      <sheetName val="Sales for 2001"/>
      <sheetName val="153541"/>
      <sheetName val="Equip Dim"/>
      <sheetName val="JRSS"/>
      <sheetName val="WTY CUMULATION"/>
      <sheetName val="SDH R1"/>
      <sheetName val="Fiber Parameters"/>
      <sheetName val="UL multislot blkng"/>
      <sheetName val="Definitions"/>
      <sheetName val="DUMMY"/>
      <sheetName val="control_file"/>
      <sheetName val="JUNE10"/>
      <sheetName val="JUNE25"/>
      <sheetName val="GL Database"/>
      <sheetName val="Relief_Fr_Royalty3"/>
      <sheetName val="All_Chart_Data3"/>
      <sheetName val="Appendix_H_-_Exchange_Rates3"/>
      <sheetName val="MWC_TO3"/>
      <sheetName val="25_NI_Reconciliation3"/>
      <sheetName val="Epiq_GmbH3"/>
      <sheetName val="TAP_MONITORING3"/>
      <sheetName val="Sprint_Intercarrier_Pricing3"/>
      <sheetName val="Ex_Rate3"/>
      <sheetName val="Trans_Type3"/>
      <sheetName val="LEAVES"/>
      <sheetName val="RMU MOLDING"/>
      <sheetName val="2000 MOR"/>
      <sheetName val="LoanProfitablity"/>
      <sheetName val="Sensitive Cover"/>
      <sheetName val="SECURITY SERVICES"/>
      <sheetName val="Materials"/>
      <sheetName val="Trips - Revenue"/>
      <sheetName val="Control Download"/>
      <sheetName val="first run"/>
      <sheetName val="2004"/>
      <sheetName val="HP"/>
      <sheetName val="FA1"/>
      <sheetName val="SCHE-F"/>
      <sheetName val="delete"/>
      <sheetName val="ITR 2019"/>
      <sheetName val="Copy of Income Stmnt"/>
      <sheetName val="annualtx"/>
      <sheetName val="唐山"/>
      <sheetName val="WAUC"/>
      <sheetName val="ASP_Database3"/>
      <sheetName val="Interim_--&gt;_Top3"/>
      <sheetName val="B2_1_-_CRAM3"/>
      <sheetName val="G_Adv_to_OE3"/>
      <sheetName val="Gia_vat_tu3"/>
      <sheetName val="01|_ATLP3"/>
      <sheetName val="Library_Procedures3"/>
      <sheetName val="E0-_Lead1"/>
      <sheetName val="POSITIONS_TABLE1"/>
      <sheetName val="2011_Refo1"/>
      <sheetName val="addl_cost1"/>
      <sheetName val="Cash_CRAM1"/>
      <sheetName val="GL_SUMMARY_04-25-061"/>
      <sheetName val="ADJ_TB_DEC011"/>
      <sheetName val="BS_Interim_sig_acct1"/>
      <sheetName val="No__Of_Users1"/>
      <sheetName val="IT_Details1"/>
      <sheetName val="PL_Act_v_Bud_-_FPM1"/>
      <sheetName val="Securities_Masterlist1"/>
      <sheetName val="FS_Worksheet1"/>
      <sheetName val="Dec_01_-_Detail1"/>
      <sheetName val="Drop_List1"/>
      <sheetName val="AP_by-brand1"/>
      <sheetName val="Africa_RMO1"/>
      <sheetName val="SPI_GMBH1"/>
      <sheetName val="Account_Code1"/>
      <sheetName val="REVCOM.XLS"/>
      <sheetName val="VCC 11110-461"/>
      <sheetName val="Reconciling Items"/>
      <sheetName val="APRIL461"/>
      <sheetName val="May461"/>
      <sheetName val="Indicator"/>
      <sheetName val="VCC 11110_461"/>
      <sheetName val="ARP-U401"/>
      <sheetName val="I"/>
      <sheetName val="Business Unit"/>
      <sheetName val="GLP's and PSPC's"/>
      <sheetName val="AM Page"/>
      <sheetName val="FUNDACCT"/>
      <sheetName val="Pricelist"/>
      <sheetName val="BSC-East 2006 (1)"/>
      <sheetName val="BSC-East 2006 (2)"/>
      <sheetName val="BSC-East 2007 (1)"/>
      <sheetName val="BSC-East 2007 (2)"/>
      <sheetName val="BSC-East 2008 (1)"/>
      <sheetName val="BSC-East 2008 (2)"/>
      <sheetName val="BSC-East 2009 (1)"/>
      <sheetName val="BSC-East 2009 (2)"/>
      <sheetName val="East-2009 (1)"/>
      <sheetName val="East-2009 (2)"/>
      <sheetName val="BSC-West 2006"/>
      <sheetName val="BSC-West 2007"/>
      <sheetName val="BSC-West 2008"/>
      <sheetName val="BSC-West 2009"/>
      <sheetName val="West-2009"/>
      <sheetName val="AM-MARGIN"/>
      <sheetName val="PF - Audit"/>
      <sheetName val="Telephone "/>
      <sheetName val="WAO_Classification5"/>
      <sheetName val="BS_Process_&amp;_Approach5"/>
      <sheetName val="IS_Process_&amp;_Approach5"/>
      <sheetName val="codes_DO_NOT_DELETE2"/>
      <sheetName val="SUBSTRATE_UNC_+_INT_HC2"/>
      <sheetName val="HMC_AV2"/>
      <sheetName val="HMC_AV_BLUE_CUT_GEN_22"/>
      <sheetName val="HMC_PR_GEN_22"/>
      <sheetName val="HMC_PR_GEN_32"/>
      <sheetName val="HMC_PR_GEN_42"/>
      <sheetName val="MANUF_COST2"/>
      <sheetName val="Raw_mat_&amp;_quantities2"/>
      <sheetName val="WIP_FOR_MPE2"/>
      <sheetName val="PR_REPORT2"/>
      <sheetName val="Working_Mfg_Hours2"/>
      <sheetName val="Working_Mfg_Hours-mpe22"/>
      <sheetName val="Results_Of_AllocationATOME2"/>
      <sheetName val="Results_Of_Allocationmpe22"/>
      <sheetName val="OVH_AFT2"/>
      <sheetName val="MANUF_AFTER2"/>
      <sheetName val="MON_ALLOC2"/>
      <sheetName val="TRNG_&amp;_TEST2"/>
      <sheetName val="SF_ALLOC2"/>
      <sheetName val="MOLDS_REJECT2"/>
      <sheetName val="MON_ALLOC_@20182"/>
      <sheetName val="T_5-021"/>
      <sheetName val="Labor-Equipment_Rates1"/>
      <sheetName val="ADV_OE_SEPT_20191"/>
      <sheetName val="tax-employees_with_no_refund1"/>
      <sheetName val="PRODUCTION_COST_PER_BOX_ALL1"/>
      <sheetName val="fai_unrelesed_sept20111"/>
      <sheetName val="daywork-_Tham_khao1"/>
      <sheetName val="WK_Local1"/>
      <sheetName val="Balance_Sheet_P&amp;L_CF1"/>
      <sheetName val="Price_Index_Jun_071"/>
      <sheetName val="Audit_Requests_Monitoring1"/>
      <sheetName val="FG_RM_MKN1"/>
      <sheetName val="Assumptions_-_16X6_+_2_Sundays1"/>
      <sheetName val="UTILITIESJan_June2019&amp;Prod_Rep1"/>
      <sheetName val="RM-May2019Beg_RM1"/>
      <sheetName val="RM-May2019End_Inventory1"/>
      <sheetName val="FG-May2019End_Inventory1"/>
      <sheetName val="FG-May2019End_Inventory-Yoshi1"/>
      <sheetName val="PriceAdjustment_May20191"/>
      <sheetName val="Trainee_Payroll_JUNE_1-151"/>
      <sheetName val="Trainee_Payroll_JUNE_16-301"/>
      <sheetName val="Admin_Reg_Payroll_JUNE_16-301"/>
      <sheetName val="Admin_Reg_Pyroll_JUNE_1-151"/>
      <sheetName val="FG-Yoshi_Beg_InvtryJune20191"/>
      <sheetName val="FG-Beg_InvtryJune20191"/>
      <sheetName val="DRY-Beg_InvrtyJune20191"/>
      <sheetName val="RM-Beg_InvrtyJune_20191"/>
      <sheetName val="May2019_Sales_ReportYoshi1"/>
      <sheetName val="YOSHI_ELECT_FEB_TO_MAY1"/>
      <sheetName val="YOSHI_JUNE_TO_JULY1"/>
      <sheetName val="MANPOWER_OFFICE1"/>
      <sheetName val="MANPOWER_PRODUCTION1"/>
      <sheetName val="Data_Validation1"/>
      <sheetName val="Parameter_Sheet1"/>
      <sheetName val="ITAS_Client_List1"/>
      <sheetName val="PBC_-_BDO_CA1"/>
      <sheetName val="PBC_-_BDO_SA1"/>
      <sheetName val="PBC_-_BPI_CA1"/>
      <sheetName val="PBC_-_BPI_SA1"/>
      <sheetName val="def___tax1"/>
      <sheetName val="Ratio_Analysis1"/>
      <sheetName val="PER-IN_PHP1"/>
      <sheetName val="Schedule_21"/>
      <sheetName val="Schedule_31"/>
      <sheetName val="Schedule_41"/>
      <sheetName val="TB_2_101"/>
      <sheetName val="BOOK_FCST1"/>
      <sheetName val="F__Reconciliation_1"/>
      <sheetName val="FS_vs__Alphalist-CF___________1"/>
      <sheetName val="GRAND SUM"/>
      <sheetName val="FundsFlow"/>
      <sheetName val="ITR VERSION - Q1"/>
      <sheetName val="IS01Q"/>
      <sheetName val="EMI"/>
      <sheetName val="__x0010___x0"/>
      <sheetName val="__x0010__x0010__2"/>
      <sheetName val="__x0010___x0010___x0006___x00_2"/>
      <sheetName val="__x0010___x0004_2"/>
      <sheetName val="__x0010___x0010___x0006___x00_3"/>
      <sheetName val="__x005f_x0010__x005f_x0000__x_2"/>
      <sheetName val="__x005f_x0010___x005f_x0010___2"/>
      <sheetName val="__x0010____x0004______________2"/>
      <sheetName val="__x005f_x005f_x005f_x0010__x0_2"/>
      <sheetName val="__x005f_x005f_x005f_x0010___x_2"/>
      <sheetName val="__x005f_x0010__x005f_x0000____2"/>
      <sheetName val="__x0010___x0004_3"/>
      <sheetName val="__x005f_x0010____x005f_x0004__2"/>
      <sheetName val="__x005f_x005f_x005f_x005f_x00_2"/>
      <sheetName val="__x005f_x005f_x005f_x005f_x00_3"/>
      <sheetName val="__x005f_x005f_x005f_x005f_x00_4"/>
      <sheetName val="__x005f_x005f_x005f_x0010__x0_3"/>
      <sheetName val="__x005f_x0010__x005f_x0000____3"/>
      <sheetName val="Y1 Area2"/>
      <sheetName val="联级菜单"/>
      <sheetName val="Zmienne nagłówka"/>
      <sheetName val="Input Pricing"/>
      <sheetName val="Internal Access SW Basic_Option"/>
      <sheetName val="code2"/>
      <sheetName val="[_x0010_?傄_x0"/>
      <sheetName val="RB"/>
      <sheetName val="Pivot 4 entities"/>
      <sheetName val="hongkong"/>
      <sheetName val="t2.4.b ata-bdoremititalia"/>
      <sheetName val="currency"/>
      <sheetName val="利息支出"/>
      <sheetName val="G Lead"/>
      <sheetName val="SMXM"/>
      <sheetName val="ARP-U301"/>
      <sheetName val="ARP-U311"/>
      <sheetName val="ARP-U321"/>
      <sheetName val="LINK"/>
      <sheetName val="STL "/>
      <sheetName val="LTD "/>
      <sheetName val="[        _x000"/>
      <sheetName val="[ ? ? ? ? ? ? ? ?Ģ?Ģ? ? ?d."/>
      <sheetName val="_ "/>
      <sheetName val="[ 傄 ☁蠤Ã"/>
      <sheetName val="_ _ _ _ _ _ _ _ _Ģ_Ģ_ _ _d."/>
      <sheetName val="[ ꂽ _x0"/>
      <sheetName val="[ ?傄 ???☁?蠤Ã?????????????? "/>
      <sheetName val="[ "/>
      <sheetName val="[ ?ꂽ ????????????????????倞"/>
      <sheetName val="_ _傄 ___☁_蠤Ã______________ "/>
      <sheetName val="_ _ꂽ ____________________倞"/>
      <sheetName val="[ ?ꂽ ????????????????????倞"/>
      <sheetName val="[ ?ꂽ ?????????????????????倞"/>
      <sheetName val="[ ? ? ? ? ? ? ? ?G?G? ? ?d."/>
      <sheetName val="[ ? ??Ã"/>
      <sheetName val="_ _ꂽ ____________________"/>
      <sheetName val="_ _ꂽ _____________________倞"/>
      <sheetName val="_  _x"/>
      <sheetName val="_ _ _ __x0006"/>
      <sheetName val="_ _x00"/>
      <sheetName val="_ _ __x"/>
      <sheetName val="Wee  "/>
      <sheetName val="[ ?ꂽ ????????????????????"/>
      <sheetName val="_ ? ?_x"/>
      <sheetName val="_ ?_x00"/>
      <sheetName val="[ ?? ??????Ã???????????????"/>
      <sheetName val=" ô"/>
      <sheetName val="Wee "/>
      <sheetName val="_ _ꂽ ____________________倞"/>
      <sheetName val="_ 傄 _"/>
      <sheetName val="_ _傄 ___☁_蠤Ã_______"/>
      <sheetName val="_ ꂽ _"/>
      <sheetName val="Qry_AssetLocation_(2 "/>
      <sheetName val="_ _傄 ___☁_蠤Ã______________"/>
      <sheetName val="_ _ _ _ _ _ _ _ _G_G_ _ _d."/>
      <sheetName val="[  _x"/>
      <sheetName val="[ ? ? ?_x0006"/>
      <sheetName val="[ 傄 _"/>
      <sheetName val="[ ?傄 ???☁?蠤Ã???????"/>
      <sheetName val="[ ꂽ _"/>
      <sheetName val="_ _ꂽ ______________"/>
      <sheetName val="_ _x005"/>
      <sheetName val="_ __x00"/>
      <sheetName val="[ ?ꂽ ??????????????"/>
      <sheetName val="_ _ _"/>
      <sheetName val="_ 傄_x0"/>
      <sheetName val="_ _傄 __"/>
      <sheetName val="_ ꂽ_x0"/>
      <sheetName val="Input_SF ¿"/>
      <sheetName val="[ ?傄 ???☁?蠤Ã??????????????"/>
      <sheetName val="Week_2 "/>
      <sheetName val="_ __ ______Ã_______________"/>
      <sheetName val="[ _x00"/>
      <sheetName val="[ ? ?_x"/>
      <sheetName val="[ 傄_x0"/>
      <sheetName val="[ ?傄 ??"/>
      <sheetName val="_ _ꂽ __"/>
      <sheetName val="[ ꂽ_x0"/>
      <sheetName val="_ _傄_x0"/>
      <sheetName val="_ __ ______Ã_______"/>
      <sheetName val="[1702_JAN'951P者 P者 P者 P者"/>
      <sheetName val="_ _ꂽ_x0"/>
      <sheetName val="[ _x005"/>
      <sheetName val="[ ?_x00"/>
      <sheetName val="_ __x0"/>
      <sheetName val="_ _ꂽ _________0Ԁ찀"/>
      <sheetName val="Cash Flow Tieout"/>
      <sheetName val="P&amp;L-US"/>
      <sheetName val="original FS download"/>
      <sheetName val="TOT"/>
      <sheetName val="Switch"/>
      <sheetName val="Ticker Entry"/>
      <sheetName val="ETB"/>
      <sheetName val="old"/>
      <sheetName val="worksheet"/>
      <sheetName val="E3-A_AR-Clrg Rollfoward"/>
      <sheetName val="Base Data Visitor Mix"/>
      <sheetName val="１３品番"/>
      <sheetName val="Original"/>
      <sheetName val="tor-int__expense33"/>
      <sheetName val="FOREX_(2)33"/>
      <sheetName val="mcit_(sb)33"/>
      <sheetName val="LIAB_SHE33"/>
      <sheetName val="list_of_pend_8_25_0333"/>
      <sheetName val="specific_i_d_33"/>
      <sheetName val="list_of_pend_9_1_0333"/>
      <sheetName val="ITR_RECON33"/>
      <sheetName val="financial_highlights33"/>
      <sheetName val="key_mgt_ratios33"/>
      <sheetName val="tax_recon33"/>
      <sheetName val="INCOME_TAX33"/>
      <sheetName val="notes_updated33"/>
      <sheetName val="POSTED_ADJ33"/>
      <sheetName val="RF_RE33"/>
      <sheetName val="PASSED_ADJ33"/>
      <sheetName val="analytic_review33"/>
      <sheetName val="E-1l2_memo33"/>
      <sheetName val="N_memo33"/>
      <sheetName val="U-2l3_memo33"/>
      <sheetName val="2006-3_Asia_Reimb33"/>
      <sheetName val="Bertha_Yuen33"/>
      <sheetName val="David_Schaefer33"/>
      <sheetName val="Elise_Lai33"/>
      <sheetName val="Guy_Fulton33"/>
      <sheetName val="Howard_Zhang33"/>
      <sheetName val="Juno_Hwang33"/>
      <sheetName val="Kate_B33"/>
      <sheetName val="Leo_Chen33"/>
      <sheetName val="Marco_Ho33"/>
      <sheetName val="Pius_Ho33"/>
      <sheetName val="Ravi_Hansoty33"/>
      <sheetName val="Sarina_Chau33"/>
      <sheetName val="Suresh_M33"/>
      <sheetName val="Significant_Processes33"/>
      <sheetName val="Profit_&amp;_Loss33"/>
      <sheetName val="Quezon_Ave33"/>
      <sheetName val="RE_recon33"/>
      <sheetName val="wbs_fsa33"/>
      <sheetName val="Std_Time_A33"/>
      <sheetName val="Week_133"/>
      <sheetName val="Week_233"/>
      <sheetName val="Week_333"/>
      <sheetName val="Week_433"/>
      <sheetName val="Week_533"/>
      <sheetName val="99_FM_-_NFM33"/>
      <sheetName val="Aug_Dump33"/>
      <sheetName val="SAP_Extract33"/>
      <sheetName val="Stock_Div_Accural33"/>
      <sheetName val="translist_(2)33"/>
      <sheetName val="gà_33"/>
      <sheetName val="Foreign_Details33"/>
      <sheetName val="09_30_03_Recon33"/>
      <sheetName val="FA_Movement33"/>
      <sheetName val="Server_Ratios33"/>
      <sheetName val="NL290_WGACC_&amp;_DEHYDR_33"/>
      <sheetName val="outside_services,_gen_&amp;_bus_e33"/>
      <sheetName val="Input_SFR33"/>
      <sheetName val="Summary_of_AR33"/>
      <sheetName val="JAN_TRADE_33"/>
      <sheetName val="Interest_Rates33"/>
      <sheetName val="MFO_Lookup33"/>
      <sheetName val="2-cash_CRAM33"/>
      <sheetName val="Variance_Report_Reorganized33"/>
      <sheetName val="2-2022_AP_SUBS33"/>
      <sheetName val="pcc_niigata33"/>
      <sheetName val="Int__&amp;_Inv__Details33"/>
      <sheetName val="Notes_to_Accounts33"/>
      <sheetName val="account_name33"/>
      <sheetName val="Voc_1_VL33"/>
      <sheetName val="Voc_2_VL33"/>
      <sheetName val="SL_VOC33"/>
      <sheetName val="map-VENDOR_CODE33"/>
      <sheetName val="WEEKLY-BUD_INJECTION-BAG-TOTA33"/>
      <sheetName val="K513_(2)33"/>
      <sheetName val="Sheet1_(4)33"/>
      <sheetName val="Qry_AssetLocation_(2)33"/>
      <sheetName val="Sheet1_(3)33"/>
      <sheetName val="Sheet1_(2)33"/>
      <sheetName val="Income_Statement33"/>
      <sheetName val="FC_switches33"/>
      <sheetName val="US_Codes33"/>
      <sheetName val="SRP_FH33"/>
      <sheetName val="Schedule_E29"/>
      <sheetName val="Schedule_A_29"/>
      <sheetName val="Schedule_B29"/>
      <sheetName val="R5_-_PBC_2009_Opex_Schedule31"/>
      <sheetName val="R6_-Interim_PBC_2010_Opex_Sch31"/>
      <sheetName val="R9_-_Interim_Utilities_Exp_TO31"/>
      <sheetName val="R4_-_Interim_Operating_Expens31"/>
      <sheetName val="Specific_Question_Report31"/>
      <sheetName val="POSTED_ŁDJ31"/>
      <sheetName val="_PAJE1131"/>
      <sheetName val="VP_Lookup27"/>
      <sheetName val="2201_-_Due_to_Media27"/>
      <sheetName val="ExcavationWorks_Type_IV29"/>
      <sheetName val="Other_Investment27"/>
      <sheetName val="1|_EWP27"/>
      <sheetName val="6|_NFS27"/>
      <sheetName val="ACTUALSALARIES_AS_OF_050229"/>
      <sheetName val="2015_Ropax_Sked27"/>
      <sheetName val="2015_Frt_Sked27"/>
      <sheetName val="2014_Sked27"/>
      <sheetName val="2014_Fuel_Prices27"/>
      <sheetName val="ALL_FW-SOLIDS27"/>
      <sheetName val="A,B,C_Sales_Timing27"/>
      <sheetName val="FDC_FS_CY27"/>
      <sheetName val="FDC_TB_CY27"/>
      <sheetName val="Advertising_&amp;_Marketing27"/>
      <sheetName val="Miscellaneous_Expense27"/>
      <sheetName val="Need_Breakdown27"/>
      <sheetName val="|Needed_Documents27"/>
      <sheetName val="DAILY-BOXES_PACKED-ENTRY27"/>
      <sheetName val="REF_CODES27"/>
      <sheetName val="co_1027"/>
      <sheetName val="Store_Plan27"/>
      <sheetName val="3_3_details27"/>
      <sheetName val="YTD_Pivots27"/>
      <sheetName val="Annex_E27"/>
      <sheetName val="Determination_of_Threshold17"/>
      <sheetName val="POS_INV_971227"/>
      <sheetName val="pos_collection_timeliness27"/>
      <sheetName val="trial_balance27"/>
      <sheetName val="Trnf_frm_ORE27"/>
      <sheetName val="Tax_Comp17"/>
      <sheetName val="Credit_Card17"/>
      <sheetName val="ME_200417"/>
      <sheetName val="Currency_Converter17"/>
      <sheetName val="sales_and_expenses_summary17"/>
      <sheetName val="RU_Overview17"/>
      <sheetName val="INCOME_TAX_0217"/>
      <sheetName val="Net_Trans_Sum17"/>
      <sheetName val="ClaireMde_Glass17"/>
      <sheetName val="Claire_Mde_Plastics17"/>
      <sheetName val="CAN_COST_SUMMARY17"/>
      <sheetName val="Form_10017"/>
      <sheetName val="PAJE_13_Support17"/>
      <sheetName val="Codes-Do_not_delete17"/>
      <sheetName val="RC_Code17"/>
      <sheetName val="SOC_forDomestic_Subsi17"/>
      <sheetName val="Prem_EIR17"/>
      <sheetName val="1-Test_of_Details17"/>
      <sheetName val="Consideration_Illustration17"/>
      <sheetName val="Original_Andrew___Data15"/>
      <sheetName val="DATA_15"/>
      <sheetName val="PT_BS15"/>
      <sheetName val="BAD_DEBTS_EXPENSE14"/>
      <sheetName val="All_Expenses14"/>
      <sheetName val="service_charge14"/>
      <sheetName val="Total_Spend_Per_Category14"/>
      <sheetName val="Overview_(100)14"/>
      <sheetName val="STATEMENT_OF_EXP__&amp;_HO_ACCOUN14"/>
      <sheetName val="Option_210"/>
      <sheetName val="RFDA_Support_T310"/>
      <sheetName val="GAE_Data_Entry14"/>
      <sheetName val="External_order12"/>
      <sheetName val="TB_Sept_'0412"/>
      <sheetName val="chicken_meal10"/>
      <sheetName val="spaghetti_meal10"/>
      <sheetName val="P&amp;L_by_Mth10"/>
      <sheetName val="2006_FCST10"/>
      <sheetName val="KEYS_CONTRIBUTION10"/>
      <sheetName val="E310_Plantation_Hills_10"/>
      <sheetName val="Vari_by_Vendor10"/>
      <sheetName val="GALBI_Tax_Comp10"/>
      <sheetName val="SAP_05210"/>
      <sheetName val="Unique_Records10"/>
      <sheetName val="MAKBAN_A10"/>
      <sheetName val="MAKBAN_B10"/>
      <sheetName val="MAKBAN_C10"/>
      <sheetName val="MAKBAN_D10"/>
      <sheetName val="MAKBAN_E10"/>
      <sheetName val="TOTAL_SLN10"/>
      <sheetName val="TOTAL_SLS10"/>
      <sheetName val="TIWI_A10"/>
      <sheetName val="TIWI_C10"/>
      <sheetName val="transpo_&amp;_other_allow10"/>
      <sheetName val="PRICE_SELECTION9"/>
      <sheetName val="C-For_Settlement9"/>
      <sheetName val="Asset_Classes9"/>
      <sheetName val="Accounts_List10"/>
      <sheetName val="&lt;PBC_02_04&gt;_Loans_to_Affiliat10"/>
      <sheetName val="STAFF_LIST9"/>
      <sheetName val="bp_and_bills_discounted10"/>
      <sheetName val="dollar_policies9"/>
      <sheetName val="U1_P&amp;L9"/>
      <sheetName val="Topsheet_2013A9"/>
      <sheetName val="Key_Inputs9"/>
      <sheetName val="AC_Details10"/>
      <sheetName val="Working_Pgs10"/>
      <sheetName val="Mgt_HMO10"/>
      <sheetName val="Input_CPPC9"/>
      <sheetName val="BSS_GLP_Pricelist12"/>
      <sheetName val="trade_(2)10"/>
      <sheetName val="_IB-PL-YTD9"/>
      <sheetName val="_2Lapsing12"/>
      <sheetName val="__ls___ls___ls___ls___ls___ls_9"/>
      <sheetName val="C3_9"/>
      <sheetName val="Rate_&amp;_Other_Tables10"/>
      <sheetName val="SCH_2_19"/>
      <sheetName val="Summary_(overall)9"/>
      <sheetName val="Additions-10_309"/>
      <sheetName val="trd_lastmo9"/>
      <sheetName val="ar_new9"/>
      <sheetName val="reported_mhr-rs19"/>
      <sheetName val="2_2-MUS_Calculations-_Interim9"/>
      <sheetName val="Product_Cost_14"/>
      <sheetName val="Vol_Report_24"/>
      <sheetName val="E01_1_Aging_Summary9"/>
      <sheetName val="E01_1_4_URCCC9"/>
      <sheetName val="Rates_to_PHP9"/>
      <sheetName val="Phase_63"/>
      <sheetName val="Cash_Flows_(2011)3"/>
      <sheetName val="AMORTIZE(Bldg_&amp;_Land)3"/>
      <sheetName val="TB_with_Adj_20093"/>
      <sheetName val="NEW_CODES3"/>
      <sheetName val="2_´ë?Ü°o1®3"/>
      <sheetName val="DB_Bangkok5"/>
      <sheetName val="DB_London5"/>
      <sheetName val="DB_Frankfurt5"/>
      <sheetName val="Memo-Bank_Recon5"/>
      <sheetName val="Salary_Data10"/>
      <sheetName val="Hire_Date10"/>
      <sheetName val="Resignation_Date10"/>
      <sheetName val="영업_일13"/>
      <sheetName val="FDC_TB_C3"/>
      <sheetName val="K20_Office_Equipment3"/>
      <sheetName val="Global_Data3"/>
      <sheetName val="Sch_II5"/>
      <sheetName val="A2_1_Procedure3"/>
      <sheetName val="A2_2_PPE_Rollforward_support3"/>
      <sheetName val="Lapsing_Disclosure3"/>
      <sheetName val="PRIME_MEAT3"/>
      <sheetName val="Timaru_Chips3"/>
      <sheetName val="Tim_Milling3"/>
      <sheetName val="unitcost_for_pivot5"/>
      <sheetName val="Jan2001_cc_rollup_rf3"/>
      <sheetName val="GS_VP_table3"/>
      <sheetName val="4_-_Depreciation3"/>
      <sheetName val="B_S3"/>
      <sheetName val="CF_(2)3"/>
      <sheetName val="3_3"/>
      <sheetName val="Vendor_Setup3"/>
      <sheetName val="FEI__BS_PL3"/>
      <sheetName val="FEI_BS3"/>
      <sheetName val="FEI_PL3"/>
      <sheetName val="FEI_PL_Actual3"/>
      <sheetName val="BS_Acc3"/>
      <sheetName val="QB_BS3"/>
      <sheetName val="FEI_Cash_Flow3"/>
      <sheetName val="Currency_Converter_Q13"/>
      <sheetName val="Q1_lookup3"/>
      <sheetName val="MAIN_(2)2"/>
      <sheetName val="Dep__PIT3"/>
      <sheetName val="Balance_Sheet5"/>
      <sheetName val="PERSONAL_H_O_3"/>
      <sheetName val="Top_Sheet2"/>
      <sheetName val="FINAL_1"/>
      <sheetName val="SAP_014_A"/>
      <sheetName val="Premium_Per_Line1"/>
      <sheetName val="TB_(2)1"/>
      <sheetName val="CIP_recon1"/>
      <sheetName val="beg_balance1"/>
      <sheetName val="Teresa_-_20071"/>
      <sheetName val="test_of_additions1"/>
      <sheetName val="TCG_PPE_DET1"/>
      <sheetName val="Finance_Allocations1"/>
      <sheetName val="Store_Summary-2001_EOY1"/>
      <sheetName val="Deployment_Service_Calc"/>
      <sheetName val="ayala_10265___1"/>
      <sheetName val="Others_&amp;_WC"/>
      <sheetName val="部门费用05_4-5"/>
      <sheetName val="JVDOC1_XLM"/>
      <sheetName val="1ST_RUN"/>
      <sheetName val="_4-Budgets"/>
      <sheetName val="AV_COSTBYITEM"/>
      <sheetName val="Sales_Seasonality_by_Month"/>
      <sheetName val="Cash_Flow"/>
      <sheetName val="SUBSEC_QTY_(MAIN_LINE)"/>
      <sheetName val="Project_Summary1"/>
      <sheetName val="Bank_Recon-0094107563"/>
      <sheetName val="Consolidated_report_A$"/>
      <sheetName val="Govt_ER_Shares1"/>
      <sheetName val="[ꂽ"/>
      <sheetName val="UNIT_COST_REC1"/>
      <sheetName val="Prin_Int_Accounts1"/>
      <sheetName val="SAMOA_Balance_sheet_movement1"/>
      <sheetName val="Data_List1"/>
      <sheetName val="Ref_Assets1"/>
      <sheetName val="D302_Mid_Broker_Quotes1"/>
      <sheetName val="EXCH97_(1101)1"/>
      <sheetName val="ING_per_MIS1"/>
      <sheetName val="Payroll_Register"/>
      <sheetName val="A_4_11"/>
      <sheetName val="Analytical_proc_"/>
      <sheetName val="GLI_Interface"/>
      <sheetName val="[?ꂽ???????????????"/>
      <sheetName val="[?ꂽ???????????????԰???Ā??"/>
      <sheetName val="sub__paym_1"/>
      <sheetName val="March_2015_AR_Report_(Draft)1"/>
      <sheetName val="Entity_Data"/>
      <sheetName val="Fcast_PL-Internal"/>
      <sheetName val="Admin_Expense"/>
      <sheetName val="other_expenses"/>
      <sheetName val="tgt_call_prod"/>
      <sheetName val="PPE_1_LAPSING"/>
      <sheetName val="bank_comparison"/>
      <sheetName val="Banks_Details"/>
      <sheetName val="BSS_AM_Page"/>
      <sheetName val="3QLRP_(_R2_MOR)"/>
      <sheetName val="List_PC"/>
      <sheetName val="Balance_Sheets"/>
      <sheetName val="S12_7_LIBOR"/>
      <sheetName val="Intangible_Assets"/>
      <sheetName val="__ꂽ_________0Ԁ찀"/>
      <sheetName val="PSI1_VL"/>
      <sheetName val="Inv_Master"/>
      <sheetName val="Check_Clearing"/>
      <sheetName val="Drop_Down_List"/>
      <sheetName val="PIU_Pricing"/>
      <sheetName val="OPTIONAL_FEATURES"/>
      <sheetName val="CHART_OF_ACCOUNTS"/>
      <sheetName val="Recon__-_2019"/>
      <sheetName val="[1702_JAN'951P者P者P者P者"/>
      <sheetName val="4_Analysis"/>
      <sheetName val="__ꂽ_________0"/>
      <sheetName val="Project_Data"/>
      <sheetName val="PC_Prediction"/>
      <sheetName val="Pivot_4_entities"/>
      <sheetName val="2_´ë_Ü°o1®1"/>
      <sheetName val="CMA_Testing"/>
      <sheetName val="2-Test_of_details"/>
      <sheetName val="UB_branch"/>
      <sheetName val="Mapping_table"/>
      <sheetName val="GRAND_SUM"/>
      <sheetName val="Franchisees_Sales"/>
      <sheetName val="2-FA_Movement"/>
      <sheetName val="Co__Code"/>
      <sheetName val="TAX_RATES"/>
      <sheetName val="Community_and_Approvals_(Pesos)"/>
      <sheetName val="XVIa(i)_-_average_price_(2)"/>
      <sheetName val="PB-2018vs_actual_BP"/>
      <sheetName val="1_sum_05"/>
      <sheetName val="Air_Conditional"/>
      <sheetName val="Motor_Vehicle"/>
      <sheetName val="Sales_for_2001"/>
      <sheetName val="[?傄???☁?蠤Ã???????????????"/>
      <sheetName val="__傄___☁_蠤Ã______________?"/>
      <sheetName val="c_1"/>
      <sheetName val="Lookup_Table"/>
      <sheetName val="PAGE_NO______9"/>
      <sheetName val="accruals_2004_2"/>
      <sheetName val="SC_Orders"/>
      <sheetName val="Sensitive_Cover"/>
      <sheetName val="Detailed_P&amp;L"/>
      <sheetName val="4-allowance_FG"/>
      <sheetName val="Per_Business"/>
      <sheetName val="Statement_Earning"/>
      <sheetName val="EMAS_Overview"/>
      <sheetName val="Cover_Page"/>
      <sheetName val="P&amp;L_PP"/>
      <sheetName val="ADJ_SOURCE1"/>
      <sheetName val="U1_1_-_detailed_P&amp;L"/>
      <sheetName val="U7_-_AAFES_ex_fee-reasonable"/>
      <sheetName val="A2_100_AJE"/>
      <sheetName val="Control_Download"/>
      <sheetName val="Reference_Sheet"/>
      <sheetName val="WTY_CUMULATION"/>
      <sheetName val="RMU_MOLDING"/>
      <sheetName val="Supplier_Database"/>
      <sheetName val="AP_CHECKBOOK"/>
      <sheetName val="first_run"/>
      <sheetName val="H.2.Tax"/>
      <sheetName val="SAP ENTRY"/>
      <sheetName val="DEC2017"/>
      <sheetName val="HR-EVE (Last MO)"/>
      <sheetName val="ACCRUAL Jul19"/>
      <sheetName val="HR-EVE (Last MO) (2)"/>
      <sheetName val="Parkwise Unpaid"/>
      <sheetName val="Recurring"/>
      <sheetName val="HR Accrual"/>
      <sheetName val="MARSMAN"/>
      <sheetName val="CoffeeSupplies"/>
      <sheetName val="ER-SUMMARY"/>
      <sheetName val="HR-EVE"/>
      <sheetName val="ER MAY-JUL,19"/>
      <sheetName val="Monthly BS"/>
      <sheetName val="Casas Area Tabulation 10.21.21"/>
      <sheetName val="Casas Data 10.21.21"/>
      <sheetName val="IS Comparison 07142021 - DR2"/>
      <sheetName val="Priority Selling List"/>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refreshError="1"/>
      <sheetData sheetId="173" refreshError="1"/>
      <sheetData sheetId="174" refreshError="1"/>
      <sheetData sheetId="175"/>
      <sheetData sheetId="176" refreshError="1"/>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sheetData sheetId="425"/>
      <sheetData sheetId="426"/>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refreshError="1"/>
      <sheetData sheetId="463" refreshError="1"/>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refreshError="1"/>
      <sheetData sheetId="532"/>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sheetData sheetId="559" refreshError="1"/>
      <sheetData sheetId="560" refreshError="1"/>
      <sheetData sheetId="561" refreshError="1"/>
      <sheetData sheetId="562" refreshError="1"/>
      <sheetData sheetId="563" refreshError="1"/>
      <sheetData sheetId="564"/>
      <sheetData sheetId="565"/>
      <sheetData sheetId="566"/>
      <sheetData sheetId="567"/>
      <sheetData sheetId="568"/>
      <sheetData sheetId="569"/>
      <sheetData sheetId="570" refreshError="1"/>
      <sheetData sheetId="571"/>
      <sheetData sheetId="572"/>
      <sheetData sheetId="573"/>
      <sheetData sheetId="574"/>
      <sheetData sheetId="575"/>
      <sheetData sheetId="576"/>
      <sheetData sheetId="577"/>
      <sheetData sheetId="578"/>
      <sheetData sheetId="579"/>
      <sheetData sheetId="580"/>
      <sheetData sheetId="58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sheetData sheetId="608"/>
      <sheetData sheetId="609"/>
      <sheetData sheetId="610"/>
      <sheetData sheetId="611"/>
      <sheetData sheetId="612" refreshError="1"/>
      <sheetData sheetId="613"/>
      <sheetData sheetId="614"/>
      <sheetData sheetId="615"/>
      <sheetData sheetId="616"/>
      <sheetData sheetId="617"/>
      <sheetData sheetId="618"/>
      <sheetData sheetId="619"/>
      <sheetData sheetId="620"/>
      <sheetData sheetId="621"/>
      <sheetData sheetId="622"/>
      <sheetData sheetId="623"/>
      <sheetData sheetId="624"/>
      <sheetData sheetId="625"/>
      <sheetData sheetId="626"/>
      <sheetData sheetId="627"/>
      <sheetData sheetId="628"/>
      <sheetData sheetId="629"/>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sheetData sheetId="652"/>
      <sheetData sheetId="653"/>
      <sheetData sheetId="654"/>
      <sheetData sheetId="655"/>
      <sheetData sheetId="656"/>
      <sheetData sheetId="657"/>
      <sheetData sheetId="658"/>
      <sheetData sheetId="659"/>
      <sheetData sheetId="660"/>
      <sheetData sheetId="661"/>
      <sheetData sheetId="662"/>
      <sheetData sheetId="663"/>
      <sheetData sheetId="664"/>
      <sheetData sheetId="665"/>
      <sheetData sheetId="666"/>
      <sheetData sheetId="667"/>
      <sheetData sheetId="668"/>
      <sheetData sheetId="669"/>
      <sheetData sheetId="670"/>
      <sheetData sheetId="671"/>
      <sheetData sheetId="672"/>
      <sheetData sheetId="673"/>
      <sheetData sheetId="674"/>
      <sheetData sheetId="675"/>
      <sheetData sheetId="676"/>
      <sheetData sheetId="677"/>
      <sheetData sheetId="678"/>
      <sheetData sheetId="679"/>
      <sheetData sheetId="680"/>
      <sheetData sheetId="681"/>
      <sheetData sheetId="682"/>
      <sheetData sheetId="683"/>
      <sheetData sheetId="684"/>
      <sheetData sheetId="685"/>
      <sheetData sheetId="686"/>
      <sheetData sheetId="687"/>
      <sheetData sheetId="688"/>
      <sheetData sheetId="689"/>
      <sheetData sheetId="690"/>
      <sheetData sheetId="691"/>
      <sheetData sheetId="692"/>
      <sheetData sheetId="693"/>
      <sheetData sheetId="694"/>
      <sheetData sheetId="695"/>
      <sheetData sheetId="696"/>
      <sheetData sheetId="697"/>
      <sheetData sheetId="698"/>
      <sheetData sheetId="699"/>
      <sheetData sheetId="700"/>
      <sheetData sheetId="701"/>
      <sheetData sheetId="702"/>
      <sheetData sheetId="703"/>
      <sheetData sheetId="704"/>
      <sheetData sheetId="705"/>
      <sheetData sheetId="706"/>
      <sheetData sheetId="707"/>
      <sheetData sheetId="708" refreshError="1"/>
      <sheetData sheetId="709" refreshError="1"/>
      <sheetData sheetId="710"/>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sheetData sheetId="734"/>
      <sheetData sheetId="735"/>
      <sheetData sheetId="736"/>
      <sheetData sheetId="737"/>
      <sheetData sheetId="738"/>
      <sheetData sheetId="739"/>
      <sheetData sheetId="740"/>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sheetData sheetId="790"/>
      <sheetData sheetId="791"/>
      <sheetData sheetId="792" refreshError="1"/>
      <sheetData sheetId="793" refreshError="1"/>
      <sheetData sheetId="794" refreshError="1"/>
      <sheetData sheetId="795" refreshError="1"/>
      <sheetData sheetId="796" refreshError="1"/>
      <sheetData sheetId="797" refreshError="1"/>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refreshError="1"/>
      <sheetData sheetId="897"/>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sheetData sheetId="1006"/>
      <sheetData sheetId="1007"/>
      <sheetData sheetId="1008"/>
      <sheetData sheetId="1009"/>
      <sheetData sheetId="1010"/>
      <sheetData sheetId="1011"/>
      <sheetData sheetId="1012"/>
      <sheetData sheetId="1013"/>
      <sheetData sheetId="1014"/>
      <sheetData sheetId="1015"/>
      <sheetData sheetId="1016"/>
      <sheetData sheetId="1017"/>
      <sheetData sheetId="1018"/>
      <sheetData sheetId="1019"/>
      <sheetData sheetId="1020"/>
      <sheetData sheetId="1021"/>
      <sheetData sheetId="1022"/>
      <sheetData sheetId="1023"/>
      <sheetData sheetId="1024"/>
      <sheetData sheetId="1025"/>
      <sheetData sheetId="1026"/>
      <sheetData sheetId="1027"/>
      <sheetData sheetId="1028"/>
      <sheetData sheetId="1029"/>
      <sheetData sheetId="1030"/>
      <sheetData sheetId="1031"/>
      <sheetData sheetId="1032"/>
      <sheetData sheetId="1033"/>
      <sheetData sheetId="1034"/>
      <sheetData sheetId="1035"/>
      <sheetData sheetId="1036"/>
      <sheetData sheetId="1037"/>
      <sheetData sheetId="1038"/>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sheetData sheetId="1064"/>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sheetData sheetId="1221"/>
      <sheetData sheetId="1222"/>
      <sheetData sheetId="1223"/>
      <sheetData sheetId="1224"/>
      <sheetData sheetId="1225"/>
      <sheetData sheetId="1226"/>
      <sheetData sheetId="1227"/>
      <sheetData sheetId="1228"/>
      <sheetData sheetId="1229"/>
      <sheetData sheetId="1230"/>
      <sheetData sheetId="1231"/>
      <sheetData sheetId="1232"/>
      <sheetData sheetId="1233"/>
      <sheetData sheetId="1234"/>
      <sheetData sheetId="1235"/>
      <sheetData sheetId="1236"/>
      <sheetData sheetId="1237"/>
      <sheetData sheetId="1238"/>
      <sheetData sheetId="1239"/>
      <sheetData sheetId="1240"/>
      <sheetData sheetId="1241"/>
      <sheetData sheetId="1242"/>
      <sheetData sheetId="1243"/>
      <sheetData sheetId="1244"/>
      <sheetData sheetId="1245"/>
      <sheetData sheetId="1246"/>
      <sheetData sheetId="1247"/>
      <sheetData sheetId="1248"/>
      <sheetData sheetId="1249"/>
      <sheetData sheetId="1250"/>
      <sheetData sheetId="1251"/>
      <sheetData sheetId="1252"/>
      <sheetData sheetId="1253"/>
      <sheetData sheetId="1254"/>
      <sheetData sheetId="1255"/>
      <sheetData sheetId="1256"/>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sheetData sheetId="1310"/>
      <sheetData sheetId="1311"/>
      <sheetData sheetId="1312"/>
      <sheetData sheetId="1313"/>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refreshError="1"/>
      <sheetData sheetId="1766"/>
      <sheetData sheetId="1767"/>
      <sheetData sheetId="1768" refreshError="1"/>
      <sheetData sheetId="1769"/>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sheetData sheetId="1873"/>
      <sheetData sheetId="1874"/>
      <sheetData sheetId="1875"/>
      <sheetData sheetId="1876"/>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sheetData sheetId="1887"/>
      <sheetData sheetId="1888"/>
      <sheetData sheetId="1889" refreshError="1"/>
      <sheetData sheetId="1890"/>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sheetData sheetId="1903"/>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sheetData sheetId="1964"/>
      <sheetData sheetId="1965"/>
      <sheetData sheetId="1966"/>
      <sheetData sheetId="1967"/>
      <sheetData sheetId="1968"/>
      <sheetData sheetId="1969"/>
      <sheetData sheetId="1970"/>
      <sheetData sheetId="1971"/>
      <sheetData sheetId="1972"/>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sheetData sheetId="1987"/>
      <sheetData sheetId="1988"/>
      <sheetData sheetId="1989"/>
      <sheetData sheetId="1990"/>
      <sheetData sheetId="1991"/>
      <sheetData sheetId="1992"/>
      <sheetData sheetId="1993"/>
      <sheetData sheetId="1994"/>
      <sheetData sheetId="1995"/>
      <sheetData sheetId="1996"/>
      <sheetData sheetId="1997"/>
      <sheetData sheetId="1998"/>
      <sheetData sheetId="1999"/>
      <sheetData sheetId="2000"/>
      <sheetData sheetId="2001"/>
      <sheetData sheetId="2002"/>
      <sheetData sheetId="2003"/>
      <sheetData sheetId="2004"/>
      <sheetData sheetId="2005"/>
      <sheetData sheetId="2006"/>
      <sheetData sheetId="2007"/>
      <sheetData sheetId="2008"/>
      <sheetData sheetId="2009"/>
      <sheetData sheetId="2010"/>
      <sheetData sheetId="2011"/>
      <sheetData sheetId="2012"/>
      <sheetData sheetId="2013"/>
      <sheetData sheetId="2014"/>
      <sheetData sheetId="2015"/>
      <sheetData sheetId="2016"/>
      <sheetData sheetId="2017"/>
      <sheetData sheetId="2018"/>
      <sheetData sheetId="2019"/>
      <sheetData sheetId="2020"/>
      <sheetData sheetId="202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refreshError="1"/>
      <sheetData sheetId="2044" refreshError="1"/>
      <sheetData sheetId="2045"/>
      <sheetData sheetId="2046"/>
      <sheetData sheetId="2047"/>
      <sheetData sheetId="2048"/>
      <sheetData sheetId="2049"/>
      <sheetData sheetId="2050"/>
      <sheetData sheetId="2051" refreshError="1"/>
      <sheetData sheetId="2052"/>
      <sheetData sheetId="2053" refreshError="1"/>
      <sheetData sheetId="2054"/>
      <sheetData sheetId="2055"/>
      <sheetData sheetId="2056"/>
      <sheetData sheetId="2057"/>
      <sheetData sheetId="2058"/>
      <sheetData sheetId="2059"/>
      <sheetData sheetId="2060"/>
      <sheetData sheetId="2061"/>
      <sheetData sheetId="2062"/>
      <sheetData sheetId="2063" refreshError="1"/>
      <sheetData sheetId="2064"/>
      <sheetData sheetId="2065" refreshError="1"/>
      <sheetData sheetId="2066"/>
      <sheetData sheetId="2067"/>
      <sheetData sheetId="2068" refreshError="1"/>
      <sheetData sheetId="2069" refreshError="1"/>
      <sheetData sheetId="2070" refreshError="1"/>
      <sheetData sheetId="207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sheetData sheetId="2086"/>
      <sheetData sheetId="2087"/>
      <sheetData sheetId="2088"/>
      <sheetData sheetId="2089"/>
      <sheetData sheetId="2090"/>
      <sheetData sheetId="2091"/>
      <sheetData sheetId="2092"/>
      <sheetData sheetId="2093"/>
      <sheetData sheetId="2094"/>
      <sheetData sheetId="2095"/>
      <sheetData sheetId="2096"/>
      <sheetData sheetId="2097"/>
      <sheetData sheetId="2098"/>
      <sheetData sheetId="2099"/>
      <sheetData sheetId="2100"/>
      <sheetData sheetId="2101"/>
      <sheetData sheetId="2102"/>
      <sheetData sheetId="2103"/>
      <sheetData sheetId="2104"/>
      <sheetData sheetId="2105"/>
      <sheetData sheetId="2106"/>
      <sheetData sheetId="2107"/>
      <sheetData sheetId="2108"/>
      <sheetData sheetId="2109"/>
      <sheetData sheetId="2110"/>
      <sheetData sheetId="2111"/>
      <sheetData sheetId="2112"/>
      <sheetData sheetId="2113"/>
      <sheetData sheetId="2114"/>
      <sheetData sheetId="2115"/>
      <sheetData sheetId="2116"/>
      <sheetData sheetId="2117"/>
      <sheetData sheetId="2118"/>
      <sheetData sheetId="2119"/>
      <sheetData sheetId="2120"/>
      <sheetData sheetId="2121"/>
      <sheetData sheetId="2122"/>
      <sheetData sheetId="2123"/>
      <sheetData sheetId="2124"/>
      <sheetData sheetId="2125"/>
      <sheetData sheetId="2126"/>
      <sheetData sheetId="2127"/>
      <sheetData sheetId="2128"/>
      <sheetData sheetId="2129"/>
      <sheetData sheetId="2130"/>
      <sheetData sheetId="2131"/>
      <sheetData sheetId="2132"/>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sheetData sheetId="2342"/>
      <sheetData sheetId="2343"/>
      <sheetData sheetId="2344"/>
      <sheetData sheetId="2345"/>
      <sheetData sheetId="2346"/>
      <sheetData sheetId="2347"/>
      <sheetData sheetId="2348"/>
      <sheetData sheetId="2349"/>
      <sheetData sheetId="2350"/>
      <sheetData sheetId="2351"/>
      <sheetData sheetId="2352"/>
      <sheetData sheetId="2353"/>
      <sheetData sheetId="2354"/>
      <sheetData sheetId="2355"/>
      <sheetData sheetId="2356"/>
      <sheetData sheetId="2357"/>
      <sheetData sheetId="2358"/>
      <sheetData sheetId="2359"/>
      <sheetData sheetId="2360"/>
      <sheetData sheetId="2361"/>
      <sheetData sheetId="2362"/>
      <sheetData sheetId="2363"/>
      <sheetData sheetId="2364"/>
      <sheetData sheetId="2365"/>
      <sheetData sheetId="2366"/>
      <sheetData sheetId="2367"/>
      <sheetData sheetId="2368"/>
      <sheetData sheetId="2369"/>
      <sheetData sheetId="2370"/>
      <sheetData sheetId="2371"/>
      <sheetData sheetId="2372"/>
      <sheetData sheetId="2373"/>
      <sheetData sheetId="2374"/>
      <sheetData sheetId="2375"/>
      <sheetData sheetId="2376"/>
      <sheetData sheetId="2377"/>
      <sheetData sheetId="2378"/>
      <sheetData sheetId="2379"/>
      <sheetData sheetId="2380"/>
      <sheetData sheetId="2381"/>
      <sheetData sheetId="2382"/>
      <sheetData sheetId="2383"/>
      <sheetData sheetId="2384"/>
      <sheetData sheetId="2385"/>
      <sheetData sheetId="2386"/>
      <sheetData sheetId="2387"/>
      <sheetData sheetId="2388"/>
      <sheetData sheetId="2389"/>
      <sheetData sheetId="2390"/>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sheetData sheetId="2621"/>
      <sheetData sheetId="2622"/>
      <sheetData sheetId="2623"/>
      <sheetData sheetId="2624"/>
      <sheetData sheetId="2625"/>
      <sheetData sheetId="2626"/>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sheetData sheetId="2650"/>
      <sheetData sheetId="2651"/>
      <sheetData sheetId="2652"/>
      <sheetData sheetId="2653"/>
      <sheetData sheetId="2654"/>
      <sheetData sheetId="2655"/>
      <sheetData sheetId="2656"/>
      <sheetData sheetId="2657"/>
      <sheetData sheetId="2658"/>
      <sheetData sheetId="2659"/>
      <sheetData sheetId="2660"/>
      <sheetData sheetId="2661"/>
      <sheetData sheetId="2662"/>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sheetData sheetId="2773"/>
      <sheetData sheetId="2774"/>
      <sheetData sheetId="2775"/>
      <sheetData sheetId="2776"/>
      <sheetData sheetId="2777" refreshError="1"/>
      <sheetData sheetId="2778" refreshError="1"/>
      <sheetData sheetId="2779" refreshError="1"/>
      <sheetData sheetId="2780" refreshError="1"/>
      <sheetData sheetId="2781"/>
      <sheetData sheetId="2782"/>
      <sheetData sheetId="2783" refreshError="1"/>
      <sheetData sheetId="2784" refreshError="1"/>
      <sheetData sheetId="2785" refreshError="1"/>
      <sheetData sheetId="2786" refreshError="1"/>
      <sheetData sheetId="2787" refreshError="1"/>
      <sheetData sheetId="2788" refreshError="1"/>
      <sheetData sheetId="2789"/>
      <sheetData sheetId="2790"/>
      <sheetData sheetId="2791"/>
      <sheetData sheetId="2792"/>
      <sheetData sheetId="2793"/>
      <sheetData sheetId="2794"/>
      <sheetData sheetId="2795"/>
      <sheetData sheetId="2796"/>
      <sheetData sheetId="2797"/>
      <sheetData sheetId="2798"/>
      <sheetData sheetId="2799"/>
      <sheetData sheetId="2800"/>
      <sheetData sheetId="2801"/>
      <sheetData sheetId="2802"/>
      <sheetData sheetId="2803"/>
      <sheetData sheetId="2804"/>
      <sheetData sheetId="2805"/>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sheetData sheetId="2830" refreshError="1"/>
      <sheetData sheetId="2831"/>
      <sheetData sheetId="2832"/>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sheetData sheetId="2941"/>
      <sheetData sheetId="2942"/>
      <sheetData sheetId="2943"/>
      <sheetData sheetId="2944"/>
      <sheetData sheetId="2945"/>
      <sheetData sheetId="2946"/>
      <sheetData sheetId="2947"/>
      <sheetData sheetId="2948"/>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sheetData sheetId="3090"/>
      <sheetData sheetId="3091"/>
      <sheetData sheetId="3092"/>
      <sheetData sheetId="3093"/>
      <sheetData sheetId="3094"/>
      <sheetData sheetId="3095"/>
      <sheetData sheetId="3096"/>
      <sheetData sheetId="3097"/>
      <sheetData sheetId="3098"/>
      <sheetData sheetId="3099"/>
      <sheetData sheetId="3100"/>
      <sheetData sheetId="3101"/>
      <sheetData sheetId="3102"/>
      <sheetData sheetId="3103"/>
      <sheetData sheetId="3104"/>
      <sheetData sheetId="3105"/>
      <sheetData sheetId="3106"/>
      <sheetData sheetId="3107"/>
      <sheetData sheetId="3108"/>
      <sheetData sheetId="3109"/>
      <sheetData sheetId="3110"/>
      <sheetData sheetId="3111"/>
      <sheetData sheetId="3112"/>
      <sheetData sheetId="3113"/>
      <sheetData sheetId="3114"/>
      <sheetData sheetId="3115"/>
      <sheetData sheetId="3116"/>
      <sheetData sheetId="3117"/>
      <sheetData sheetId="3118"/>
      <sheetData sheetId="3119"/>
      <sheetData sheetId="3120"/>
      <sheetData sheetId="3121"/>
      <sheetData sheetId="3122"/>
      <sheetData sheetId="3123"/>
      <sheetData sheetId="3124"/>
      <sheetData sheetId="3125"/>
      <sheetData sheetId="3126"/>
      <sheetData sheetId="3127"/>
      <sheetData sheetId="3128"/>
      <sheetData sheetId="3129"/>
      <sheetData sheetId="3130"/>
      <sheetData sheetId="3131"/>
      <sheetData sheetId="3132"/>
      <sheetData sheetId="3133"/>
      <sheetData sheetId="3134"/>
      <sheetData sheetId="3135"/>
      <sheetData sheetId="3136"/>
      <sheetData sheetId="3137"/>
      <sheetData sheetId="3138"/>
      <sheetData sheetId="3139"/>
      <sheetData sheetId="3140"/>
      <sheetData sheetId="3141"/>
      <sheetData sheetId="3142"/>
      <sheetData sheetId="3143"/>
      <sheetData sheetId="3144"/>
      <sheetData sheetId="3145"/>
      <sheetData sheetId="3146"/>
      <sheetData sheetId="3147"/>
      <sheetData sheetId="3148"/>
      <sheetData sheetId="3149"/>
      <sheetData sheetId="3150"/>
      <sheetData sheetId="3151"/>
      <sheetData sheetId="3152"/>
      <sheetData sheetId="3153"/>
      <sheetData sheetId="3154"/>
      <sheetData sheetId="3155"/>
      <sheetData sheetId="3156"/>
      <sheetData sheetId="3157"/>
      <sheetData sheetId="3158"/>
      <sheetData sheetId="3159"/>
      <sheetData sheetId="3160"/>
      <sheetData sheetId="3161"/>
      <sheetData sheetId="3162"/>
      <sheetData sheetId="3163"/>
      <sheetData sheetId="3164"/>
      <sheetData sheetId="3165"/>
      <sheetData sheetId="3166"/>
      <sheetData sheetId="3167"/>
      <sheetData sheetId="3168"/>
      <sheetData sheetId="3169"/>
      <sheetData sheetId="3170"/>
      <sheetData sheetId="3171"/>
      <sheetData sheetId="3172"/>
      <sheetData sheetId="3173"/>
      <sheetData sheetId="3174"/>
      <sheetData sheetId="3175"/>
      <sheetData sheetId="3176"/>
      <sheetData sheetId="3177"/>
      <sheetData sheetId="3178"/>
      <sheetData sheetId="3179"/>
      <sheetData sheetId="3180"/>
      <sheetData sheetId="3181"/>
      <sheetData sheetId="3182"/>
      <sheetData sheetId="3183"/>
      <sheetData sheetId="3184"/>
      <sheetData sheetId="3185"/>
      <sheetData sheetId="3186"/>
      <sheetData sheetId="3187"/>
      <sheetData sheetId="3188"/>
      <sheetData sheetId="3189"/>
      <sheetData sheetId="3190"/>
      <sheetData sheetId="3191"/>
      <sheetData sheetId="3192"/>
      <sheetData sheetId="3193"/>
      <sheetData sheetId="3194"/>
      <sheetData sheetId="3195"/>
      <sheetData sheetId="3196"/>
      <sheetData sheetId="3197"/>
      <sheetData sheetId="3198"/>
      <sheetData sheetId="3199"/>
      <sheetData sheetId="3200"/>
      <sheetData sheetId="3201"/>
      <sheetData sheetId="3202"/>
      <sheetData sheetId="3203"/>
      <sheetData sheetId="3204"/>
      <sheetData sheetId="3205"/>
      <sheetData sheetId="3206"/>
      <sheetData sheetId="3207"/>
      <sheetData sheetId="3208"/>
      <sheetData sheetId="3209"/>
      <sheetData sheetId="3210"/>
      <sheetData sheetId="3211"/>
      <sheetData sheetId="3212"/>
      <sheetData sheetId="3213"/>
      <sheetData sheetId="3214"/>
      <sheetData sheetId="3215"/>
      <sheetData sheetId="3216"/>
      <sheetData sheetId="3217"/>
      <sheetData sheetId="3218"/>
      <sheetData sheetId="3219"/>
      <sheetData sheetId="3220"/>
      <sheetData sheetId="3221"/>
      <sheetData sheetId="3222"/>
      <sheetData sheetId="3223"/>
      <sheetData sheetId="3224"/>
      <sheetData sheetId="3225"/>
      <sheetData sheetId="3226"/>
      <sheetData sheetId="3227"/>
      <sheetData sheetId="3228"/>
      <sheetData sheetId="3229"/>
      <sheetData sheetId="3230"/>
      <sheetData sheetId="3231"/>
      <sheetData sheetId="3232"/>
      <sheetData sheetId="3233"/>
      <sheetData sheetId="3234"/>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refreshError="1"/>
      <sheetData sheetId="3296" refreshError="1"/>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refreshError="1"/>
      <sheetData sheetId="3308" refreshError="1"/>
      <sheetData sheetId="3309" refreshError="1"/>
      <sheetData sheetId="3310" refreshError="1"/>
      <sheetData sheetId="3311" refreshError="1"/>
      <sheetData sheetId="3312" refreshError="1"/>
      <sheetData sheetId="3313" refreshError="1"/>
      <sheetData sheetId="3314" refreshError="1"/>
      <sheetData sheetId="3315"/>
      <sheetData sheetId="3316"/>
      <sheetData sheetId="3317" refreshError="1"/>
      <sheetData sheetId="3318" refreshError="1"/>
      <sheetData sheetId="3319" refreshError="1"/>
      <sheetData sheetId="3320" refreshError="1"/>
      <sheetData sheetId="3321" refreshError="1"/>
      <sheetData sheetId="3322" refreshError="1"/>
      <sheetData sheetId="3323" refreshError="1"/>
      <sheetData sheetId="3324" refreshError="1"/>
      <sheetData sheetId="3325" refreshError="1"/>
      <sheetData sheetId="3326" refreshError="1"/>
      <sheetData sheetId="3327" refreshError="1"/>
      <sheetData sheetId="3328" refreshError="1"/>
      <sheetData sheetId="3329" refreshError="1"/>
      <sheetData sheetId="3330" refreshError="1"/>
      <sheetData sheetId="3331" refreshError="1"/>
      <sheetData sheetId="3332" refreshError="1"/>
      <sheetData sheetId="3333" refreshError="1"/>
      <sheetData sheetId="3334" refreshError="1"/>
      <sheetData sheetId="3335" refreshError="1"/>
      <sheetData sheetId="3336" refreshError="1"/>
      <sheetData sheetId="3337" refreshError="1"/>
      <sheetData sheetId="3338" refreshError="1"/>
      <sheetData sheetId="3339" refreshError="1"/>
      <sheetData sheetId="3340" refreshError="1"/>
      <sheetData sheetId="3341" refreshError="1"/>
      <sheetData sheetId="3342" refreshError="1"/>
      <sheetData sheetId="3343" refreshError="1"/>
      <sheetData sheetId="3344" refreshError="1"/>
      <sheetData sheetId="3345" refreshError="1"/>
      <sheetData sheetId="3346" refreshError="1"/>
      <sheetData sheetId="3347" refreshError="1"/>
      <sheetData sheetId="3348" refreshError="1"/>
      <sheetData sheetId="3349" refreshError="1"/>
      <sheetData sheetId="3350" refreshError="1"/>
      <sheetData sheetId="3351" refreshError="1"/>
      <sheetData sheetId="3352" refreshError="1"/>
      <sheetData sheetId="3353" refreshError="1"/>
      <sheetData sheetId="3354" refreshError="1"/>
      <sheetData sheetId="3355" refreshError="1"/>
      <sheetData sheetId="3356" refreshError="1"/>
      <sheetData sheetId="3357" refreshError="1"/>
      <sheetData sheetId="3358" refreshError="1"/>
      <sheetData sheetId="3359" refreshError="1"/>
      <sheetData sheetId="3360" refreshError="1"/>
      <sheetData sheetId="3361" refreshError="1"/>
      <sheetData sheetId="3362" refreshError="1"/>
      <sheetData sheetId="3363" refreshError="1"/>
      <sheetData sheetId="3364"/>
      <sheetData sheetId="3365"/>
      <sheetData sheetId="3366"/>
      <sheetData sheetId="3367"/>
      <sheetData sheetId="3368" refreshError="1"/>
      <sheetData sheetId="3369" refreshError="1"/>
      <sheetData sheetId="3370" refreshError="1"/>
      <sheetData sheetId="3371" refreshError="1"/>
      <sheetData sheetId="3372" refreshError="1"/>
      <sheetData sheetId="3373" refreshError="1"/>
      <sheetData sheetId="3374"/>
      <sheetData sheetId="3375"/>
      <sheetData sheetId="3376"/>
      <sheetData sheetId="3377"/>
      <sheetData sheetId="3378" refreshError="1"/>
      <sheetData sheetId="3379"/>
      <sheetData sheetId="3380" refreshError="1"/>
      <sheetData sheetId="3381"/>
      <sheetData sheetId="3382"/>
      <sheetData sheetId="3383"/>
      <sheetData sheetId="3384"/>
      <sheetData sheetId="3385" refreshError="1"/>
      <sheetData sheetId="3386" refreshError="1"/>
      <sheetData sheetId="3387" refreshError="1"/>
      <sheetData sheetId="3388"/>
      <sheetData sheetId="3389"/>
      <sheetData sheetId="3390"/>
      <sheetData sheetId="3391" refreshError="1"/>
      <sheetData sheetId="3392" refreshError="1"/>
      <sheetData sheetId="3393"/>
      <sheetData sheetId="3394"/>
      <sheetData sheetId="3395"/>
      <sheetData sheetId="3396"/>
      <sheetData sheetId="3397"/>
      <sheetData sheetId="3398" refreshError="1"/>
      <sheetData sheetId="3399"/>
      <sheetData sheetId="3400" refreshError="1"/>
      <sheetData sheetId="3401" refreshError="1"/>
      <sheetData sheetId="3402" refreshError="1"/>
      <sheetData sheetId="3403" refreshError="1"/>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refreshError="1"/>
      <sheetData sheetId="3414" refreshError="1"/>
      <sheetData sheetId="3415" refreshError="1"/>
      <sheetData sheetId="3416" refreshError="1"/>
      <sheetData sheetId="3417" refreshError="1"/>
      <sheetData sheetId="3418" refreshError="1"/>
      <sheetData sheetId="3419" refreshError="1"/>
      <sheetData sheetId="3420" refreshError="1"/>
      <sheetData sheetId="3421"/>
      <sheetData sheetId="3422"/>
      <sheetData sheetId="3423"/>
      <sheetData sheetId="3424"/>
      <sheetData sheetId="3425"/>
      <sheetData sheetId="3426" refreshError="1"/>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sheetData sheetId="3437" refreshError="1"/>
      <sheetData sheetId="3438" refreshError="1"/>
      <sheetData sheetId="3439"/>
      <sheetData sheetId="3440" refreshError="1"/>
      <sheetData sheetId="3441" refreshError="1"/>
      <sheetData sheetId="3442" refreshError="1"/>
      <sheetData sheetId="3443" refreshError="1"/>
      <sheetData sheetId="3444"/>
      <sheetData sheetId="3445" refreshError="1"/>
      <sheetData sheetId="3446"/>
      <sheetData sheetId="3447"/>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sheetData sheetId="3460"/>
      <sheetData sheetId="3461" refreshError="1"/>
      <sheetData sheetId="3462" refreshError="1"/>
      <sheetData sheetId="3463" refreshError="1"/>
      <sheetData sheetId="3464" refreshError="1"/>
      <sheetData sheetId="3465" refreshError="1"/>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refreshError="1"/>
      <sheetData sheetId="3512" refreshError="1"/>
      <sheetData sheetId="3513" refreshError="1"/>
      <sheetData sheetId="3514" refreshError="1"/>
      <sheetData sheetId="3515" refreshError="1"/>
      <sheetData sheetId="3516" refreshError="1"/>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refreshError="1"/>
      <sheetData sheetId="3538" refreshError="1"/>
      <sheetData sheetId="3539" refreshError="1"/>
      <sheetData sheetId="3540"/>
      <sheetData sheetId="3541" refreshError="1"/>
      <sheetData sheetId="3542" refreshError="1"/>
      <sheetData sheetId="3543" refreshError="1"/>
      <sheetData sheetId="3544" refreshError="1"/>
      <sheetData sheetId="3545" refreshError="1"/>
      <sheetData sheetId="3546" refreshError="1"/>
      <sheetData sheetId="3547" refreshError="1"/>
      <sheetData sheetId="3548" refreshError="1"/>
      <sheetData sheetId="3549"/>
      <sheetData sheetId="3550" refreshError="1"/>
      <sheetData sheetId="3551" refreshError="1"/>
      <sheetData sheetId="3552" refreshError="1"/>
      <sheetData sheetId="3553" refreshError="1"/>
      <sheetData sheetId="3554" refreshError="1"/>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sheetData sheetId="3566"/>
      <sheetData sheetId="3567"/>
      <sheetData sheetId="3568" refreshError="1"/>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refreshError="1"/>
      <sheetData sheetId="3607" refreshError="1"/>
      <sheetData sheetId="3608" refreshError="1"/>
      <sheetData sheetId="3609" refreshError="1"/>
      <sheetData sheetId="3610" refreshError="1"/>
      <sheetData sheetId="3611" refreshError="1"/>
      <sheetData sheetId="3612" refreshError="1"/>
      <sheetData sheetId="3613" refreshError="1"/>
      <sheetData sheetId="3614" refreshError="1"/>
      <sheetData sheetId="3615" refreshError="1"/>
      <sheetData sheetId="3616" refreshError="1"/>
      <sheetData sheetId="3617" refreshError="1"/>
      <sheetData sheetId="3618"/>
      <sheetData sheetId="3619"/>
      <sheetData sheetId="3620" refreshError="1"/>
      <sheetData sheetId="3621" refreshError="1"/>
      <sheetData sheetId="3622" refreshError="1"/>
      <sheetData sheetId="3623"/>
      <sheetData sheetId="3624" refreshError="1"/>
      <sheetData sheetId="3625" refreshError="1"/>
      <sheetData sheetId="3626" refreshError="1"/>
      <sheetData sheetId="3627"/>
      <sheetData sheetId="3628"/>
      <sheetData sheetId="3629" refreshError="1"/>
      <sheetData sheetId="3630" refreshError="1"/>
      <sheetData sheetId="3631" refreshError="1"/>
      <sheetData sheetId="3632" refreshError="1"/>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sheetData sheetId="3651"/>
      <sheetData sheetId="3652"/>
      <sheetData sheetId="3653"/>
      <sheetData sheetId="3654"/>
      <sheetData sheetId="3655"/>
      <sheetData sheetId="3656"/>
      <sheetData sheetId="3657"/>
      <sheetData sheetId="3658"/>
      <sheetData sheetId="3659" refreshError="1"/>
      <sheetData sheetId="3660" refreshError="1"/>
      <sheetData sheetId="3661" refreshError="1"/>
      <sheetData sheetId="3662"/>
      <sheetData sheetId="3663" refreshError="1"/>
      <sheetData sheetId="3664" refreshError="1"/>
      <sheetData sheetId="3665" refreshError="1"/>
      <sheetData sheetId="3666" refreshError="1"/>
      <sheetData sheetId="3667" refreshError="1"/>
      <sheetData sheetId="3668" refreshError="1"/>
      <sheetData sheetId="3669" refreshError="1"/>
      <sheetData sheetId="3670" refreshError="1"/>
      <sheetData sheetId="3671" refreshError="1"/>
      <sheetData sheetId="3672" refreshError="1"/>
      <sheetData sheetId="3673"/>
      <sheetData sheetId="3674"/>
      <sheetData sheetId="3675"/>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sheetData sheetId="3688"/>
      <sheetData sheetId="3689"/>
      <sheetData sheetId="3690"/>
      <sheetData sheetId="3691"/>
      <sheetData sheetId="3692"/>
      <sheetData sheetId="3693"/>
      <sheetData sheetId="3694"/>
      <sheetData sheetId="3695"/>
      <sheetData sheetId="3696"/>
      <sheetData sheetId="3697"/>
      <sheetData sheetId="3698"/>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refreshError="1"/>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refreshError="1"/>
      <sheetData sheetId="3818" refreshError="1"/>
      <sheetData sheetId="3819" refreshError="1"/>
      <sheetData sheetId="3820" refreshError="1"/>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 sheetId="3836" refreshError="1"/>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refreshError="1"/>
      <sheetData sheetId="3988" refreshError="1"/>
      <sheetData sheetId="3989" refreshError="1"/>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refreshError="1"/>
      <sheetData sheetId="4132" refreshError="1"/>
      <sheetData sheetId="4133" refreshError="1"/>
      <sheetData sheetId="4134"/>
      <sheetData sheetId="4135"/>
      <sheetData sheetId="4136"/>
      <sheetData sheetId="4137" refreshError="1"/>
      <sheetData sheetId="4138" refreshError="1"/>
      <sheetData sheetId="4139" refreshError="1"/>
      <sheetData sheetId="4140" refreshError="1"/>
      <sheetData sheetId="4141" refreshError="1"/>
      <sheetData sheetId="4142" refreshError="1"/>
      <sheetData sheetId="4143" refreshError="1"/>
      <sheetData sheetId="4144"/>
      <sheetData sheetId="4145" refreshError="1"/>
      <sheetData sheetId="4146" refreshError="1"/>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refreshError="1"/>
      <sheetData sheetId="4160"/>
      <sheetData sheetId="4161"/>
      <sheetData sheetId="4162"/>
      <sheetData sheetId="4163"/>
      <sheetData sheetId="4164"/>
      <sheetData sheetId="4165"/>
      <sheetData sheetId="4166"/>
      <sheetData sheetId="4167"/>
      <sheetData sheetId="4168"/>
      <sheetData sheetId="4169" refreshError="1"/>
      <sheetData sheetId="4170"/>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sheetData sheetId="4186"/>
      <sheetData sheetId="4187" refreshError="1"/>
      <sheetData sheetId="4188" refreshError="1"/>
      <sheetData sheetId="4189" refreshError="1"/>
      <sheetData sheetId="4190" refreshError="1"/>
      <sheetData sheetId="4191" refreshError="1"/>
      <sheetData sheetId="4192" refreshError="1"/>
      <sheetData sheetId="4193" refreshError="1"/>
      <sheetData sheetId="4194" refreshError="1"/>
      <sheetData sheetId="4195" refreshError="1"/>
      <sheetData sheetId="4196" refreshError="1"/>
      <sheetData sheetId="4197" refreshError="1"/>
      <sheetData sheetId="4198" refreshError="1"/>
      <sheetData sheetId="4199" refreshError="1"/>
      <sheetData sheetId="4200" refreshError="1"/>
      <sheetData sheetId="4201" refreshError="1"/>
      <sheetData sheetId="4202" refreshError="1"/>
      <sheetData sheetId="4203" refreshError="1"/>
      <sheetData sheetId="4204" refreshError="1"/>
      <sheetData sheetId="4205" refreshError="1"/>
      <sheetData sheetId="4206" refreshError="1"/>
      <sheetData sheetId="4207" refreshError="1"/>
      <sheetData sheetId="4208" refreshError="1"/>
      <sheetData sheetId="4209" refreshError="1"/>
      <sheetData sheetId="4210" refreshError="1"/>
      <sheetData sheetId="4211" refreshError="1"/>
      <sheetData sheetId="4212" refreshError="1"/>
      <sheetData sheetId="4213" refreshError="1"/>
      <sheetData sheetId="4214" refreshError="1"/>
      <sheetData sheetId="4215" refreshError="1"/>
      <sheetData sheetId="4216" refreshError="1"/>
      <sheetData sheetId="4217" refreshError="1"/>
      <sheetData sheetId="4218" refreshError="1"/>
      <sheetData sheetId="4219" refreshError="1"/>
      <sheetData sheetId="4220" refreshError="1"/>
      <sheetData sheetId="4221" refreshError="1"/>
      <sheetData sheetId="4222" refreshError="1"/>
      <sheetData sheetId="4223" refreshError="1"/>
      <sheetData sheetId="4224" refreshError="1"/>
      <sheetData sheetId="4225" refreshError="1"/>
      <sheetData sheetId="4226" refreshError="1"/>
      <sheetData sheetId="4227" refreshError="1"/>
      <sheetData sheetId="4228" refreshError="1"/>
      <sheetData sheetId="4229" refreshError="1"/>
      <sheetData sheetId="4230" refreshError="1"/>
      <sheetData sheetId="4231" refreshError="1"/>
      <sheetData sheetId="4232" refreshError="1"/>
      <sheetData sheetId="4233" refreshError="1"/>
      <sheetData sheetId="4234" refreshError="1"/>
      <sheetData sheetId="4235" refreshError="1"/>
      <sheetData sheetId="4236" refreshError="1"/>
      <sheetData sheetId="4237" refreshError="1"/>
      <sheetData sheetId="4238" refreshError="1"/>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refreshError="1"/>
      <sheetData sheetId="4249" refreshError="1"/>
      <sheetData sheetId="4250" refreshError="1"/>
      <sheetData sheetId="4251" refreshError="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refreshError="1"/>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refreshError="1"/>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refreshError="1"/>
      <sheetData sheetId="4330" refreshError="1"/>
      <sheetData sheetId="4331" refreshError="1"/>
      <sheetData sheetId="4332" refreshError="1"/>
      <sheetData sheetId="4333" refreshError="1"/>
      <sheetData sheetId="4334" refreshError="1"/>
      <sheetData sheetId="4335" refreshError="1"/>
      <sheetData sheetId="4336" refreshError="1"/>
      <sheetData sheetId="4337" refreshError="1"/>
      <sheetData sheetId="4338" refreshError="1"/>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refreshError="1"/>
      <sheetData sheetId="4351" refreshError="1"/>
      <sheetData sheetId="4352" refreshError="1"/>
      <sheetData sheetId="4353" refreshError="1"/>
      <sheetData sheetId="4354" refreshError="1"/>
      <sheetData sheetId="4355" refreshError="1"/>
      <sheetData sheetId="4356" refreshError="1"/>
      <sheetData sheetId="4357" refreshError="1"/>
      <sheetData sheetId="4358" refreshError="1"/>
      <sheetData sheetId="4359" refreshError="1"/>
      <sheetData sheetId="4360" refreshError="1"/>
      <sheetData sheetId="4361" refreshError="1"/>
      <sheetData sheetId="4362" refreshError="1"/>
      <sheetData sheetId="4363" refreshError="1"/>
      <sheetData sheetId="4364" refreshError="1"/>
      <sheetData sheetId="4365" refreshError="1"/>
      <sheetData sheetId="4366" refreshError="1"/>
      <sheetData sheetId="4367" refreshError="1"/>
      <sheetData sheetId="4368" refreshError="1"/>
      <sheetData sheetId="4369" refreshError="1"/>
      <sheetData sheetId="4370" refreshError="1"/>
      <sheetData sheetId="4371" refreshError="1"/>
      <sheetData sheetId="4372" refreshError="1"/>
      <sheetData sheetId="4373" refreshError="1"/>
      <sheetData sheetId="4374" refreshError="1"/>
      <sheetData sheetId="4375" refreshError="1"/>
      <sheetData sheetId="4376" refreshError="1"/>
      <sheetData sheetId="4377" refreshError="1"/>
      <sheetData sheetId="4378" refreshError="1"/>
      <sheetData sheetId="4379" refreshError="1"/>
      <sheetData sheetId="4380" refreshError="1"/>
      <sheetData sheetId="4381" refreshError="1"/>
      <sheetData sheetId="4382" refreshError="1"/>
      <sheetData sheetId="4383" refreshError="1"/>
      <sheetData sheetId="4384" refreshError="1"/>
      <sheetData sheetId="4385" refreshError="1"/>
      <sheetData sheetId="4386" refreshError="1"/>
      <sheetData sheetId="4387" refreshError="1"/>
      <sheetData sheetId="4388" refreshError="1"/>
      <sheetData sheetId="4389" refreshError="1"/>
      <sheetData sheetId="4390" refreshError="1"/>
      <sheetData sheetId="4391" refreshError="1"/>
      <sheetData sheetId="4392" refreshError="1"/>
      <sheetData sheetId="4393" refreshError="1"/>
      <sheetData sheetId="4394" refreshError="1"/>
      <sheetData sheetId="4395" refreshError="1"/>
      <sheetData sheetId="4396" refreshError="1"/>
      <sheetData sheetId="4397" refreshError="1"/>
      <sheetData sheetId="4398" refreshError="1"/>
      <sheetData sheetId="4399" refreshError="1"/>
      <sheetData sheetId="4400" refreshError="1"/>
      <sheetData sheetId="4401" refreshError="1"/>
      <sheetData sheetId="4402" refreshError="1"/>
      <sheetData sheetId="4403" refreshError="1"/>
      <sheetData sheetId="4404" refreshError="1"/>
      <sheetData sheetId="4405" refreshError="1"/>
      <sheetData sheetId="4406" refreshError="1"/>
      <sheetData sheetId="4407" refreshError="1"/>
      <sheetData sheetId="4408" refreshError="1"/>
      <sheetData sheetId="4409" refreshError="1"/>
      <sheetData sheetId="4410" refreshError="1"/>
      <sheetData sheetId="4411" refreshError="1"/>
      <sheetData sheetId="4412" refreshError="1"/>
      <sheetData sheetId="4413" refreshError="1"/>
      <sheetData sheetId="4414" refreshError="1"/>
      <sheetData sheetId="4415"/>
      <sheetData sheetId="4416" refreshError="1"/>
      <sheetData sheetId="4417" refreshError="1"/>
      <sheetData sheetId="4418" refreshError="1"/>
      <sheetData sheetId="4419" refreshError="1"/>
      <sheetData sheetId="4420" refreshError="1"/>
      <sheetData sheetId="4421" refreshError="1"/>
      <sheetData sheetId="4422" refreshError="1"/>
      <sheetData sheetId="4423" refreshError="1"/>
      <sheetData sheetId="4424" refreshError="1"/>
      <sheetData sheetId="4425" refreshError="1"/>
      <sheetData sheetId="4426" refreshError="1"/>
      <sheetData sheetId="4427" refreshError="1"/>
      <sheetData sheetId="4428" refreshError="1"/>
      <sheetData sheetId="4429" refreshError="1"/>
      <sheetData sheetId="4430" refreshError="1"/>
      <sheetData sheetId="4431" refreshError="1"/>
      <sheetData sheetId="4432"/>
      <sheetData sheetId="4433" refreshError="1"/>
      <sheetData sheetId="4434" refreshError="1"/>
      <sheetData sheetId="4435" refreshError="1"/>
      <sheetData sheetId="4436" refreshError="1"/>
      <sheetData sheetId="4437" refreshError="1"/>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refreshError="1"/>
      <sheetData sheetId="4591" refreshError="1"/>
      <sheetData sheetId="4592" refreshError="1"/>
      <sheetData sheetId="4593" refreshError="1"/>
      <sheetData sheetId="4594" refreshError="1"/>
      <sheetData sheetId="4595" refreshError="1"/>
      <sheetData sheetId="4596" refreshError="1"/>
      <sheetData sheetId="4597"/>
      <sheetData sheetId="4598" refreshError="1"/>
      <sheetData sheetId="4599"/>
      <sheetData sheetId="4600" refreshError="1"/>
      <sheetData sheetId="4601" refreshError="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refreshError="1"/>
      <sheetData sheetId="4950" refreshError="1"/>
      <sheetData sheetId="495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sheetData sheetId="5036" refreshError="1"/>
      <sheetData sheetId="5037" refreshError="1"/>
      <sheetData sheetId="5038"/>
      <sheetData sheetId="5039"/>
      <sheetData sheetId="5040"/>
      <sheetData sheetId="5041"/>
      <sheetData sheetId="5042"/>
      <sheetData sheetId="5043"/>
      <sheetData sheetId="5044"/>
      <sheetData sheetId="5045"/>
      <sheetData sheetId="5046"/>
      <sheetData sheetId="5047"/>
      <sheetData sheetId="5048"/>
      <sheetData sheetId="5049"/>
      <sheetData sheetId="5050"/>
      <sheetData sheetId="5051" refreshError="1"/>
      <sheetData sheetId="5052" refreshError="1"/>
      <sheetData sheetId="5053" refreshError="1"/>
      <sheetData sheetId="5054" refreshError="1"/>
      <sheetData sheetId="5055" refreshError="1"/>
      <sheetData sheetId="5056" refreshError="1"/>
      <sheetData sheetId="5057"/>
      <sheetData sheetId="5058"/>
      <sheetData sheetId="5059"/>
      <sheetData sheetId="5060"/>
      <sheetData sheetId="5061"/>
      <sheetData sheetId="5062"/>
      <sheetData sheetId="5063"/>
      <sheetData sheetId="5064"/>
      <sheetData sheetId="5065"/>
      <sheetData sheetId="5066"/>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efreshError="1"/>
      <sheetData sheetId="5100" refreshError="1"/>
      <sheetData sheetId="5101" refreshError="1"/>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sheetData sheetId="5112"/>
      <sheetData sheetId="5113"/>
      <sheetData sheetId="5114" refreshError="1"/>
      <sheetData sheetId="5115"/>
      <sheetData sheetId="5116"/>
      <sheetData sheetId="5117"/>
      <sheetData sheetId="5118"/>
      <sheetData sheetId="5119" refreshError="1"/>
      <sheetData sheetId="5120" refreshError="1"/>
      <sheetData sheetId="5121" refreshError="1"/>
      <sheetData sheetId="5122" refreshError="1"/>
      <sheetData sheetId="5123"/>
      <sheetData sheetId="5124"/>
      <sheetData sheetId="5125"/>
      <sheetData sheetId="5126" refreshError="1"/>
      <sheetData sheetId="5127" refreshError="1"/>
      <sheetData sheetId="5128" refreshError="1"/>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sheetData sheetId="5395"/>
      <sheetData sheetId="5396"/>
      <sheetData sheetId="5397"/>
      <sheetData sheetId="5398"/>
      <sheetData sheetId="5399"/>
      <sheetData sheetId="5400"/>
      <sheetData sheetId="5401"/>
      <sheetData sheetId="5402"/>
      <sheetData sheetId="5403"/>
      <sheetData sheetId="5404"/>
      <sheetData sheetId="5405"/>
      <sheetData sheetId="5406"/>
      <sheetData sheetId="5407"/>
      <sheetData sheetId="5408"/>
      <sheetData sheetId="5409"/>
      <sheetData sheetId="5410"/>
      <sheetData sheetId="5411"/>
      <sheetData sheetId="5412"/>
      <sheetData sheetId="5413"/>
      <sheetData sheetId="5414"/>
      <sheetData sheetId="5415"/>
      <sheetData sheetId="5416"/>
      <sheetData sheetId="5417"/>
      <sheetData sheetId="5418"/>
      <sheetData sheetId="5419"/>
      <sheetData sheetId="5420"/>
      <sheetData sheetId="5421"/>
      <sheetData sheetId="5422"/>
      <sheetData sheetId="5423"/>
      <sheetData sheetId="5424"/>
      <sheetData sheetId="5425"/>
      <sheetData sheetId="5426"/>
      <sheetData sheetId="5427"/>
      <sheetData sheetId="5428"/>
      <sheetData sheetId="5429"/>
      <sheetData sheetId="5430"/>
      <sheetData sheetId="5431"/>
      <sheetData sheetId="5432"/>
      <sheetData sheetId="5433"/>
      <sheetData sheetId="5434"/>
      <sheetData sheetId="5435"/>
      <sheetData sheetId="5436"/>
      <sheetData sheetId="5437"/>
      <sheetData sheetId="5438"/>
      <sheetData sheetId="5439"/>
      <sheetData sheetId="5440"/>
      <sheetData sheetId="5441"/>
      <sheetData sheetId="5442"/>
      <sheetData sheetId="5443"/>
      <sheetData sheetId="5444"/>
      <sheetData sheetId="5445"/>
      <sheetData sheetId="5446"/>
      <sheetData sheetId="5447"/>
      <sheetData sheetId="5448"/>
      <sheetData sheetId="5449"/>
      <sheetData sheetId="5450"/>
      <sheetData sheetId="5451"/>
      <sheetData sheetId="5452"/>
      <sheetData sheetId="5453"/>
      <sheetData sheetId="5454"/>
      <sheetData sheetId="5455"/>
      <sheetData sheetId="5456"/>
      <sheetData sheetId="5457"/>
      <sheetData sheetId="5458"/>
      <sheetData sheetId="5459"/>
      <sheetData sheetId="5460"/>
      <sheetData sheetId="5461"/>
      <sheetData sheetId="5462"/>
      <sheetData sheetId="5463"/>
      <sheetData sheetId="5464"/>
      <sheetData sheetId="5465"/>
      <sheetData sheetId="5466"/>
      <sheetData sheetId="5467"/>
      <sheetData sheetId="5468"/>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sheetData sheetId="5503"/>
      <sheetData sheetId="5504"/>
      <sheetData sheetId="5505"/>
      <sheetData sheetId="5506"/>
      <sheetData sheetId="5507"/>
      <sheetData sheetId="5508"/>
      <sheetData sheetId="5509"/>
      <sheetData sheetId="5510"/>
      <sheetData sheetId="5511"/>
      <sheetData sheetId="5512"/>
      <sheetData sheetId="5513"/>
      <sheetData sheetId="5514"/>
      <sheetData sheetId="5515"/>
      <sheetData sheetId="5516"/>
      <sheetData sheetId="5517"/>
      <sheetData sheetId="5518"/>
      <sheetData sheetId="5519"/>
      <sheetData sheetId="5520"/>
      <sheetData sheetId="5521"/>
      <sheetData sheetId="5522"/>
      <sheetData sheetId="5523"/>
      <sheetData sheetId="5524"/>
      <sheetData sheetId="5525"/>
      <sheetData sheetId="5526"/>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refreshError="1"/>
      <sheetData sheetId="5539" refreshError="1"/>
      <sheetData sheetId="5540" refreshError="1"/>
      <sheetData sheetId="5541" refreshError="1"/>
      <sheetData sheetId="5542" refreshError="1"/>
      <sheetData sheetId="5543" refreshError="1"/>
      <sheetData sheetId="5544" refreshError="1"/>
      <sheetData sheetId="5545" refreshError="1"/>
      <sheetData sheetId="5546" refreshError="1"/>
      <sheetData sheetId="5547" refreshError="1"/>
      <sheetData sheetId="5548" refreshError="1"/>
      <sheetData sheetId="5549" refreshError="1"/>
      <sheetData sheetId="5550" refreshError="1"/>
      <sheetData sheetId="5551" refreshError="1"/>
      <sheetData sheetId="5552" refreshError="1"/>
      <sheetData sheetId="5553" refreshError="1"/>
      <sheetData sheetId="5554" refreshError="1"/>
      <sheetData sheetId="5555" refreshError="1"/>
      <sheetData sheetId="5556"/>
      <sheetData sheetId="5557"/>
      <sheetData sheetId="5558"/>
      <sheetData sheetId="5559"/>
      <sheetData sheetId="5560"/>
      <sheetData sheetId="5561"/>
      <sheetData sheetId="5562"/>
      <sheetData sheetId="5563"/>
      <sheetData sheetId="5564"/>
      <sheetData sheetId="5565"/>
      <sheetData sheetId="5566"/>
      <sheetData sheetId="5567"/>
      <sheetData sheetId="5568"/>
      <sheetData sheetId="5569"/>
      <sheetData sheetId="5570"/>
      <sheetData sheetId="5571"/>
      <sheetData sheetId="5572"/>
      <sheetData sheetId="5573"/>
      <sheetData sheetId="5574"/>
      <sheetData sheetId="5575"/>
      <sheetData sheetId="5576"/>
      <sheetData sheetId="5577"/>
      <sheetData sheetId="5578"/>
      <sheetData sheetId="5579"/>
      <sheetData sheetId="5580"/>
      <sheetData sheetId="5581"/>
      <sheetData sheetId="5582"/>
      <sheetData sheetId="5583"/>
      <sheetData sheetId="5584"/>
      <sheetData sheetId="5585"/>
      <sheetData sheetId="5586"/>
      <sheetData sheetId="5587"/>
      <sheetData sheetId="5588"/>
      <sheetData sheetId="5589"/>
      <sheetData sheetId="5590"/>
      <sheetData sheetId="5591"/>
      <sheetData sheetId="5592"/>
      <sheetData sheetId="5593"/>
      <sheetData sheetId="5594"/>
      <sheetData sheetId="5595"/>
      <sheetData sheetId="5596"/>
      <sheetData sheetId="5597"/>
      <sheetData sheetId="5598"/>
      <sheetData sheetId="5599"/>
      <sheetData sheetId="5600"/>
      <sheetData sheetId="5601"/>
      <sheetData sheetId="5602"/>
      <sheetData sheetId="5603"/>
      <sheetData sheetId="5604"/>
      <sheetData sheetId="5605"/>
      <sheetData sheetId="5606"/>
      <sheetData sheetId="5607"/>
      <sheetData sheetId="5608" refreshError="1"/>
      <sheetData sheetId="5609" refreshError="1"/>
      <sheetData sheetId="5610" refreshError="1"/>
      <sheetData sheetId="5611" refreshError="1"/>
      <sheetData sheetId="5612" refreshError="1"/>
      <sheetData sheetId="5613"/>
      <sheetData sheetId="5614"/>
      <sheetData sheetId="5615"/>
      <sheetData sheetId="5616"/>
      <sheetData sheetId="5617"/>
      <sheetData sheetId="5618"/>
      <sheetData sheetId="5619"/>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sheetData sheetId="5630"/>
      <sheetData sheetId="5631"/>
      <sheetData sheetId="5632"/>
      <sheetData sheetId="5633"/>
      <sheetData sheetId="5634"/>
      <sheetData sheetId="5635"/>
      <sheetData sheetId="5636"/>
      <sheetData sheetId="5637"/>
      <sheetData sheetId="5638"/>
      <sheetData sheetId="5639"/>
      <sheetData sheetId="5640"/>
      <sheetData sheetId="5641"/>
      <sheetData sheetId="5642"/>
      <sheetData sheetId="5643"/>
      <sheetData sheetId="5644"/>
      <sheetData sheetId="5645"/>
      <sheetData sheetId="5646"/>
      <sheetData sheetId="5647"/>
      <sheetData sheetId="5648"/>
      <sheetData sheetId="5649"/>
      <sheetData sheetId="5650"/>
      <sheetData sheetId="5651"/>
      <sheetData sheetId="5652"/>
      <sheetData sheetId="5653"/>
      <sheetData sheetId="5654"/>
      <sheetData sheetId="5655"/>
      <sheetData sheetId="5656"/>
      <sheetData sheetId="5657"/>
      <sheetData sheetId="5658"/>
      <sheetData sheetId="5659"/>
      <sheetData sheetId="5660"/>
      <sheetData sheetId="5661"/>
      <sheetData sheetId="5662"/>
      <sheetData sheetId="5663"/>
      <sheetData sheetId="5664"/>
      <sheetData sheetId="5665"/>
      <sheetData sheetId="5666"/>
      <sheetData sheetId="5667"/>
      <sheetData sheetId="5668"/>
      <sheetData sheetId="5669"/>
      <sheetData sheetId="5670"/>
      <sheetData sheetId="5671"/>
      <sheetData sheetId="5672"/>
      <sheetData sheetId="5673"/>
      <sheetData sheetId="5674"/>
      <sheetData sheetId="5675"/>
      <sheetData sheetId="5676"/>
      <sheetData sheetId="5677"/>
      <sheetData sheetId="5678"/>
      <sheetData sheetId="5679"/>
      <sheetData sheetId="5680"/>
      <sheetData sheetId="5681"/>
      <sheetData sheetId="5682"/>
      <sheetData sheetId="5683"/>
      <sheetData sheetId="5684"/>
      <sheetData sheetId="5685"/>
      <sheetData sheetId="5686"/>
      <sheetData sheetId="5687"/>
      <sheetData sheetId="5688"/>
      <sheetData sheetId="5689"/>
      <sheetData sheetId="5690"/>
      <sheetData sheetId="5691"/>
      <sheetData sheetId="5692"/>
      <sheetData sheetId="5693"/>
      <sheetData sheetId="5694"/>
      <sheetData sheetId="5695"/>
      <sheetData sheetId="5696"/>
      <sheetData sheetId="5697"/>
      <sheetData sheetId="5698"/>
      <sheetData sheetId="5699"/>
      <sheetData sheetId="5700"/>
      <sheetData sheetId="5701"/>
      <sheetData sheetId="5702"/>
      <sheetData sheetId="5703"/>
      <sheetData sheetId="5704"/>
      <sheetData sheetId="5705"/>
      <sheetData sheetId="5706"/>
      <sheetData sheetId="5707"/>
      <sheetData sheetId="5708"/>
      <sheetData sheetId="5709"/>
      <sheetData sheetId="5710"/>
      <sheetData sheetId="5711"/>
      <sheetData sheetId="5712"/>
      <sheetData sheetId="5713"/>
      <sheetData sheetId="5714"/>
      <sheetData sheetId="5715"/>
      <sheetData sheetId="5716"/>
      <sheetData sheetId="5717"/>
      <sheetData sheetId="5718"/>
      <sheetData sheetId="5719"/>
      <sheetData sheetId="5720"/>
      <sheetData sheetId="5721"/>
      <sheetData sheetId="5722"/>
      <sheetData sheetId="5723"/>
      <sheetData sheetId="5724"/>
      <sheetData sheetId="5725"/>
      <sheetData sheetId="5726"/>
      <sheetData sheetId="5727"/>
      <sheetData sheetId="5728"/>
      <sheetData sheetId="5729"/>
      <sheetData sheetId="5730"/>
      <sheetData sheetId="5731"/>
      <sheetData sheetId="5732"/>
      <sheetData sheetId="5733"/>
      <sheetData sheetId="5734"/>
      <sheetData sheetId="5735"/>
      <sheetData sheetId="5736"/>
      <sheetData sheetId="5737"/>
      <sheetData sheetId="5738"/>
      <sheetData sheetId="5739"/>
      <sheetData sheetId="5740"/>
      <sheetData sheetId="5741"/>
      <sheetData sheetId="5742"/>
      <sheetData sheetId="5743"/>
      <sheetData sheetId="5744"/>
      <sheetData sheetId="5745"/>
      <sheetData sheetId="5746"/>
      <sheetData sheetId="5747"/>
      <sheetData sheetId="5748"/>
      <sheetData sheetId="5749"/>
      <sheetData sheetId="5750"/>
      <sheetData sheetId="5751"/>
      <sheetData sheetId="5752"/>
      <sheetData sheetId="5753"/>
      <sheetData sheetId="5754"/>
      <sheetData sheetId="5755"/>
      <sheetData sheetId="5756"/>
      <sheetData sheetId="5757"/>
      <sheetData sheetId="5758"/>
      <sheetData sheetId="5759"/>
      <sheetData sheetId="5760"/>
      <sheetData sheetId="5761"/>
      <sheetData sheetId="5762"/>
      <sheetData sheetId="5763"/>
      <sheetData sheetId="5764"/>
      <sheetData sheetId="5765"/>
      <sheetData sheetId="5766"/>
      <sheetData sheetId="5767"/>
      <sheetData sheetId="5768"/>
      <sheetData sheetId="5769"/>
      <sheetData sheetId="5770"/>
      <sheetData sheetId="5771"/>
      <sheetData sheetId="5772"/>
      <sheetData sheetId="5773"/>
      <sheetData sheetId="5774"/>
      <sheetData sheetId="5775"/>
      <sheetData sheetId="5776"/>
      <sheetData sheetId="5777"/>
      <sheetData sheetId="5778"/>
      <sheetData sheetId="5779"/>
      <sheetData sheetId="5780"/>
      <sheetData sheetId="5781"/>
      <sheetData sheetId="5782"/>
      <sheetData sheetId="5783"/>
      <sheetData sheetId="5784"/>
      <sheetData sheetId="5785"/>
      <sheetData sheetId="5786"/>
      <sheetData sheetId="5787"/>
      <sheetData sheetId="5788"/>
      <sheetData sheetId="5789"/>
      <sheetData sheetId="5790"/>
      <sheetData sheetId="5791"/>
      <sheetData sheetId="5792"/>
      <sheetData sheetId="5793"/>
      <sheetData sheetId="5794"/>
      <sheetData sheetId="5795"/>
      <sheetData sheetId="5796"/>
      <sheetData sheetId="5797"/>
      <sheetData sheetId="5798"/>
      <sheetData sheetId="5799"/>
      <sheetData sheetId="5800"/>
      <sheetData sheetId="5801"/>
      <sheetData sheetId="5802"/>
      <sheetData sheetId="5803"/>
      <sheetData sheetId="5804"/>
      <sheetData sheetId="5805"/>
      <sheetData sheetId="5806"/>
      <sheetData sheetId="5807"/>
      <sheetData sheetId="5808"/>
      <sheetData sheetId="5809"/>
      <sheetData sheetId="5810"/>
      <sheetData sheetId="5811"/>
      <sheetData sheetId="5812"/>
      <sheetData sheetId="5813"/>
      <sheetData sheetId="5814"/>
      <sheetData sheetId="5815"/>
      <sheetData sheetId="5816"/>
      <sheetData sheetId="5817"/>
      <sheetData sheetId="5818"/>
      <sheetData sheetId="5819"/>
      <sheetData sheetId="5820"/>
      <sheetData sheetId="5821"/>
      <sheetData sheetId="5822"/>
      <sheetData sheetId="5823"/>
      <sheetData sheetId="5824"/>
      <sheetData sheetId="5825"/>
      <sheetData sheetId="5826"/>
      <sheetData sheetId="5827"/>
      <sheetData sheetId="5828"/>
      <sheetData sheetId="5829"/>
      <sheetData sheetId="5830"/>
      <sheetData sheetId="5831"/>
      <sheetData sheetId="5832"/>
      <sheetData sheetId="5833"/>
      <sheetData sheetId="5834"/>
      <sheetData sheetId="5835"/>
      <sheetData sheetId="5836"/>
      <sheetData sheetId="5837"/>
      <sheetData sheetId="5838"/>
      <sheetData sheetId="5839"/>
      <sheetData sheetId="5840"/>
      <sheetData sheetId="5841"/>
      <sheetData sheetId="5842"/>
      <sheetData sheetId="5843"/>
      <sheetData sheetId="5844"/>
      <sheetData sheetId="5845"/>
      <sheetData sheetId="5846"/>
      <sheetData sheetId="5847"/>
      <sheetData sheetId="5848"/>
      <sheetData sheetId="5849"/>
      <sheetData sheetId="5850"/>
      <sheetData sheetId="5851"/>
      <sheetData sheetId="5852"/>
      <sheetData sheetId="5853"/>
      <sheetData sheetId="5854"/>
      <sheetData sheetId="5855"/>
      <sheetData sheetId="5856"/>
      <sheetData sheetId="5857"/>
      <sheetData sheetId="5858"/>
      <sheetData sheetId="5859"/>
      <sheetData sheetId="5860"/>
      <sheetData sheetId="5861"/>
      <sheetData sheetId="5862"/>
      <sheetData sheetId="5863"/>
      <sheetData sheetId="5864"/>
      <sheetData sheetId="5865"/>
      <sheetData sheetId="5866"/>
      <sheetData sheetId="5867"/>
      <sheetData sheetId="5868"/>
      <sheetData sheetId="5869"/>
      <sheetData sheetId="5870"/>
      <sheetData sheetId="5871"/>
      <sheetData sheetId="5872"/>
      <sheetData sheetId="5873"/>
      <sheetData sheetId="5874"/>
      <sheetData sheetId="5875"/>
      <sheetData sheetId="5876"/>
      <sheetData sheetId="5877"/>
      <sheetData sheetId="5878"/>
      <sheetData sheetId="5879"/>
      <sheetData sheetId="5880"/>
      <sheetData sheetId="5881"/>
      <sheetData sheetId="5882"/>
      <sheetData sheetId="5883"/>
      <sheetData sheetId="5884"/>
      <sheetData sheetId="5885"/>
      <sheetData sheetId="5886"/>
      <sheetData sheetId="5887"/>
      <sheetData sheetId="5888"/>
      <sheetData sheetId="5889"/>
      <sheetData sheetId="5890"/>
      <sheetData sheetId="5891"/>
      <sheetData sheetId="5892"/>
      <sheetData sheetId="5893"/>
      <sheetData sheetId="5894"/>
      <sheetData sheetId="5895"/>
      <sheetData sheetId="5896"/>
      <sheetData sheetId="5897"/>
      <sheetData sheetId="5898"/>
      <sheetData sheetId="5899"/>
      <sheetData sheetId="5900"/>
      <sheetData sheetId="5901"/>
      <sheetData sheetId="5902"/>
      <sheetData sheetId="5903"/>
      <sheetData sheetId="5904"/>
      <sheetData sheetId="5905"/>
      <sheetData sheetId="5906"/>
      <sheetData sheetId="5907"/>
      <sheetData sheetId="5908"/>
      <sheetData sheetId="5909"/>
      <sheetData sheetId="5910"/>
      <sheetData sheetId="5911"/>
      <sheetData sheetId="5912"/>
      <sheetData sheetId="5913"/>
      <sheetData sheetId="5914"/>
      <sheetData sheetId="5915"/>
      <sheetData sheetId="5916"/>
      <sheetData sheetId="5917"/>
      <sheetData sheetId="5918"/>
      <sheetData sheetId="5919"/>
      <sheetData sheetId="5920"/>
      <sheetData sheetId="5921"/>
      <sheetData sheetId="5922"/>
      <sheetData sheetId="5923"/>
      <sheetData sheetId="5924"/>
      <sheetData sheetId="5925"/>
      <sheetData sheetId="5926"/>
      <sheetData sheetId="5927"/>
      <sheetData sheetId="5928"/>
      <sheetData sheetId="5929"/>
      <sheetData sheetId="5930"/>
      <sheetData sheetId="5931"/>
      <sheetData sheetId="5932"/>
      <sheetData sheetId="5933"/>
      <sheetData sheetId="5934"/>
      <sheetData sheetId="5935"/>
      <sheetData sheetId="5936"/>
      <sheetData sheetId="5937"/>
      <sheetData sheetId="5938"/>
      <sheetData sheetId="5939"/>
      <sheetData sheetId="5940"/>
      <sheetData sheetId="5941"/>
      <sheetData sheetId="5942"/>
      <sheetData sheetId="5943"/>
      <sheetData sheetId="5944"/>
      <sheetData sheetId="5945"/>
      <sheetData sheetId="5946"/>
      <sheetData sheetId="5947"/>
      <sheetData sheetId="5948"/>
      <sheetData sheetId="5949"/>
      <sheetData sheetId="5950"/>
      <sheetData sheetId="5951"/>
      <sheetData sheetId="5952"/>
      <sheetData sheetId="5953"/>
      <sheetData sheetId="5954"/>
      <sheetData sheetId="5955"/>
      <sheetData sheetId="5956"/>
      <sheetData sheetId="5957"/>
      <sheetData sheetId="5958"/>
      <sheetData sheetId="5959"/>
      <sheetData sheetId="5960"/>
      <sheetData sheetId="5961"/>
      <sheetData sheetId="5962"/>
      <sheetData sheetId="5963"/>
      <sheetData sheetId="5964"/>
      <sheetData sheetId="5965"/>
      <sheetData sheetId="5966"/>
      <sheetData sheetId="5967"/>
      <sheetData sheetId="5968"/>
      <sheetData sheetId="5969"/>
      <sheetData sheetId="5970"/>
      <sheetData sheetId="5971"/>
      <sheetData sheetId="5972"/>
      <sheetData sheetId="5973"/>
      <sheetData sheetId="5974"/>
      <sheetData sheetId="5975"/>
      <sheetData sheetId="5976"/>
      <sheetData sheetId="5977"/>
      <sheetData sheetId="5978"/>
      <sheetData sheetId="5979"/>
      <sheetData sheetId="5980"/>
      <sheetData sheetId="5981"/>
      <sheetData sheetId="5982"/>
      <sheetData sheetId="5983"/>
      <sheetData sheetId="5984"/>
      <sheetData sheetId="5985"/>
      <sheetData sheetId="5986"/>
      <sheetData sheetId="5987"/>
      <sheetData sheetId="5988"/>
      <sheetData sheetId="5989"/>
      <sheetData sheetId="5990"/>
      <sheetData sheetId="5991"/>
      <sheetData sheetId="5992"/>
      <sheetData sheetId="5993"/>
      <sheetData sheetId="5994"/>
      <sheetData sheetId="5995"/>
      <sheetData sheetId="5996"/>
      <sheetData sheetId="5997"/>
      <sheetData sheetId="5998"/>
      <sheetData sheetId="5999"/>
      <sheetData sheetId="6000"/>
      <sheetData sheetId="6001"/>
      <sheetData sheetId="6002"/>
      <sheetData sheetId="6003"/>
      <sheetData sheetId="6004"/>
      <sheetData sheetId="6005"/>
      <sheetData sheetId="6006"/>
      <sheetData sheetId="6007"/>
      <sheetData sheetId="6008"/>
      <sheetData sheetId="6009"/>
      <sheetData sheetId="6010"/>
      <sheetData sheetId="6011"/>
      <sheetData sheetId="6012"/>
      <sheetData sheetId="6013"/>
      <sheetData sheetId="6014"/>
      <sheetData sheetId="6015"/>
      <sheetData sheetId="6016"/>
      <sheetData sheetId="6017"/>
      <sheetData sheetId="6018"/>
      <sheetData sheetId="6019"/>
      <sheetData sheetId="6020"/>
      <sheetData sheetId="6021"/>
      <sheetData sheetId="6022"/>
      <sheetData sheetId="6023"/>
      <sheetData sheetId="6024"/>
      <sheetData sheetId="6025"/>
      <sheetData sheetId="6026"/>
      <sheetData sheetId="6027"/>
      <sheetData sheetId="6028"/>
      <sheetData sheetId="6029"/>
      <sheetData sheetId="6030"/>
      <sheetData sheetId="6031"/>
      <sheetData sheetId="6032"/>
      <sheetData sheetId="6033"/>
      <sheetData sheetId="6034"/>
      <sheetData sheetId="6035"/>
      <sheetData sheetId="6036"/>
      <sheetData sheetId="6037"/>
      <sheetData sheetId="6038"/>
      <sheetData sheetId="6039"/>
      <sheetData sheetId="6040"/>
      <sheetData sheetId="6041"/>
      <sheetData sheetId="6042"/>
      <sheetData sheetId="6043"/>
      <sheetData sheetId="6044"/>
      <sheetData sheetId="6045"/>
      <sheetData sheetId="6046"/>
      <sheetData sheetId="6047"/>
      <sheetData sheetId="6048"/>
      <sheetData sheetId="6049"/>
      <sheetData sheetId="6050"/>
      <sheetData sheetId="6051"/>
      <sheetData sheetId="6052"/>
      <sheetData sheetId="6053"/>
      <sheetData sheetId="6054"/>
      <sheetData sheetId="6055"/>
      <sheetData sheetId="6056"/>
      <sheetData sheetId="6057"/>
      <sheetData sheetId="6058"/>
      <sheetData sheetId="6059"/>
      <sheetData sheetId="6060"/>
      <sheetData sheetId="6061"/>
      <sheetData sheetId="6062"/>
      <sheetData sheetId="6063"/>
      <sheetData sheetId="6064"/>
      <sheetData sheetId="6065"/>
      <sheetData sheetId="6066"/>
      <sheetData sheetId="6067"/>
      <sheetData sheetId="6068"/>
      <sheetData sheetId="6069"/>
      <sheetData sheetId="6070"/>
      <sheetData sheetId="6071"/>
      <sheetData sheetId="6072"/>
      <sheetData sheetId="6073"/>
      <sheetData sheetId="6074"/>
      <sheetData sheetId="6075"/>
      <sheetData sheetId="6076"/>
      <sheetData sheetId="6077"/>
      <sheetData sheetId="6078"/>
      <sheetData sheetId="6079"/>
      <sheetData sheetId="6080"/>
      <sheetData sheetId="6081"/>
      <sheetData sheetId="6082"/>
      <sheetData sheetId="6083"/>
      <sheetData sheetId="6084"/>
      <sheetData sheetId="6085"/>
      <sheetData sheetId="6086"/>
      <sheetData sheetId="6087"/>
      <sheetData sheetId="6088"/>
      <sheetData sheetId="6089"/>
      <sheetData sheetId="6090"/>
      <sheetData sheetId="6091"/>
      <sheetData sheetId="6092"/>
      <sheetData sheetId="6093"/>
      <sheetData sheetId="6094"/>
      <sheetData sheetId="6095"/>
      <sheetData sheetId="6096"/>
      <sheetData sheetId="6097"/>
      <sheetData sheetId="6098"/>
      <sheetData sheetId="6099"/>
      <sheetData sheetId="6100"/>
      <sheetData sheetId="6101"/>
      <sheetData sheetId="6102"/>
      <sheetData sheetId="6103"/>
      <sheetData sheetId="6104"/>
      <sheetData sheetId="6105"/>
      <sheetData sheetId="6106"/>
      <sheetData sheetId="6107"/>
      <sheetData sheetId="6108"/>
      <sheetData sheetId="6109"/>
      <sheetData sheetId="6110"/>
      <sheetData sheetId="6111"/>
      <sheetData sheetId="6112"/>
      <sheetData sheetId="6113"/>
      <sheetData sheetId="6114"/>
      <sheetData sheetId="6115"/>
      <sheetData sheetId="6116"/>
      <sheetData sheetId="6117"/>
      <sheetData sheetId="6118"/>
      <sheetData sheetId="6119"/>
      <sheetData sheetId="6120"/>
      <sheetData sheetId="6121"/>
      <sheetData sheetId="6122"/>
      <sheetData sheetId="6123"/>
      <sheetData sheetId="6124"/>
      <sheetData sheetId="6125"/>
      <sheetData sheetId="6126"/>
      <sheetData sheetId="6127"/>
      <sheetData sheetId="6128"/>
      <sheetData sheetId="6129"/>
      <sheetData sheetId="6130"/>
      <sheetData sheetId="6131"/>
      <sheetData sheetId="6132"/>
      <sheetData sheetId="6133"/>
      <sheetData sheetId="6134"/>
      <sheetData sheetId="6135"/>
      <sheetData sheetId="6136"/>
      <sheetData sheetId="6137"/>
      <sheetData sheetId="6138"/>
      <sheetData sheetId="6139"/>
      <sheetData sheetId="6140"/>
      <sheetData sheetId="6141"/>
      <sheetData sheetId="6142"/>
      <sheetData sheetId="6143"/>
      <sheetData sheetId="6144"/>
      <sheetData sheetId="6145"/>
      <sheetData sheetId="6146"/>
      <sheetData sheetId="6147"/>
      <sheetData sheetId="6148"/>
      <sheetData sheetId="6149"/>
      <sheetData sheetId="6150"/>
      <sheetData sheetId="6151"/>
      <sheetData sheetId="6152"/>
      <sheetData sheetId="6153"/>
      <sheetData sheetId="6154"/>
      <sheetData sheetId="6155"/>
      <sheetData sheetId="6156"/>
      <sheetData sheetId="6157"/>
      <sheetData sheetId="6158"/>
      <sheetData sheetId="6159"/>
      <sheetData sheetId="6160"/>
      <sheetData sheetId="6161"/>
      <sheetData sheetId="6162"/>
      <sheetData sheetId="6163"/>
      <sheetData sheetId="6164"/>
      <sheetData sheetId="6165"/>
      <sheetData sheetId="6166"/>
      <sheetData sheetId="6167"/>
      <sheetData sheetId="6168"/>
      <sheetData sheetId="6169"/>
      <sheetData sheetId="6170"/>
      <sheetData sheetId="6171"/>
      <sheetData sheetId="6172"/>
      <sheetData sheetId="6173"/>
      <sheetData sheetId="6174"/>
      <sheetData sheetId="6175"/>
      <sheetData sheetId="6176"/>
      <sheetData sheetId="6177"/>
      <sheetData sheetId="6178"/>
      <sheetData sheetId="6179"/>
      <sheetData sheetId="6180"/>
      <sheetData sheetId="6181"/>
      <sheetData sheetId="6182"/>
      <sheetData sheetId="6183"/>
      <sheetData sheetId="6184"/>
      <sheetData sheetId="6185"/>
      <sheetData sheetId="6186"/>
      <sheetData sheetId="6187"/>
      <sheetData sheetId="6188"/>
      <sheetData sheetId="6189"/>
      <sheetData sheetId="6190"/>
      <sheetData sheetId="6191"/>
      <sheetData sheetId="6192"/>
      <sheetData sheetId="6193"/>
      <sheetData sheetId="6194"/>
      <sheetData sheetId="6195"/>
      <sheetData sheetId="6196"/>
      <sheetData sheetId="6197"/>
      <sheetData sheetId="6198"/>
      <sheetData sheetId="6199"/>
      <sheetData sheetId="6200"/>
      <sheetData sheetId="6201"/>
      <sheetData sheetId="6202"/>
      <sheetData sheetId="6203"/>
      <sheetData sheetId="6204"/>
      <sheetData sheetId="6205"/>
      <sheetData sheetId="6206"/>
      <sheetData sheetId="6207"/>
      <sheetData sheetId="6208"/>
      <sheetData sheetId="6209"/>
      <sheetData sheetId="6210"/>
      <sheetData sheetId="6211"/>
      <sheetData sheetId="6212"/>
      <sheetData sheetId="6213"/>
      <sheetData sheetId="6214"/>
      <sheetData sheetId="6215"/>
      <sheetData sheetId="6216"/>
      <sheetData sheetId="6217"/>
      <sheetData sheetId="6218"/>
      <sheetData sheetId="6219"/>
      <sheetData sheetId="6220"/>
      <sheetData sheetId="6221"/>
      <sheetData sheetId="6222"/>
      <sheetData sheetId="6223"/>
      <sheetData sheetId="6224"/>
      <sheetData sheetId="6225"/>
      <sheetData sheetId="6226"/>
      <sheetData sheetId="6227"/>
      <sheetData sheetId="6228"/>
      <sheetData sheetId="6229"/>
      <sheetData sheetId="6230"/>
      <sheetData sheetId="6231"/>
      <sheetData sheetId="6232"/>
      <sheetData sheetId="6233"/>
      <sheetData sheetId="6234"/>
      <sheetData sheetId="6235"/>
      <sheetData sheetId="6236"/>
      <sheetData sheetId="6237"/>
      <sheetData sheetId="6238"/>
      <sheetData sheetId="6239"/>
      <sheetData sheetId="6240"/>
      <sheetData sheetId="6241"/>
      <sheetData sheetId="6242"/>
      <sheetData sheetId="6243"/>
      <sheetData sheetId="6244"/>
      <sheetData sheetId="6245"/>
      <sheetData sheetId="6246"/>
      <sheetData sheetId="6247"/>
      <sheetData sheetId="6248"/>
      <sheetData sheetId="6249"/>
      <sheetData sheetId="6250"/>
      <sheetData sheetId="6251"/>
      <sheetData sheetId="6252"/>
      <sheetData sheetId="6253"/>
      <sheetData sheetId="6254"/>
      <sheetData sheetId="6255"/>
      <sheetData sheetId="6256"/>
      <sheetData sheetId="6257"/>
      <sheetData sheetId="6258"/>
      <sheetData sheetId="6259"/>
      <sheetData sheetId="6260"/>
      <sheetData sheetId="6261"/>
      <sheetData sheetId="6262"/>
      <sheetData sheetId="6263"/>
      <sheetData sheetId="6264"/>
      <sheetData sheetId="6265"/>
      <sheetData sheetId="6266"/>
      <sheetData sheetId="6267" refreshError="1"/>
      <sheetData sheetId="6268"/>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sheetData sheetId="6304" refreshError="1"/>
      <sheetData sheetId="6305" refreshError="1"/>
      <sheetData sheetId="6306" refreshError="1"/>
      <sheetData sheetId="6307" refreshError="1"/>
      <sheetData sheetId="6308" refreshError="1"/>
      <sheetData sheetId="6309" refreshError="1"/>
      <sheetData sheetId="6310" refreshError="1"/>
      <sheetData sheetId="6311" refreshError="1"/>
      <sheetData sheetId="6312" refreshError="1"/>
      <sheetData sheetId="6313" refreshError="1"/>
      <sheetData sheetId="6314" refreshError="1"/>
      <sheetData sheetId="6315" refreshError="1"/>
      <sheetData sheetId="6316" refreshError="1"/>
      <sheetData sheetId="6317" refreshError="1"/>
      <sheetData sheetId="6318" refreshError="1"/>
      <sheetData sheetId="6319" refreshError="1"/>
      <sheetData sheetId="6320" refreshError="1"/>
      <sheetData sheetId="6321" refreshError="1"/>
      <sheetData sheetId="6322" refreshError="1"/>
      <sheetData sheetId="6323" refreshError="1"/>
      <sheetData sheetId="6324" refreshError="1"/>
      <sheetData sheetId="6325" refreshError="1"/>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efreshError="1"/>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refreshError="1"/>
      <sheetData sheetId="6348" refreshError="1"/>
      <sheetData sheetId="6349" refreshError="1"/>
      <sheetData sheetId="6350" refreshError="1"/>
      <sheetData sheetId="6351" refreshError="1"/>
      <sheetData sheetId="6352" refreshError="1"/>
      <sheetData sheetId="6353" refreshError="1"/>
      <sheetData sheetId="6354" refreshError="1"/>
      <sheetData sheetId="6355" refreshError="1"/>
      <sheetData sheetId="6356" refreshError="1"/>
      <sheetData sheetId="6357" refreshError="1"/>
      <sheetData sheetId="6358" refreshError="1"/>
      <sheetData sheetId="6359" refreshError="1"/>
      <sheetData sheetId="6360" refreshError="1"/>
      <sheetData sheetId="6361" refreshError="1"/>
      <sheetData sheetId="6362" refreshError="1"/>
      <sheetData sheetId="6363" refreshError="1"/>
      <sheetData sheetId="6364" refreshError="1"/>
      <sheetData sheetId="6365" refreshError="1"/>
      <sheetData sheetId="6366" refreshError="1"/>
      <sheetData sheetId="6367" refreshError="1"/>
      <sheetData sheetId="6368" refreshError="1"/>
      <sheetData sheetId="6369" refreshError="1"/>
      <sheetData sheetId="6370" refreshError="1"/>
      <sheetData sheetId="6371" refreshError="1"/>
      <sheetData sheetId="6372" refreshError="1"/>
      <sheetData sheetId="6373" refreshError="1"/>
      <sheetData sheetId="6374" refreshError="1"/>
      <sheetData sheetId="6375" refreshError="1"/>
      <sheetData sheetId="6376" refreshError="1"/>
      <sheetData sheetId="6377" refreshError="1"/>
      <sheetData sheetId="6378" refreshError="1"/>
      <sheetData sheetId="6379" refreshError="1"/>
      <sheetData sheetId="6380" refreshError="1"/>
      <sheetData sheetId="6381" refreshError="1"/>
      <sheetData sheetId="6382" refreshError="1"/>
      <sheetData sheetId="6383" refreshError="1"/>
      <sheetData sheetId="6384" refreshError="1"/>
      <sheetData sheetId="6385" refreshError="1"/>
      <sheetData sheetId="6386" refreshError="1"/>
      <sheetData sheetId="6387" refreshError="1"/>
      <sheetData sheetId="6388" refreshError="1"/>
      <sheetData sheetId="6389" refreshError="1"/>
      <sheetData sheetId="6390" refreshError="1"/>
      <sheetData sheetId="6391" refreshError="1"/>
      <sheetData sheetId="6392" refreshError="1"/>
      <sheetData sheetId="6393" refreshError="1"/>
      <sheetData sheetId="6394" refreshError="1"/>
      <sheetData sheetId="6395" refreshError="1"/>
      <sheetData sheetId="6396" refreshError="1"/>
      <sheetData sheetId="6397" refreshError="1"/>
      <sheetData sheetId="6398" refreshError="1"/>
      <sheetData sheetId="6399" refreshError="1"/>
      <sheetData sheetId="6400" refreshError="1"/>
      <sheetData sheetId="6401" refreshError="1"/>
      <sheetData sheetId="6402" refreshError="1"/>
      <sheetData sheetId="6403" refreshError="1"/>
      <sheetData sheetId="6404" refreshError="1"/>
      <sheetData sheetId="6405" refreshError="1"/>
      <sheetData sheetId="6406" refreshError="1"/>
      <sheetData sheetId="6407" refreshError="1"/>
      <sheetData sheetId="6408" refreshError="1"/>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sheetData sheetId="6488"/>
      <sheetData sheetId="6489"/>
      <sheetData sheetId="6490"/>
      <sheetData sheetId="6491"/>
      <sheetData sheetId="6492"/>
      <sheetData sheetId="6493"/>
      <sheetData sheetId="6494"/>
      <sheetData sheetId="6495"/>
      <sheetData sheetId="6496"/>
      <sheetData sheetId="6497"/>
      <sheetData sheetId="6498"/>
      <sheetData sheetId="6499"/>
      <sheetData sheetId="6500" refreshError="1"/>
      <sheetData sheetId="6501" refreshError="1"/>
      <sheetData sheetId="6502"/>
      <sheetData sheetId="6503"/>
      <sheetData sheetId="6504"/>
      <sheetData sheetId="6505" refreshError="1"/>
      <sheetData sheetId="6506" refreshError="1"/>
      <sheetData sheetId="6507" refreshError="1"/>
      <sheetData sheetId="6508" refreshError="1"/>
      <sheetData sheetId="6509" refreshError="1"/>
      <sheetData sheetId="6510" refreshError="1"/>
      <sheetData sheetId="6511" refreshError="1"/>
      <sheetData sheetId="6512" refreshError="1"/>
      <sheetData sheetId="6513" refreshError="1"/>
      <sheetData sheetId="6514" refreshError="1"/>
      <sheetData sheetId="6515" refreshError="1"/>
      <sheetData sheetId="6516" refreshError="1"/>
      <sheetData sheetId="6517"/>
      <sheetData sheetId="6518"/>
      <sheetData sheetId="6519"/>
      <sheetData sheetId="6520"/>
      <sheetData sheetId="6521"/>
      <sheetData sheetId="6522"/>
      <sheetData sheetId="6523"/>
      <sheetData sheetId="6524"/>
      <sheetData sheetId="6525"/>
      <sheetData sheetId="6526"/>
      <sheetData sheetId="6527" refreshError="1"/>
      <sheetData sheetId="6528" refreshError="1"/>
      <sheetData sheetId="6529" refreshError="1"/>
      <sheetData sheetId="6530" refreshError="1"/>
      <sheetData sheetId="6531" refreshError="1"/>
      <sheetData sheetId="6532"/>
      <sheetData sheetId="6533" refreshError="1"/>
      <sheetData sheetId="6534" refreshError="1"/>
      <sheetData sheetId="6535"/>
      <sheetData sheetId="6536"/>
      <sheetData sheetId="6537"/>
      <sheetData sheetId="6538"/>
      <sheetData sheetId="6539"/>
      <sheetData sheetId="6540"/>
      <sheetData sheetId="6541"/>
      <sheetData sheetId="6542"/>
      <sheetData sheetId="6543"/>
      <sheetData sheetId="6544"/>
      <sheetData sheetId="6545"/>
      <sheetData sheetId="6546"/>
      <sheetData sheetId="6547"/>
      <sheetData sheetId="6548"/>
      <sheetData sheetId="6549"/>
      <sheetData sheetId="6550"/>
      <sheetData sheetId="6551"/>
      <sheetData sheetId="6552"/>
      <sheetData sheetId="6553"/>
      <sheetData sheetId="6554"/>
      <sheetData sheetId="6555"/>
      <sheetData sheetId="6556"/>
      <sheetData sheetId="6557"/>
      <sheetData sheetId="6558"/>
      <sheetData sheetId="6559"/>
      <sheetData sheetId="6560"/>
      <sheetData sheetId="6561"/>
      <sheetData sheetId="6562"/>
      <sheetData sheetId="6563"/>
      <sheetData sheetId="6564"/>
      <sheetData sheetId="6565"/>
      <sheetData sheetId="6566" refreshError="1"/>
      <sheetData sheetId="6567" refreshError="1"/>
      <sheetData sheetId="6568" refreshError="1"/>
      <sheetData sheetId="6569" refreshError="1"/>
      <sheetData sheetId="6570" refreshError="1"/>
      <sheetData sheetId="6571" refreshError="1"/>
      <sheetData sheetId="6572" refreshError="1"/>
      <sheetData sheetId="6573" refreshError="1"/>
      <sheetData sheetId="6574" refreshError="1"/>
      <sheetData sheetId="6575" refreshError="1"/>
      <sheetData sheetId="6576" refreshError="1"/>
      <sheetData sheetId="6577" refreshError="1"/>
      <sheetData sheetId="6578" refreshError="1"/>
      <sheetData sheetId="6579"/>
      <sheetData sheetId="6580" refreshError="1"/>
      <sheetData sheetId="6581" refreshError="1"/>
      <sheetData sheetId="6582" refreshError="1"/>
      <sheetData sheetId="6583" refreshError="1"/>
      <sheetData sheetId="6584" refreshError="1"/>
      <sheetData sheetId="6585" refreshError="1"/>
      <sheetData sheetId="6586" refreshError="1"/>
      <sheetData sheetId="6587" refreshError="1"/>
      <sheetData sheetId="6588" refreshError="1"/>
      <sheetData sheetId="6589" refreshError="1"/>
      <sheetData sheetId="6590" refreshError="1"/>
      <sheetData sheetId="6591" refreshError="1"/>
      <sheetData sheetId="6592" refreshError="1"/>
      <sheetData sheetId="6593" refreshError="1"/>
      <sheetData sheetId="6594" refreshError="1"/>
      <sheetData sheetId="6595" refreshError="1"/>
      <sheetData sheetId="6596" refreshError="1"/>
      <sheetData sheetId="6597" refreshError="1"/>
      <sheetData sheetId="6598" refreshError="1"/>
      <sheetData sheetId="6599" refreshError="1"/>
      <sheetData sheetId="6600" refreshError="1"/>
      <sheetData sheetId="6601" refreshError="1"/>
      <sheetData sheetId="6602" refreshError="1"/>
      <sheetData sheetId="6603" refreshError="1"/>
      <sheetData sheetId="6604" refreshError="1"/>
      <sheetData sheetId="6605" refreshError="1"/>
      <sheetData sheetId="6606" refreshError="1"/>
      <sheetData sheetId="6607" refreshError="1"/>
      <sheetData sheetId="6608" refreshError="1"/>
      <sheetData sheetId="6609"/>
      <sheetData sheetId="6610" refreshError="1"/>
      <sheetData sheetId="6611" refreshError="1"/>
      <sheetData sheetId="6612" refreshError="1"/>
      <sheetData sheetId="6613" refreshError="1"/>
      <sheetData sheetId="6614" refreshError="1"/>
      <sheetData sheetId="6615" refreshError="1"/>
      <sheetData sheetId="6616" refreshError="1"/>
      <sheetData sheetId="6617" refreshError="1"/>
      <sheetData sheetId="6618" refreshError="1"/>
      <sheetData sheetId="6619" refreshError="1"/>
      <sheetData sheetId="6620" refreshError="1"/>
      <sheetData sheetId="6621" refreshError="1"/>
      <sheetData sheetId="6622" refreshError="1"/>
      <sheetData sheetId="6623" refreshError="1"/>
      <sheetData sheetId="6624" refreshError="1"/>
      <sheetData sheetId="6625" refreshError="1"/>
      <sheetData sheetId="6626" refreshError="1"/>
      <sheetData sheetId="6627" refreshError="1"/>
      <sheetData sheetId="6628" refreshError="1"/>
      <sheetData sheetId="6629" refreshError="1"/>
      <sheetData sheetId="6630" refreshError="1"/>
      <sheetData sheetId="6631" refreshError="1"/>
      <sheetData sheetId="6632" refreshError="1"/>
      <sheetData sheetId="6633" refreshError="1"/>
      <sheetData sheetId="6634" refreshError="1"/>
      <sheetData sheetId="6635"/>
      <sheetData sheetId="6636"/>
      <sheetData sheetId="6637"/>
      <sheetData sheetId="6638"/>
      <sheetData sheetId="6639"/>
      <sheetData sheetId="6640"/>
      <sheetData sheetId="6641"/>
      <sheetData sheetId="6642"/>
      <sheetData sheetId="6643"/>
      <sheetData sheetId="6644"/>
      <sheetData sheetId="6645"/>
      <sheetData sheetId="6646"/>
      <sheetData sheetId="6647"/>
      <sheetData sheetId="6648"/>
      <sheetData sheetId="6649" refreshError="1"/>
      <sheetData sheetId="6650" refreshError="1"/>
      <sheetData sheetId="6651"/>
      <sheetData sheetId="6652"/>
      <sheetData sheetId="6653"/>
      <sheetData sheetId="6654"/>
      <sheetData sheetId="6655"/>
      <sheetData sheetId="6656"/>
      <sheetData sheetId="6657"/>
      <sheetData sheetId="6658"/>
      <sheetData sheetId="6659"/>
      <sheetData sheetId="6660"/>
      <sheetData sheetId="6661"/>
      <sheetData sheetId="6662"/>
      <sheetData sheetId="6663"/>
      <sheetData sheetId="6664"/>
      <sheetData sheetId="6665"/>
      <sheetData sheetId="6666"/>
      <sheetData sheetId="6667"/>
      <sheetData sheetId="6668"/>
      <sheetData sheetId="6669"/>
      <sheetData sheetId="6670"/>
      <sheetData sheetId="6671"/>
      <sheetData sheetId="6672"/>
      <sheetData sheetId="6673"/>
      <sheetData sheetId="6674"/>
      <sheetData sheetId="6675"/>
      <sheetData sheetId="6676"/>
      <sheetData sheetId="6677"/>
      <sheetData sheetId="6678"/>
      <sheetData sheetId="6679"/>
      <sheetData sheetId="6680"/>
      <sheetData sheetId="6681"/>
      <sheetData sheetId="6682"/>
      <sheetData sheetId="6683"/>
      <sheetData sheetId="6684"/>
      <sheetData sheetId="6685"/>
      <sheetData sheetId="6686"/>
      <sheetData sheetId="6687"/>
      <sheetData sheetId="6688"/>
      <sheetData sheetId="6689"/>
      <sheetData sheetId="6690"/>
      <sheetData sheetId="6691"/>
      <sheetData sheetId="6692"/>
      <sheetData sheetId="6693"/>
      <sheetData sheetId="6694"/>
      <sheetData sheetId="6695"/>
      <sheetData sheetId="6696"/>
      <sheetData sheetId="6697"/>
      <sheetData sheetId="6698"/>
      <sheetData sheetId="6699"/>
      <sheetData sheetId="6700"/>
      <sheetData sheetId="6701"/>
      <sheetData sheetId="6702"/>
      <sheetData sheetId="6703"/>
      <sheetData sheetId="6704"/>
      <sheetData sheetId="6705"/>
      <sheetData sheetId="6706"/>
      <sheetData sheetId="6707"/>
      <sheetData sheetId="6708"/>
      <sheetData sheetId="6709"/>
      <sheetData sheetId="6710"/>
      <sheetData sheetId="6711"/>
      <sheetData sheetId="6712"/>
      <sheetData sheetId="6713"/>
      <sheetData sheetId="6714"/>
      <sheetData sheetId="6715"/>
      <sheetData sheetId="6716"/>
      <sheetData sheetId="6717"/>
      <sheetData sheetId="6718"/>
      <sheetData sheetId="6719"/>
      <sheetData sheetId="6720"/>
      <sheetData sheetId="6721"/>
      <sheetData sheetId="6722"/>
      <sheetData sheetId="6723"/>
      <sheetData sheetId="6724"/>
      <sheetData sheetId="6725"/>
      <sheetData sheetId="6726" refreshError="1"/>
      <sheetData sheetId="6727" refreshError="1"/>
      <sheetData sheetId="6728" refreshError="1"/>
      <sheetData sheetId="6729" refreshError="1"/>
      <sheetData sheetId="6730" refreshError="1"/>
      <sheetData sheetId="6731" refreshError="1"/>
      <sheetData sheetId="6732" refreshError="1"/>
      <sheetData sheetId="6733" refreshError="1"/>
      <sheetData sheetId="6734" refreshError="1"/>
      <sheetData sheetId="6735" refreshError="1"/>
      <sheetData sheetId="6736" refreshError="1"/>
      <sheetData sheetId="6737" refreshError="1"/>
      <sheetData sheetId="6738" refreshError="1"/>
      <sheetData sheetId="6739" refreshError="1"/>
      <sheetData sheetId="6740" refreshError="1"/>
      <sheetData sheetId="6741" refreshError="1"/>
      <sheetData sheetId="6742"/>
      <sheetData sheetId="6743" refreshError="1"/>
      <sheetData sheetId="6744" refreshError="1"/>
      <sheetData sheetId="6745" refreshError="1"/>
      <sheetData sheetId="6746" refreshError="1"/>
      <sheetData sheetId="6747" refreshError="1"/>
      <sheetData sheetId="6748" refreshError="1"/>
      <sheetData sheetId="6749" refreshError="1"/>
      <sheetData sheetId="6750" refreshError="1"/>
      <sheetData sheetId="6751" refreshError="1"/>
      <sheetData sheetId="6752" refreshError="1"/>
      <sheetData sheetId="6753" refreshError="1"/>
      <sheetData sheetId="6754" refreshError="1"/>
      <sheetData sheetId="6755" refreshError="1"/>
      <sheetData sheetId="6756" refreshError="1"/>
      <sheetData sheetId="6757" refreshError="1"/>
      <sheetData sheetId="6758" refreshError="1"/>
      <sheetData sheetId="6759"/>
      <sheetData sheetId="6760"/>
      <sheetData sheetId="6761"/>
      <sheetData sheetId="6762"/>
      <sheetData sheetId="6763"/>
      <sheetData sheetId="6764"/>
      <sheetData sheetId="6765"/>
      <sheetData sheetId="6766"/>
      <sheetData sheetId="6767"/>
      <sheetData sheetId="6768"/>
      <sheetData sheetId="6769" refreshError="1"/>
      <sheetData sheetId="6770" refreshError="1"/>
      <sheetData sheetId="6771" refreshError="1"/>
      <sheetData sheetId="6772" refreshError="1"/>
      <sheetData sheetId="6773" refreshError="1"/>
      <sheetData sheetId="6774" refreshError="1"/>
      <sheetData sheetId="6775" refreshError="1"/>
      <sheetData sheetId="6776" refreshError="1"/>
      <sheetData sheetId="6777" refreshError="1"/>
      <sheetData sheetId="6778" refreshError="1"/>
      <sheetData sheetId="6779" refreshError="1"/>
      <sheetData sheetId="6780" refreshError="1"/>
      <sheetData sheetId="6781" refreshError="1"/>
      <sheetData sheetId="6782" refreshError="1"/>
      <sheetData sheetId="6783" refreshError="1"/>
      <sheetData sheetId="6784" refreshError="1"/>
      <sheetData sheetId="6785" refreshError="1"/>
      <sheetData sheetId="6786" refreshError="1"/>
      <sheetData sheetId="6787" refreshError="1"/>
      <sheetData sheetId="6788" refreshError="1"/>
      <sheetData sheetId="6789" refreshError="1"/>
      <sheetData sheetId="6790" refreshError="1"/>
      <sheetData sheetId="6791" refreshError="1"/>
      <sheetData sheetId="6792" refreshError="1"/>
      <sheetData sheetId="6793" refreshError="1"/>
      <sheetData sheetId="6794" refreshError="1"/>
      <sheetData sheetId="6795" refreshError="1"/>
      <sheetData sheetId="6796" refreshError="1"/>
      <sheetData sheetId="6797" refreshError="1"/>
      <sheetData sheetId="6798" refreshError="1"/>
      <sheetData sheetId="6799" refreshError="1"/>
      <sheetData sheetId="6800" refreshError="1"/>
      <sheetData sheetId="6801" refreshError="1"/>
      <sheetData sheetId="6802" refreshError="1"/>
      <sheetData sheetId="6803" refreshError="1"/>
      <sheetData sheetId="6804" refreshError="1"/>
      <sheetData sheetId="6805" refreshError="1"/>
      <sheetData sheetId="6806" refreshError="1"/>
      <sheetData sheetId="6807" refreshError="1"/>
      <sheetData sheetId="6808" refreshError="1"/>
      <sheetData sheetId="6809" refreshError="1"/>
      <sheetData sheetId="6810" refreshError="1"/>
      <sheetData sheetId="6811" refreshError="1"/>
      <sheetData sheetId="6812" refreshError="1"/>
      <sheetData sheetId="6813" refreshError="1"/>
      <sheetData sheetId="6814" refreshError="1"/>
      <sheetData sheetId="6815" refreshError="1"/>
      <sheetData sheetId="6816" refreshError="1"/>
      <sheetData sheetId="6817" refreshError="1"/>
      <sheetData sheetId="6818" refreshError="1"/>
      <sheetData sheetId="6819" refreshError="1"/>
      <sheetData sheetId="6820" refreshError="1"/>
      <sheetData sheetId="6821" refreshError="1"/>
      <sheetData sheetId="6822"/>
      <sheetData sheetId="6823"/>
      <sheetData sheetId="6824"/>
      <sheetData sheetId="6825"/>
      <sheetData sheetId="6826"/>
      <sheetData sheetId="6827"/>
      <sheetData sheetId="6828"/>
      <sheetData sheetId="6829"/>
      <sheetData sheetId="6830"/>
      <sheetData sheetId="6831"/>
      <sheetData sheetId="6832" refreshError="1"/>
      <sheetData sheetId="6833" refreshError="1"/>
      <sheetData sheetId="6834" refreshError="1"/>
      <sheetData sheetId="6835" refreshError="1"/>
      <sheetData sheetId="6836" refreshError="1"/>
      <sheetData sheetId="6837" refreshError="1"/>
      <sheetData sheetId="6838" refreshError="1"/>
      <sheetData sheetId="6839" refreshError="1"/>
      <sheetData sheetId="6840" refreshError="1"/>
      <sheetData sheetId="6841" refreshError="1"/>
      <sheetData sheetId="6842" refreshError="1"/>
      <sheetData sheetId="6843" refreshError="1"/>
      <sheetData sheetId="6844" refreshError="1"/>
      <sheetData sheetId="6845" refreshError="1"/>
      <sheetData sheetId="6846" refreshError="1"/>
      <sheetData sheetId="6847" refreshError="1"/>
      <sheetData sheetId="6848" refreshError="1"/>
      <sheetData sheetId="6849" refreshError="1"/>
      <sheetData sheetId="6850" refreshError="1"/>
      <sheetData sheetId="6851" refreshError="1"/>
      <sheetData sheetId="6852"/>
      <sheetData sheetId="6853"/>
      <sheetData sheetId="6854"/>
      <sheetData sheetId="6855"/>
      <sheetData sheetId="6856"/>
      <sheetData sheetId="6857"/>
      <sheetData sheetId="6858"/>
      <sheetData sheetId="6859"/>
      <sheetData sheetId="6860"/>
      <sheetData sheetId="6861"/>
      <sheetData sheetId="6862"/>
      <sheetData sheetId="6863"/>
      <sheetData sheetId="6864"/>
      <sheetData sheetId="6865"/>
      <sheetData sheetId="6866"/>
      <sheetData sheetId="6867"/>
      <sheetData sheetId="6868"/>
      <sheetData sheetId="6869"/>
      <sheetData sheetId="6870"/>
      <sheetData sheetId="6871"/>
      <sheetData sheetId="6872"/>
      <sheetData sheetId="6873"/>
      <sheetData sheetId="6874"/>
      <sheetData sheetId="6875"/>
      <sheetData sheetId="6876"/>
      <sheetData sheetId="6877"/>
      <sheetData sheetId="6878" refreshError="1"/>
      <sheetData sheetId="6879" refreshError="1"/>
      <sheetData sheetId="6880" refreshError="1"/>
      <sheetData sheetId="6881" refreshError="1"/>
      <sheetData sheetId="6882" refreshError="1"/>
      <sheetData sheetId="6883" refreshError="1"/>
      <sheetData sheetId="6884" refreshError="1"/>
      <sheetData sheetId="6885" refreshError="1"/>
      <sheetData sheetId="6886" refreshError="1"/>
      <sheetData sheetId="6887" refreshError="1"/>
      <sheetData sheetId="6888" refreshError="1"/>
      <sheetData sheetId="6889" refreshError="1"/>
      <sheetData sheetId="6890" refreshError="1"/>
      <sheetData sheetId="6891" refreshError="1"/>
      <sheetData sheetId="6892" refreshError="1"/>
      <sheetData sheetId="6893" refreshError="1"/>
      <sheetData sheetId="6894" refreshError="1"/>
      <sheetData sheetId="6895" refreshError="1"/>
      <sheetData sheetId="6896" refreshError="1"/>
      <sheetData sheetId="6897" refreshError="1"/>
      <sheetData sheetId="6898" refreshError="1"/>
      <sheetData sheetId="6899" refreshError="1"/>
      <sheetData sheetId="6900" refreshError="1"/>
      <sheetData sheetId="6901" refreshError="1"/>
      <sheetData sheetId="6902" refreshError="1"/>
      <sheetData sheetId="6903" refreshError="1"/>
      <sheetData sheetId="6904" refreshError="1"/>
      <sheetData sheetId="6905" refreshError="1"/>
      <sheetData sheetId="6906" refreshError="1"/>
      <sheetData sheetId="6907" refreshError="1"/>
      <sheetData sheetId="6908" refreshError="1"/>
      <sheetData sheetId="6909" refreshError="1"/>
      <sheetData sheetId="6910"/>
      <sheetData sheetId="6911"/>
      <sheetData sheetId="6912"/>
      <sheetData sheetId="6913"/>
      <sheetData sheetId="6914"/>
      <sheetData sheetId="6915"/>
      <sheetData sheetId="6916"/>
      <sheetData sheetId="6917"/>
      <sheetData sheetId="6918"/>
      <sheetData sheetId="6919"/>
      <sheetData sheetId="6920"/>
      <sheetData sheetId="6921"/>
      <sheetData sheetId="6922"/>
      <sheetData sheetId="6923"/>
      <sheetData sheetId="6924"/>
      <sheetData sheetId="6925"/>
      <sheetData sheetId="6926"/>
      <sheetData sheetId="6927"/>
      <sheetData sheetId="6928"/>
      <sheetData sheetId="6929"/>
      <sheetData sheetId="6930"/>
      <sheetData sheetId="6931"/>
      <sheetData sheetId="6932"/>
      <sheetData sheetId="6933"/>
      <sheetData sheetId="6934"/>
      <sheetData sheetId="6935"/>
      <sheetData sheetId="6936"/>
      <sheetData sheetId="6937"/>
      <sheetData sheetId="6938"/>
      <sheetData sheetId="6939"/>
      <sheetData sheetId="6940"/>
      <sheetData sheetId="6941"/>
      <sheetData sheetId="6942"/>
      <sheetData sheetId="6943"/>
      <sheetData sheetId="6944"/>
      <sheetData sheetId="6945"/>
      <sheetData sheetId="6946"/>
      <sheetData sheetId="6947"/>
      <sheetData sheetId="6948"/>
      <sheetData sheetId="6949"/>
      <sheetData sheetId="6950"/>
      <sheetData sheetId="6951"/>
      <sheetData sheetId="6952"/>
      <sheetData sheetId="6953"/>
      <sheetData sheetId="6954"/>
      <sheetData sheetId="6955"/>
      <sheetData sheetId="6956"/>
      <sheetData sheetId="6957"/>
      <sheetData sheetId="6958"/>
      <sheetData sheetId="6959"/>
      <sheetData sheetId="6960"/>
      <sheetData sheetId="6961"/>
      <sheetData sheetId="6962"/>
      <sheetData sheetId="6963"/>
      <sheetData sheetId="6964"/>
      <sheetData sheetId="6965"/>
      <sheetData sheetId="6966"/>
      <sheetData sheetId="6967"/>
      <sheetData sheetId="6968"/>
      <sheetData sheetId="6969"/>
      <sheetData sheetId="6970"/>
      <sheetData sheetId="6971"/>
      <sheetData sheetId="6972"/>
      <sheetData sheetId="6973"/>
      <sheetData sheetId="6974"/>
      <sheetData sheetId="6975"/>
      <sheetData sheetId="6976"/>
      <sheetData sheetId="6977"/>
      <sheetData sheetId="6978"/>
      <sheetData sheetId="6979"/>
      <sheetData sheetId="6980"/>
      <sheetData sheetId="6981"/>
      <sheetData sheetId="6982"/>
      <sheetData sheetId="6983"/>
      <sheetData sheetId="6984" refreshError="1"/>
      <sheetData sheetId="6985" refreshError="1"/>
      <sheetData sheetId="6986" refreshError="1"/>
      <sheetData sheetId="6987" refreshError="1"/>
      <sheetData sheetId="6988" refreshError="1"/>
      <sheetData sheetId="6989" refreshError="1"/>
      <sheetData sheetId="6990" refreshError="1"/>
      <sheetData sheetId="6991" refreshError="1"/>
      <sheetData sheetId="6992" refreshError="1"/>
      <sheetData sheetId="6993" refreshError="1"/>
      <sheetData sheetId="6994" refreshError="1"/>
      <sheetData sheetId="6995" refreshError="1"/>
      <sheetData sheetId="6996" refreshError="1"/>
      <sheetData sheetId="6997" refreshError="1"/>
      <sheetData sheetId="6998" refreshError="1"/>
      <sheetData sheetId="6999" refreshError="1"/>
      <sheetData sheetId="7000" refreshError="1"/>
      <sheetData sheetId="7001" refreshError="1"/>
      <sheetData sheetId="7002" refreshError="1"/>
      <sheetData sheetId="7003" refreshError="1"/>
      <sheetData sheetId="7004" refreshError="1"/>
      <sheetData sheetId="7005" refreshError="1"/>
      <sheetData sheetId="7006" refreshError="1"/>
      <sheetData sheetId="7007" refreshError="1"/>
      <sheetData sheetId="7008" refreshError="1"/>
      <sheetData sheetId="7009" refreshError="1"/>
      <sheetData sheetId="7010" refreshError="1"/>
      <sheetData sheetId="7011" refreshError="1"/>
      <sheetData sheetId="7012" refreshError="1"/>
      <sheetData sheetId="7013" refreshError="1"/>
      <sheetData sheetId="7014" refreshError="1"/>
      <sheetData sheetId="7015" refreshError="1"/>
      <sheetData sheetId="7016" refreshError="1"/>
      <sheetData sheetId="7017"/>
      <sheetData sheetId="7018"/>
      <sheetData sheetId="7019" refreshError="1"/>
      <sheetData sheetId="7020" refreshError="1"/>
      <sheetData sheetId="7021" refreshError="1"/>
      <sheetData sheetId="7022" refreshError="1"/>
      <sheetData sheetId="7023" refreshError="1"/>
      <sheetData sheetId="7024" refreshError="1"/>
      <sheetData sheetId="7025" refreshError="1"/>
      <sheetData sheetId="7026" refreshError="1"/>
      <sheetData sheetId="7027" refreshError="1"/>
      <sheetData sheetId="7028"/>
      <sheetData sheetId="7029"/>
      <sheetData sheetId="7030"/>
      <sheetData sheetId="7031"/>
      <sheetData sheetId="7032"/>
      <sheetData sheetId="7033"/>
      <sheetData sheetId="7034"/>
      <sheetData sheetId="7035"/>
      <sheetData sheetId="7036"/>
      <sheetData sheetId="7037"/>
      <sheetData sheetId="7038"/>
      <sheetData sheetId="7039"/>
      <sheetData sheetId="7040"/>
      <sheetData sheetId="7041"/>
      <sheetData sheetId="7042"/>
      <sheetData sheetId="7043"/>
      <sheetData sheetId="7044"/>
      <sheetData sheetId="7045"/>
      <sheetData sheetId="7046"/>
      <sheetData sheetId="7047"/>
      <sheetData sheetId="7048"/>
      <sheetData sheetId="7049"/>
      <sheetData sheetId="7050"/>
      <sheetData sheetId="7051"/>
      <sheetData sheetId="7052"/>
      <sheetData sheetId="7053"/>
      <sheetData sheetId="7054"/>
      <sheetData sheetId="7055"/>
      <sheetData sheetId="7056"/>
      <sheetData sheetId="7057"/>
      <sheetData sheetId="7058"/>
      <sheetData sheetId="7059"/>
      <sheetData sheetId="7060"/>
      <sheetData sheetId="7061"/>
      <sheetData sheetId="7062"/>
      <sheetData sheetId="7063"/>
      <sheetData sheetId="7064"/>
      <sheetData sheetId="7065"/>
      <sheetData sheetId="7066"/>
      <sheetData sheetId="7067"/>
      <sheetData sheetId="7068"/>
      <sheetData sheetId="7069"/>
      <sheetData sheetId="7070"/>
      <sheetData sheetId="7071"/>
      <sheetData sheetId="7072"/>
      <sheetData sheetId="7073"/>
      <sheetData sheetId="7074"/>
      <sheetData sheetId="7075"/>
      <sheetData sheetId="7076"/>
      <sheetData sheetId="7077"/>
      <sheetData sheetId="7078"/>
      <sheetData sheetId="7079"/>
      <sheetData sheetId="7080"/>
      <sheetData sheetId="7081"/>
      <sheetData sheetId="7082"/>
      <sheetData sheetId="7083"/>
      <sheetData sheetId="7084" refreshError="1"/>
      <sheetData sheetId="7085" refreshError="1"/>
      <sheetData sheetId="7086" refreshError="1"/>
      <sheetData sheetId="7087" refreshError="1"/>
      <sheetData sheetId="7088" refreshError="1"/>
      <sheetData sheetId="7089" refreshError="1"/>
      <sheetData sheetId="7090" refreshError="1"/>
      <sheetData sheetId="7091" refreshError="1"/>
      <sheetData sheetId="7092" refreshError="1"/>
      <sheetData sheetId="7093" refreshError="1"/>
      <sheetData sheetId="7094" refreshError="1"/>
      <sheetData sheetId="7095" refreshError="1"/>
      <sheetData sheetId="7096" refreshError="1"/>
      <sheetData sheetId="7097" refreshError="1"/>
      <sheetData sheetId="7098" refreshError="1"/>
      <sheetData sheetId="7099" refreshError="1"/>
      <sheetData sheetId="7100" refreshError="1"/>
      <sheetData sheetId="7101" refreshError="1"/>
      <sheetData sheetId="7102" refreshError="1"/>
      <sheetData sheetId="7103" refreshError="1"/>
      <sheetData sheetId="7104" refreshError="1"/>
      <sheetData sheetId="7105" refreshError="1"/>
      <sheetData sheetId="7106" refreshError="1"/>
      <sheetData sheetId="7107"/>
      <sheetData sheetId="7108"/>
      <sheetData sheetId="7109"/>
      <sheetData sheetId="7110"/>
      <sheetData sheetId="7111"/>
      <sheetData sheetId="7112"/>
      <sheetData sheetId="7113"/>
      <sheetData sheetId="7114"/>
      <sheetData sheetId="7115"/>
      <sheetData sheetId="7116"/>
      <sheetData sheetId="7117"/>
      <sheetData sheetId="7118"/>
      <sheetData sheetId="7119"/>
      <sheetData sheetId="7120"/>
      <sheetData sheetId="7121"/>
      <sheetData sheetId="7122"/>
      <sheetData sheetId="7123"/>
      <sheetData sheetId="7124"/>
      <sheetData sheetId="7125"/>
      <sheetData sheetId="7126"/>
      <sheetData sheetId="7127"/>
      <sheetData sheetId="7128"/>
      <sheetData sheetId="7129"/>
      <sheetData sheetId="7130"/>
      <sheetData sheetId="7131"/>
      <sheetData sheetId="7132"/>
      <sheetData sheetId="7133"/>
      <sheetData sheetId="7134"/>
      <sheetData sheetId="7135"/>
      <sheetData sheetId="7136"/>
      <sheetData sheetId="7137"/>
      <sheetData sheetId="7138"/>
      <sheetData sheetId="7139"/>
      <sheetData sheetId="7140"/>
      <sheetData sheetId="7141"/>
      <sheetData sheetId="7142"/>
      <sheetData sheetId="7143"/>
      <sheetData sheetId="7144"/>
      <sheetData sheetId="7145"/>
      <sheetData sheetId="7146"/>
      <sheetData sheetId="7147"/>
      <sheetData sheetId="7148"/>
      <sheetData sheetId="7149"/>
      <sheetData sheetId="7150"/>
      <sheetData sheetId="7151"/>
      <sheetData sheetId="7152"/>
      <sheetData sheetId="7153"/>
      <sheetData sheetId="7154"/>
      <sheetData sheetId="7155"/>
      <sheetData sheetId="7156"/>
      <sheetData sheetId="7157"/>
      <sheetData sheetId="7158"/>
      <sheetData sheetId="7159"/>
      <sheetData sheetId="7160"/>
      <sheetData sheetId="7161"/>
      <sheetData sheetId="7162"/>
      <sheetData sheetId="7163"/>
      <sheetData sheetId="7164"/>
      <sheetData sheetId="7165"/>
      <sheetData sheetId="7166"/>
      <sheetData sheetId="7167"/>
      <sheetData sheetId="7168"/>
      <sheetData sheetId="7169"/>
      <sheetData sheetId="7170"/>
      <sheetData sheetId="7171"/>
      <sheetData sheetId="7172"/>
      <sheetData sheetId="7173"/>
      <sheetData sheetId="7174"/>
      <sheetData sheetId="7175"/>
      <sheetData sheetId="7176"/>
      <sheetData sheetId="7177"/>
      <sheetData sheetId="7178"/>
      <sheetData sheetId="7179"/>
      <sheetData sheetId="7180"/>
      <sheetData sheetId="7181"/>
      <sheetData sheetId="7182"/>
      <sheetData sheetId="7183"/>
      <sheetData sheetId="7184"/>
      <sheetData sheetId="7185"/>
      <sheetData sheetId="7186"/>
      <sheetData sheetId="7187"/>
      <sheetData sheetId="7188"/>
      <sheetData sheetId="7189"/>
      <sheetData sheetId="7190"/>
      <sheetData sheetId="7191"/>
      <sheetData sheetId="7192"/>
      <sheetData sheetId="7193"/>
      <sheetData sheetId="7194"/>
      <sheetData sheetId="7195"/>
      <sheetData sheetId="7196"/>
      <sheetData sheetId="7197"/>
      <sheetData sheetId="7198"/>
      <sheetData sheetId="7199"/>
      <sheetData sheetId="7200"/>
      <sheetData sheetId="7201"/>
      <sheetData sheetId="7202"/>
      <sheetData sheetId="7203"/>
      <sheetData sheetId="7204"/>
      <sheetData sheetId="7205"/>
      <sheetData sheetId="7206"/>
      <sheetData sheetId="7207"/>
      <sheetData sheetId="7208"/>
      <sheetData sheetId="7209"/>
      <sheetData sheetId="7210"/>
      <sheetData sheetId="7211"/>
      <sheetData sheetId="7212"/>
      <sheetData sheetId="7213"/>
      <sheetData sheetId="7214"/>
      <sheetData sheetId="7215"/>
      <sheetData sheetId="7216"/>
      <sheetData sheetId="7217"/>
      <sheetData sheetId="7218"/>
      <sheetData sheetId="7219"/>
      <sheetData sheetId="7220"/>
      <sheetData sheetId="7221"/>
      <sheetData sheetId="7222"/>
      <sheetData sheetId="7223"/>
      <sheetData sheetId="7224"/>
      <sheetData sheetId="7225"/>
      <sheetData sheetId="7226"/>
      <sheetData sheetId="7227"/>
      <sheetData sheetId="7228"/>
      <sheetData sheetId="7229"/>
      <sheetData sheetId="7230"/>
      <sheetData sheetId="7231"/>
      <sheetData sheetId="7232"/>
      <sheetData sheetId="7233"/>
      <sheetData sheetId="7234"/>
      <sheetData sheetId="7235"/>
      <sheetData sheetId="7236"/>
      <sheetData sheetId="7237"/>
      <sheetData sheetId="7238"/>
      <sheetData sheetId="7239"/>
      <sheetData sheetId="7240"/>
      <sheetData sheetId="7241"/>
      <sheetData sheetId="7242"/>
      <sheetData sheetId="7243"/>
      <sheetData sheetId="7244"/>
      <sheetData sheetId="7245"/>
      <sheetData sheetId="7246"/>
      <sheetData sheetId="7247"/>
      <sheetData sheetId="7248"/>
      <sheetData sheetId="7249"/>
      <sheetData sheetId="7250"/>
      <sheetData sheetId="7251"/>
      <sheetData sheetId="7252"/>
      <sheetData sheetId="7253"/>
      <sheetData sheetId="7254"/>
      <sheetData sheetId="7255"/>
      <sheetData sheetId="7256"/>
      <sheetData sheetId="7257"/>
      <sheetData sheetId="7258"/>
      <sheetData sheetId="7259"/>
      <sheetData sheetId="7260"/>
      <sheetData sheetId="7261"/>
      <sheetData sheetId="7262"/>
      <sheetData sheetId="7263"/>
      <sheetData sheetId="7264"/>
      <sheetData sheetId="7265"/>
      <sheetData sheetId="7266"/>
      <sheetData sheetId="7267"/>
      <sheetData sheetId="7268"/>
      <sheetData sheetId="7269"/>
      <sheetData sheetId="7270"/>
      <sheetData sheetId="7271"/>
      <sheetData sheetId="7272"/>
      <sheetData sheetId="7273"/>
      <sheetData sheetId="7274"/>
      <sheetData sheetId="7275"/>
      <sheetData sheetId="7276"/>
      <sheetData sheetId="7277"/>
      <sheetData sheetId="7278"/>
      <sheetData sheetId="7279"/>
      <sheetData sheetId="7280"/>
      <sheetData sheetId="7281"/>
      <sheetData sheetId="7282"/>
      <sheetData sheetId="7283"/>
      <sheetData sheetId="7284"/>
      <sheetData sheetId="7285"/>
      <sheetData sheetId="7286"/>
      <sheetData sheetId="7287"/>
      <sheetData sheetId="7288"/>
      <sheetData sheetId="7289"/>
      <sheetData sheetId="7290"/>
      <sheetData sheetId="7291"/>
      <sheetData sheetId="7292"/>
      <sheetData sheetId="7293"/>
      <sheetData sheetId="7294"/>
      <sheetData sheetId="7295"/>
      <sheetData sheetId="7296"/>
      <sheetData sheetId="7297"/>
      <sheetData sheetId="7298"/>
      <sheetData sheetId="7299"/>
      <sheetData sheetId="7300"/>
      <sheetData sheetId="7301"/>
      <sheetData sheetId="7302"/>
      <sheetData sheetId="7303"/>
      <sheetData sheetId="7304"/>
      <sheetData sheetId="7305"/>
      <sheetData sheetId="7306"/>
      <sheetData sheetId="7307"/>
      <sheetData sheetId="7308"/>
      <sheetData sheetId="7309"/>
      <sheetData sheetId="7310"/>
      <sheetData sheetId="7311"/>
      <sheetData sheetId="7312"/>
      <sheetData sheetId="7313"/>
      <sheetData sheetId="7314"/>
      <sheetData sheetId="7315"/>
      <sheetData sheetId="7316"/>
      <sheetData sheetId="7317"/>
      <sheetData sheetId="7318"/>
      <sheetData sheetId="7319"/>
      <sheetData sheetId="7320"/>
      <sheetData sheetId="7321"/>
      <sheetData sheetId="7322"/>
      <sheetData sheetId="7323"/>
      <sheetData sheetId="7324"/>
      <sheetData sheetId="7325"/>
      <sheetData sheetId="7326"/>
      <sheetData sheetId="7327"/>
      <sheetData sheetId="7328"/>
      <sheetData sheetId="7329"/>
      <sheetData sheetId="7330"/>
      <sheetData sheetId="7331"/>
      <sheetData sheetId="7332"/>
      <sheetData sheetId="7333"/>
      <sheetData sheetId="7334"/>
      <sheetData sheetId="7335"/>
      <sheetData sheetId="7336"/>
      <sheetData sheetId="7337"/>
      <sheetData sheetId="7338"/>
      <sheetData sheetId="7339"/>
      <sheetData sheetId="7340"/>
      <sheetData sheetId="7341"/>
      <sheetData sheetId="7342"/>
      <sheetData sheetId="7343"/>
      <sheetData sheetId="7344"/>
      <sheetData sheetId="7345"/>
      <sheetData sheetId="7346"/>
      <sheetData sheetId="7347"/>
      <sheetData sheetId="7348"/>
      <sheetData sheetId="7349"/>
      <sheetData sheetId="7350"/>
      <sheetData sheetId="7351"/>
      <sheetData sheetId="7352"/>
      <sheetData sheetId="7353"/>
      <sheetData sheetId="7354"/>
      <sheetData sheetId="7355"/>
      <sheetData sheetId="7356"/>
      <sheetData sheetId="7357"/>
      <sheetData sheetId="7358"/>
      <sheetData sheetId="7359"/>
      <sheetData sheetId="7360"/>
      <sheetData sheetId="7361"/>
      <sheetData sheetId="7362"/>
      <sheetData sheetId="7363"/>
      <sheetData sheetId="7364"/>
      <sheetData sheetId="7365"/>
      <sheetData sheetId="7366"/>
      <sheetData sheetId="7367"/>
      <sheetData sheetId="7368"/>
      <sheetData sheetId="7369"/>
      <sheetData sheetId="7370"/>
      <sheetData sheetId="7371"/>
      <sheetData sheetId="7372"/>
      <sheetData sheetId="7373"/>
      <sheetData sheetId="7374"/>
      <sheetData sheetId="7375"/>
      <sheetData sheetId="7376"/>
      <sheetData sheetId="7377"/>
      <sheetData sheetId="7378"/>
      <sheetData sheetId="7379"/>
      <sheetData sheetId="7380"/>
      <sheetData sheetId="7381"/>
      <sheetData sheetId="7382"/>
      <sheetData sheetId="7383"/>
      <sheetData sheetId="7384"/>
      <sheetData sheetId="7385"/>
      <sheetData sheetId="7386"/>
      <sheetData sheetId="7387"/>
      <sheetData sheetId="7388"/>
      <sheetData sheetId="7389"/>
      <sheetData sheetId="7390"/>
      <sheetData sheetId="7391"/>
      <sheetData sheetId="7392"/>
      <sheetData sheetId="7393"/>
      <sheetData sheetId="7394"/>
      <sheetData sheetId="7395"/>
      <sheetData sheetId="7396"/>
      <sheetData sheetId="7397"/>
      <sheetData sheetId="7398"/>
      <sheetData sheetId="7399"/>
      <sheetData sheetId="7400"/>
      <sheetData sheetId="7401"/>
      <sheetData sheetId="7402"/>
      <sheetData sheetId="7403"/>
      <sheetData sheetId="7404"/>
      <sheetData sheetId="7405"/>
      <sheetData sheetId="7406"/>
      <sheetData sheetId="7407"/>
      <sheetData sheetId="7408"/>
      <sheetData sheetId="7409"/>
      <sheetData sheetId="7410"/>
      <sheetData sheetId="7411"/>
      <sheetData sheetId="7412"/>
      <sheetData sheetId="7413"/>
      <sheetData sheetId="7414"/>
      <sheetData sheetId="7415"/>
      <sheetData sheetId="7416"/>
      <sheetData sheetId="7417"/>
      <sheetData sheetId="7418"/>
      <sheetData sheetId="7419"/>
      <sheetData sheetId="7420"/>
      <sheetData sheetId="7421"/>
      <sheetData sheetId="7422"/>
      <sheetData sheetId="7423"/>
      <sheetData sheetId="7424"/>
      <sheetData sheetId="7425"/>
      <sheetData sheetId="7426"/>
      <sheetData sheetId="7427"/>
      <sheetData sheetId="7428"/>
      <sheetData sheetId="7429"/>
      <sheetData sheetId="7430"/>
      <sheetData sheetId="7431"/>
      <sheetData sheetId="7432"/>
      <sheetData sheetId="7433"/>
      <sheetData sheetId="7434"/>
      <sheetData sheetId="7435"/>
      <sheetData sheetId="7436"/>
      <sheetData sheetId="7437"/>
      <sheetData sheetId="7438"/>
      <sheetData sheetId="7439"/>
      <sheetData sheetId="7440"/>
      <sheetData sheetId="7441"/>
      <sheetData sheetId="7442"/>
      <sheetData sheetId="7443"/>
      <sheetData sheetId="7444"/>
      <sheetData sheetId="7445"/>
      <sheetData sheetId="7446"/>
      <sheetData sheetId="7447"/>
      <sheetData sheetId="7448"/>
      <sheetData sheetId="7449"/>
      <sheetData sheetId="7450"/>
      <sheetData sheetId="7451"/>
      <sheetData sheetId="7452"/>
      <sheetData sheetId="7453"/>
      <sheetData sheetId="7454"/>
      <sheetData sheetId="7455"/>
      <sheetData sheetId="7456"/>
      <sheetData sheetId="7457"/>
      <sheetData sheetId="7458"/>
      <sheetData sheetId="7459"/>
      <sheetData sheetId="7460"/>
      <sheetData sheetId="7461"/>
      <sheetData sheetId="7462"/>
      <sheetData sheetId="7463"/>
      <sheetData sheetId="7464"/>
      <sheetData sheetId="7465"/>
      <sheetData sheetId="7466"/>
      <sheetData sheetId="7467"/>
      <sheetData sheetId="7468"/>
      <sheetData sheetId="7469"/>
      <sheetData sheetId="7470"/>
      <sheetData sheetId="7471"/>
      <sheetData sheetId="7472"/>
      <sheetData sheetId="7473"/>
      <sheetData sheetId="7474"/>
      <sheetData sheetId="7475"/>
      <sheetData sheetId="7476"/>
      <sheetData sheetId="7477"/>
      <sheetData sheetId="7478"/>
      <sheetData sheetId="7479" refreshError="1"/>
      <sheetData sheetId="7480"/>
      <sheetData sheetId="7481"/>
      <sheetData sheetId="7482"/>
      <sheetData sheetId="7483"/>
      <sheetData sheetId="7484"/>
      <sheetData sheetId="7485"/>
      <sheetData sheetId="7486"/>
      <sheetData sheetId="7487"/>
      <sheetData sheetId="7488"/>
      <sheetData sheetId="7489"/>
      <sheetData sheetId="7490"/>
      <sheetData sheetId="7491"/>
      <sheetData sheetId="7492"/>
      <sheetData sheetId="7493"/>
      <sheetData sheetId="7494" refreshError="1"/>
      <sheetData sheetId="7495" refreshError="1"/>
      <sheetData sheetId="7496" refreshError="1"/>
      <sheetData sheetId="7497"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ject Data"/>
      <sheetName val="Income Statement"/>
      <sheetName val="Project Data 03.02.2021"/>
      <sheetName val="Income Statement 03.02.2021"/>
      <sheetName val="Area Tabulation 03.02.21"/>
      <sheetName val="Area Tabulation 04.27.2021"/>
      <sheetName val="Area Tabulation 04.28.2021"/>
      <sheetName val="Project Data 04.28.2021"/>
      <sheetName val="Income Statement 04.28.2021"/>
      <sheetName val="Area Tabulation 05.15.2021"/>
      <sheetName val="Project Data Comparison 05.17"/>
      <sheetName val="Summary 05.17.2021"/>
      <sheetName val="IS Comparison 05.17.2021"/>
      <sheetName val="IS Comparison 06.18.2021"/>
      <sheetName val="Summary 06.18.2021"/>
      <sheetName val="Cashflow"/>
      <sheetName val="Package Breakdown"/>
      <sheetName val="Home Loan Calculator"/>
      <sheetName val="Increases"/>
      <sheetName val="Collection Unsold 05.15.2021"/>
      <sheetName val="Commission Unsold 05.15.2021"/>
      <sheetName val="Collection Unsold 05.28.2021"/>
      <sheetName val="Commission Unsold 05.28.2021"/>
      <sheetName val="Area Tabulation 05.28.2021"/>
      <sheetName val="Casas Area Tabulation 09.18.21"/>
      <sheetName val="Area Tabulation 07.14.2021"/>
      <sheetName val="Casas Area Tabulation 09.20.21"/>
      <sheetName val="Casas S1 09.20.21"/>
      <sheetName val="Priority Selling List"/>
      <sheetName val="Casas Data 10.07.21"/>
      <sheetName val="Casas Area Tabulation 10.07.21"/>
      <sheetName val="Casas Data 10.18.21"/>
      <sheetName val="Casas Area Tabulation 10.18.21"/>
      <sheetName val="Project Data Comparison 100721"/>
      <sheetName val="Project Data Comparison 06.18"/>
      <sheetName val="IS Comparison 08.08"/>
      <sheetName val="IS Comparison 9.18.21- DR1"/>
      <sheetName val="IS Comparison 07142021 - DR2"/>
      <sheetName val="IS Comparison 07142021 - DR (2)"/>
      <sheetName val="Casas Area Tabulation 10.21.21"/>
      <sheetName val="Casas Data 10.21.21"/>
      <sheetName val="Income Statement 10.07.21"/>
      <sheetName val="PS Group Package Breakdown"/>
      <sheetName val="Package Breakdown - Casas"/>
      <sheetName val="Updated Package Breakdown"/>
      <sheetName val="Package Breakdown - Casas 10.21"/>
      <sheetName val="Package Breakdown - Casas 11.6"/>
      <sheetName val="Collection Unsold 11.6.21"/>
      <sheetName val="Collection Unsold 10.21.21"/>
      <sheetName val="Collection Unsold 10.15.21"/>
      <sheetName val="Commission Unsold 10.15.21"/>
      <sheetName val="New Sales &amp; Take out Projection"/>
      <sheetName val="Sales Forecast"/>
      <sheetName val="WCC Inventory"/>
      <sheetName val="For Clarification"/>
      <sheetName val="Cashflow 10.15.21"/>
      <sheetName val="Cashflow 09.27.21"/>
      <sheetName val="Collection Unsold 07.21.2021"/>
      <sheetName val="Commission Unsold 07.21.2021"/>
      <sheetName val="Sales &amp; Take out Projections"/>
      <sheetName val="Construction Estimate"/>
      <sheetName val="Construction Estimate 10.16.21"/>
      <sheetName val="Construction Contingency"/>
      <sheetName val="Gantt Chart"/>
      <sheetName val="Construction Contingency 10.16"/>
      <sheetName val="Updated Marketing Costs 11.6.21"/>
      <sheetName val="Marketing Costs"/>
      <sheetName val="Permits Cost"/>
      <sheetName val="Sales Cost"/>
      <sheetName val="Updated Sales Cost"/>
      <sheetName val="Permits Cost Updated"/>
      <sheetName val="WCC Permits Cost - Table"/>
      <sheetName val="Actual Overhead Cost 11.6.21"/>
      <sheetName val="Overhead Cost "/>
      <sheetName val="Revised Overhead Cost"/>
      <sheetName val="Revised Overhead Cost 11.6.21"/>
      <sheetName val="Land Transfer Cost"/>
      <sheetName val="Elite Prestige Cost"/>
      <sheetName val="Updated Sales Cost 11.6.21"/>
      <sheetName val="PROJECTIONS"/>
      <sheetName val="Project Data Comparison 101621"/>
      <sheetName val="Income Statement 10.16.21"/>
      <sheetName val="Updated Marketing Costs"/>
      <sheetName val="Actual Overhead Cost 202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ow r="16">
          <cell r="O16">
            <v>135300</v>
          </cell>
        </row>
        <row r="17">
          <cell r="O17">
            <v>138682.49999999997</v>
          </cell>
        </row>
        <row r="18">
          <cell r="O18">
            <v>142149.56249999994</v>
          </cell>
        </row>
      </sheetData>
      <sheetData sheetId="29"/>
      <sheetData sheetId="30"/>
      <sheetData sheetId="31"/>
      <sheetData sheetId="32"/>
      <sheetData sheetId="33"/>
      <sheetData sheetId="34"/>
      <sheetData sheetId="35"/>
      <sheetData sheetId="36"/>
      <sheetData sheetId="37">
        <row r="4">
          <cell r="CC4">
            <v>122999.99999999999</v>
          </cell>
        </row>
        <row r="5">
          <cell r="CC5">
            <v>126074.99999999997</v>
          </cell>
        </row>
        <row r="6">
          <cell r="CC6">
            <v>129226.87499999996</v>
          </cell>
        </row>
      </sheetData>
      <sheetData sheetId="38"/>
      <sheetData sheetId="39">
        <row r="11">
          <cell r="U11">
            <v>98.5</v>
          </cell>
          <cell r="V11">
            <v>51.02</v>
          </cell>
          <cell r="W11">
            <v>55.62</v>
          </cell>
          <cell r="X11">
            <v>60.78</v>
          </cell>
          <cell r="Y11">
            <v>83.49</v>
          </cell>
          <cell r="AA11">
            <v>61.03</v>
          </cell>
          <cell r="AB11">
            <v>94.79</v>
          </cell>
          <cell r="AC11">
            <v>67.790000000000006</v>
          </cell>
          <cell r="AD11">
            <v>67.72</v>
          </cell>
          <cell r="AE11">
            <v>86.15</v>
          </cell>
          <cell r="AF11">
            <v>53.53</v>
          </cell>
        </row>
        <row r="12">
          <cell r="U12">
            <v>10.46</v>
          </cell>
          <cell r="V12">
            <v>5.36</v>
          </cell>
          <cell r="W12">
            <v>5.37</v>
          </cell>
          <cell r="X12">
            <v>5.15</v>
          </cell>
          <cell r="Y12">
            <v>12.309999999999999</v>
          </cell>
          <cell r="AA12">
            <v>4.1900000000000004</v>
          </cell>
          <cell r="AB12">
            <v>11.260000000000002</v>
          </cell>
          <cell r="AC12">
            <v>4.2</v>
          </cell>
          <cell r="AD12">
            <v>4.2</v>
          </cell>
          <cell r="AE12">
            <v>12.66</v>
          </cell>
          <cell r="AF12">
            <v>4.18</v>
          </cell>
        </row>
      </sheetData>
      <sheetData sheetId="40">
        <row r="15">
          <cell r="D15">
            <v>44.44</v>
          </cell>
        </row>
        <row r="16">
          <cell r="D16">
            <v>44.43</v>
          </cell>
        </row>
        <row r="17">
          <cell r="D17">
            <v>36.35</v>
          </cell>
        </row>
        <row r="18">
          <cell r="D18">
            <v>79.31</v>
          </cell>
        </row>
        <row r="19">
          <cell r="D19">
            <v>46.32</v>
          </cell>
        </row>
        <row r="20">
          <cell r="D20">
            <v>50.68</v>
          </cell>
        </row>
        <row r="21">
          <cell r="D21">
            <v>55.37</v>
          </cell>
        </row>
        <row r="22">
          <cell r="D22">
            <v>82.04</v>
          </cell>
        </row>
      </sheetData>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ject Data"/>
      <sheetName val="Package Breakdown"/>
      <sheetName val="Competitor Analysis"/>
      <sheetName val="Income Statement"/>
      <sheetName val="Updated Income Statement"/>
      <sheetName val="Cash Out Running Balance"/>
      <sheetName val="Cash Flow"/>
      <sheetName val="Investment"/>
      <sheetName val="Advances (Cash In)"/>
      <sheetName val="Collection Unsold"/>
      <sheetName val="Land Cost"/>
      <sheetName val="Construction"/>
      <sheetName val="Commission Unsold"/>
      <sheetName val="Marketing"/>
      <sheetName val="Overhead"/>
      <sheetName val="Other Costs"/>
      <sheetName val="Gantt Chart"/>
      <sheetName val="Weekly Schedule"/>
    </sheetNames>
    <sheetDataSet>
      <sheetData sheetId="0" refreshError="1">
        <row r="113">
          <cell r="E113">
            <v>100000</v>
          </cell>
        </row>
        <row r="115">
          <cell r="E115">
            <v>34</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ject Data"/>
      <sheetName val="Project Review"/>
      <sheetName val="Package Breakdown"/>
      <sheetName val="Competitor Analysis"/>
      <sheetName val="Seaview Inventory"/>
      <sheetName val="Income Statement Project"/>
      <sheetName val="Land Transfer Cost"/>
      <sheetName val="Other Costs"/>
      <sheetName val="Collection Unsold"/>
      <sheetName val="Cash Flow"/>
    </sheetNames>
    <sheetDataSet>
      <sheetData sheetId="0" refreshError="1">
        <row r="90">
          <cell r="E90">
            <v>135000</v>
          </cell>
        </row>
        <row r="125">
          <cell r="E125">
            <v>85086720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ERNAL BARE"/>
      <sheetName val="INTERNAL FITTED"/>
      <sheetName val="Priority Selling List"/>
      <sheetName val="Package Breakdown - Casas"/>
      <sheetName val="Collection Unsold 10.15.21"/>
      <sheetName val="Fully Fitted Pricelist"/>
      <sheetName val="PriceLink_Fitted"/>
      <sheetName val="FORM"/>
      <sheetName val="STANDARD COMP."/>
      <sheetName val="LOI_STANDARD"/>
      <sheetName val="RA_Standard"/>
      <sheetName val="STEP UP"/>
      <sheetName val="LOI_STEP UP"/>
      <sheetName val="RA_Step up"/>
      <sheetName val="SPOT EQUITY_7DAYS"/>
      <sheetName val="LOI_SE7D"/>
      <sheetName val="RA_SE7D"/>
      <sheetName val="SPOT EQUITY_30DAYS"/>
      <sheetName val="LOI_SE30D"/>
      <sheetName val="RA_SE30D"/>
      <sheetName val="SPOT CASH_30 DAYS"/>
      <sheetName val="LOI_SC30D"/>
      <sheetName val="RA_SC30D"/>
      <sheetName val="SPOT CASH_60 DAYS"/>
      <sheetName val="LOI_SC60D"/>
      <sheetName val="RA_SC60D"/>
      <sheetName val="DEFERRED"/>
      <sheetName val="LOI_DEFERRED"/>
      <sheetName val="RA_DEFERRED"/>
      <sheetName val="SPECIAL PACKAGE"/>
      <sheetName val="LOI_SPECIAL"/>
      <sheetName val="RA_Special"/>
      <sheetName val="Docs Req"/>
    </sheetNames>
    <sheetDataSet>
      <sheetData sheetId="0" refreshError="1"/>
      <sheetData sheetId="1" refreshError="1"/>
      <sheetData sheetId="2" refreshError="1"/>
      <sheetData sheetId="3" refreshError="1">
        <row r="9">
          <cell r="N9">
            <v>44.44</v>
          </cell>
          <cell r="O9">
            <v>44.43</v>
          </cell>
          <cell r="P9">
            <v>36.35</v>
          </cell>
          <cell r="Q9">
            <v>79.31</v>
          </cell>
          <cell r="R9">
            <v>46.32</v>
          </cell>
          <cell r="S9">
            <v>50.68</v>
          </cell>
          <cell r="T9">
            <v>55.37</v>
          </cell>
          <cell r="U9">
            <v>82.04</v>
          </cell>
        </row>
        <row r="17">
          <cell r="N17">
            <v>7110400</v>
          </cell>
          <cell r="O17">
            <v>7108800</v>
          </cell>
          <cell r="P17">
            <v>5816000</v>
          </cell>
          <cell r="Q17">
            <v>12689600</v>
          </cell>
          <cell r="R17">
            <v>7411200</v>
          </cell>
          <cell r="S17">
            <v>8108800</v>
          </cell>
          <cell r="T17">
            <v>8859200</v>
          </cell>
          <cell r="U17">
            <v>13126400.000000002</v>
          </cell>
        </row>
      </sheetData>
      <sheetData sheetId="4" refreshError="1">
        <row r="4">
          <cell r="G4">
            <v>98.5</v>
          </cell>
          <cell r="H4">
            <v>10.46</v>
          </cell>
        </row>
        <row r="5">
          <cell r="G5">
            <v>51.02</v>
          </cell>
          <cell r="H5">
            <v>5.36</v>
          </cell>
        </row>
        <row r="6">
          <cell r="G6">
            <v>55.62</v>
          </cell>
          <cell r="H6">
            <v>5.37</v>
          </cell>
        </row>
        <row r="7">
          <cell r="G7">
            <v>60.78</v>
          </cell>
          <cell r="H7">
            <v>5.15</v>
          </cell>
        </row>
        <row r="8">
          <cell r="G8">
            <v>83.49</v>
          </cell>
          <cell r="H8">
            <v>12.309999999999999</v>
          </cell>
        </row>
        <row r="9">
          <cell r="G9">
            <v>61.03</v>
          </cell>
          <cell r="H9">
            <v>4.1900000000000004</v>
          </cell>
        </row>
        <row r="10">
          <cell r="G10">
            <v>94.79</v>
          </cell>
          <cell r="H10">
            <v>11.260000000000002</v>
          </cell>
        </row>
        <row r="11">
          <cell r="G11">
            <v>67.790000000000006</v>
          </cell>
          <cell r="H11">
            <v>4.2</v>
          </cell>
        </row>
        <row r="12">
          <cell r="G12">
            <v>67.72</v>
          </cell>
          <cell r="H12">
            <v>4.2</v>
          </cell>
        </row>
        <row r="13">
          <cell r="G13">
            <v>67.72</v>
          </cell>
          <cell r="H13">
            <v>4.2</v>
          </cell>
        </row>
        <row r="14">
          <cell r="G14">
            <v>67.72</v>
          </cell>
          <cell r="H14">
            <v>4.2</v>
          </cell>
        </row>
        <row r="15">
          <cell r="G15">
            <v>86.15</v>
          </cell>
          <cell r="H15">
            <v>12.66</v>
          </cell>
        </row>
        <row r="16">
          <cell r="G16">
            <v>53.53</v>
          </cell>
          <cell r="H16">
            <v>4.18</v>
          </cell>
        </row>
        <row r="17">
          <cell r="G17">
            <v>98.5</v>
          </cell>
          <cell r="H17">
            <v>10.46</v>
          </cell>
        </row>
        <row r="18">
          <cell r="G18">
            <v>51.02</v>
          </cell>
          <cell r="H18">
            <v>5.36</v>
          </cell>
        </row>
        <row r="19">
          <cell r="G19">
            <v>55.62</v>
          </cell>
          <cell r="H19">
            <v>5.37</v>
          </cell>
        </row>
        <row r="20">
          <cell r="G20">
            <v>60.78</v>
          </cell>
          <cell r="H20">
            <v>5.15</v>
          </cell>
        </row>
        <row r="21">
          <cell r="G21">
            <v>83.49</v>
          </cell>
          <cell r="H21">
            <v>12.309999999999999</v>
          </cell>
        </row>
        <row r="22">
          <cell r="G22">
            <v>61.03</v>
          </cell>
          <cell r="H22">
            <v>4.1900000000000004</v>
          </cell>
        </row>
        <row r="23">
          <cell r="G23">
            <v>94.79</v>
          </cell>
          <cell r="H23">
            <v>11.260000000000002</v>
          </cell>
        </row>
        <row r="24">
          <cell r="G24">
            <v>67.790000000000006</v>
          </cell>
          <cell r="H24">
            <v>4.2</v>
          </cell>
        </row>
        <row r="25">
          <cell r="G25">
            <v>67.72</v>
          </cell>
          <cell r="H25">
            <v>4.2</v>
          </cell>
        </row>
        <row r="26">
          <cell r="G26">
            <v>67.72</v>
          </cell>
          <cell r="H26">
            <v>4.2</v>
          </cell>
        </row>
        <row r="27">
          <cell r="G27">
            <v>67.72</v>
          </cell>
          <cell r="H27">
            <v>4.2</v>
          </cell>
        </row>
        <row r="28">
          <cell r="G28">
            <v>86.15</v>
          </cell>
          <cell r="H28">
            <v>12.66</v>
          </cell>
        </row>
        <row r="29">
          <cell r="G29">
            <v>53.53</v>
          </cell>
          <cell r="H29">
            <v>4.18</v>
          </cell>
        </row>
        <row r="30">
          <cell r="G30">
            <v>98.5</v>
          </cell>
          <cell r="H30">
            <v>10.46</v>
          </cell>
        </row>
        <row r="31">
          <cell r="G31">
            <v>51.02</v>
          </cell>
          <cell r="H31">
            <v>5.36</v>
          </cell>
        </row>
        <row r="32">
          <cell r="G32">
            <v>55.62</v>
          </cell>
          <cell r="H32">
            <v>5.37</v>
          </cell>
        </row>
        <row r="33">
          <cell r="G33">
            <v>60.78</v>
          </cell>
          <cell r="H33">
            <v>5.15</v>
          </cell>
        </row>
        <row r="34">
          <cell r="G34">
            <v>83.49</v>
          </cell>
          <cell r="H34">
            <v>12.309999999999999</v>
          </cell>
        </row>
        <row r="35">
          <cell r="G35">
            <v>61.03</v>
          </cell>
          <cell r="H35">
            <v>4.1900000000000004</v>
          </cell>
        </row>
        <row r="36">
          <cell r="G36">
            <v>94.79</v>
          </cell>
          <cell r="H36">
            <v>11.260000000000002</v>
          </cell>
        </row>
        <row r="37">
          <cell r="G37">
            <v>67.790000000000006</v>
          </cell>
          <cell r="H37">
            <v>4.2</v>
          </cell>
        </row>
        <row r="38">
          <cell r="G38">
            <v>67.72</v>
          </cell>
          <cell r="H38">
            <v>4.2</v>
          </cell>
        </row>
        <row r="39">
          <cell r="G39">
            <v>67.72</v>
          </cell>
          <cell r="H39">
            <v>4.2</v>
          </cell>
        </row>
        <row r="40">
          <cell r="G40">
            <v>67.72</v>
          </cell>
          <cell r="H40">
            <v>4.2</v>
          </cell>
        </row>
        <row r="41">
          <cell r="G41">
            <v>86.15</v>
          </cell>
          <cell r="H41">
            <v>12.66</v>
          </cell>
        </row>
        <row r="42">
          <cell r="G42">
            <v>53.53</v>
          </cell>
          <cell r="H42">
            <v>4.18</v>
          </cell>
        </row>
        <row r="43">
          <cell r="G43">
            <v>98.5</v>
          </cell>
          <cell r="H43">
            <v>10.46</v>
          </cell>
        </row>
        <row r="44">
          <cell r="G44">
            <v>51.02</v>
          </cell>
          <cell r="H44">
            <v>5.36</v>
          </cell>
        </row>
        <row r="45">
          <cell r="G45">
            <v>55.62</v>
          </cell>
          <cell r="H45">
            <v>5.37</v>
          </cell>
        </row>
        <row r="46">
          <cell r="G46">
            <v>60.78</v>
          </cell>
          <cell r="H46">
            <v>5.15</v>
          </cell>
        </row>
        <row r="47">
          <cell r="G47">
            <v>83.49</v>
          </cell>
          <cell r="H47">
            <v>12.309999999999999</v>
          </cell>
        </row>
        <row r="48">
          <cell r="G48">
            <v>61.03</v>
          </cell>
          <cell r="H48">
            <v>4.1900000000000004</v>
          </cell>
        </row>
        <row r="49">
          <cell r="G49">
            <v>94.79</v>
          </cell>
          <cell r="H49">
            <v>11.260000000000002</v>
          </cell>
        </row>
        <row r="50">
          <cell r="G50">
            <v>67.790000000000006</v>
          </cell>
          <cell r="H50">
            <v>4.2</v>
          </cell>
        </row>
        <row r="51">
          <cell r="G51">
            <v>67.72</v>
          </cell>
          <cell r="H51">
            <v>4.2</v>
          </cell>
        </row>
        <row r="52">
          <cell r="G52">
            <v>67.72</v>
          </cell>
          <cell r="H52">
            <v>4.2</v>
          </cell>
        </row>
        <row r="53">
          <cell r="G53">
            <v>67.72</v>
          </cell>
          <cell r="H53">
            <v>4.2</v>
          </cell>
        </row>
        <row r="54">
          <cell r="G54">
            <v>86.15</v>
          </cell>
          <cell r="H54">
            <v>12.66</v>
          </cell>
        </row>
        <row r="55">
          <cell r="G55">
            <v>53.53</v>
          </cell>
          <cell r="H55">
            <v>4.18</v>
          </cell>
        </row>
        <row r="56">
          <cell r="G56">
            <v>98.5</v>
          </cell>
          <cell r="H56">
            <v>10.46</v>
          </cell>
        </row>
        <row r="57">
          <cell r="G57">
            <v>51.02</v>
          </cell>
          <cell r="H57">
            <v>5.36</v>
          </cell>
        </row>
        <row r="58">
          <cell r="G58">
            <v>55.62</v>
          </cell>
          <cell r="H58">
            <v>5.37</v>
          </cell>
        </row>
        <row r="59">
          <cell r="G59">
            <v>60.78</v>
          </cell>
          <cell r="H59">
            <v>5.15</v>
          </cell>
        </row>
        <row r="60">
          <cell r="G60">
            <v>83.49</v>
          </cell>
          <cell r="H60">
            <v>12.309999999999999</v>
          </cell>
        </row>
        <row r="61">
          <cell r="G61">
            <v>61.03</v>
          </cell>
          <cell r="H61">
            <v>4.1900000000000004</v>
          </cell>
        </row>
        <row r="62">
          <cell r="G62">
            <v>94.79</v>
          </cell>
          <cell r="H62">
            <v>11.260000000000002</v>
          </cell>
        </row>
        <row r="63">
          <cell r="G63">
            <v>67.790000000000006</v>
          </cell>
          <cell r="H63">
            <v>4.2</v>
          </cell>
        </row>
        <row r="64">
          <cell r="G64">
            <v>67.72</v>
          </cell>
          <cell r="H64">
            <v>4.2</v>
          </cell>
        </row>
        <row r="65">
          <cell r="G65">
            <v>67.72</v>
          </cell>
          <cell r="H65">
            <v>4.2</v>
          </cell>
        </row>
        <row r="66">
          <cell r="G66">
            <v>67.72</v>
          </cell>
          <cell r="H66">
            <v>4.2</v>
          </cell>
        </row>
        <row r="67">
          <cell r="G67">
            <v>86.15</v>
          </cell>
          <cell r="H67">
            <v>12.66</v>
          </cell>
        </row>
        <row r="68">
          <cell r="G68">
            <v>53.53</v>
          </cell>
          <cell r="H68">
            <v>4.18</v>
          </cell>
        </row>
        <row r="69">
          <cell r="G69">
            <v>98.5</v>
          </cell>
          <cell r="H69">
            <v>10.46</v>
          </cell>
        </row>
        <row r="70">
          <cell r="G70">
            <v>51.02</v>
          </cell>
          <cell r="H70">
            <v>5.36</v>
          </cell>
        </row>
        <row r="71">
          <cell r="G71">
            <v>55.62</v>
          </cell>
          <cell r="H71">
            <v>5.37</v>
          </cell>
        </row>
        <row r="72">
          <cell r="G72">
            <v>60.78</v>
          </cell>
          <cell r="H72">
            <v>5.15</v>
          </cell>
        </row>
        <row r="73">
          <cell r="G73">
            <v>83.49</v>
          </cell>
          <cell r="H73">
            <v>12.309999999999999</v>
          </cell>
        </row>
        <row r="74">
          <cell r="G74">
            <v>61.03</v>
          </cell>
          <cell r="H74">
            <v>4.1900000000000004</v>
          </cell>
        </row>
        <row r="75">
          <cell r="G75">
            <v>94.79</v>
          </cell>
          <cell r="H75">
            <v>11.260000000000002</v>
          </cell>
        </row>
        <row r="76">
          <cell r="G76">
            <v>67.790000000000006</v>
          </cell>
          <cell r="H76">
            <v>4.2</v>
          </cell>
        </row>
        <row r="77">
          <cell r="G77">
            <v>67.72</v>
          </cell>
          <cell r="H77">
            <v>4.2</v>
          </cell>
        </row>
        <row r="78">
          <cell r="G78">
            <v>67.72</v>
          </cell>
          <cell r="H78">
            <v>4.2</v>
          </cell>
        </row>
        <row r="79">
          <cell r="G79">
            <v>67.72</v>
          </cell>
          <cell r="H79">
            <v>4.2</v>
          </cell>
        </row>
        <row r="80">
          <cell r="G80">
            <v>86.15</v>
          </cell>
          <cell r="H80">
            <v>12.66</v>
          </cell>
        </row>
        <row r="81">
          <cell r="G81">
            <v>53.53</v>
          </cell>
          <cell r="H81">
            <v>4.18</v>
          </cell>
        </row>
        <row r="82">
          <cell r="G82">
            <v>98.5</v>
          </cell>
          <cell r="H82">
            <v>10.46</v>
          </cell>
        </row>
        <row r="83">
          <cell r="G83">
            <v>51.02</v>
          </cell>
          <cell r="H83">
            <v>5.36</v>
          </cell>
        </row>
        <row r="84">
          <cell r="G84">
            <v>55.62</v>
          </cell>
          <cell r="H84">
            <v>5.37</v>
          </cell>
        </row>
        <row r="85">
          <cell r="G85">
            <v>60.78</v>
          </cell>
          <cell r="H85">
            <v>5.15</v>
          </cell>
        </row>
        <row r="86">
          <cell r="G86">
            <v>83.49</v>
          </cell>
          <cell r="H86">
            <v>12.309999999999999</v>
          </cell>
        </row>
        <row r="87">
          <cell r="G87">
            <v>61.03</v>
          </cell>
          <cell r="H87">
            <v>4.1900000000000004</v>
          </cell>
        </row>
        <row r="88">
          <cell r="G88">
            <v>94.79</v>
          </cell>
          <cell r="H88">
            <v>11.260000000000002</v>
          </cell>
        </row>
        <row r="89">
          <cell r="G89">
            <v>67.790000000000006</v>
          </cell>
          <cell r="H89">
            <v>4.2</v>
          </cell>
        </row>
        <row r="90">
          <cell r="G90">
            <v>67.72</v>
          </cell>
          <cell r="H90">
            <v>4.2</v>
          </cell>
        </row>
        <row r="91">
          <cell r="G91">
            <v>67.72</v>
          </cell>
          <cell r="H91">
            <v>4.2</v>
          </cell>
        </row>
        <row r="92">
          <cell r="G92">
            <v>67.72</v>
          </cell>
          <cell r="H92">
            <v>4.2</v>
          </cell>
        </row>
        <row r="93">
          <cell r="G93">
            <v>86.15</v>
          </cell>
          <cell r="H93">
            <v>12.66</v>
          </cell>
        </row>
        <row r="94">
          <cell r="G94">
            <v>53.53</v>
          </cell>
          <cell r="H94">
            <v>4.18</v>
          </cell>
        </row>
        <row r="95">
          <cell r="G95">
            <v>98.5</v>
          </cell>
          <cell r="H95">
            <v>10.46</v>
          </cell>
        </row>
        <row r="96">
          <cell r="G96">
            <v>51.02</v>
          </cell>
          <cell r="H96">
            <v>5.36</v>
          </cell>
        </row>
        <row r="97">
          <cell r="G97">
            <v>55.62</v>
          </cell>
          <cell r="H97">
            <v>5.37</v>
          </cell>
        </row>
        <row r="98">
          <cell r="G98">
            <v>60.78</v>
          </cell>
          <cell r="H98">
            <v>5.15</v>
          </cell>
        </row>
        <row r="99">
          <cell r="G99">
            <v>83.49</v>
          </cell>
          <cell r="H99">
            <v>12.309999999999999</v>
          </cell>
        </row>
        <row r="100">
          <cell r="G100">
            <v>61.03</v>
          </cell>
          <cell r="H100">
            <v>4.1900000000000004</v>
          </cell>
        </row>
        <row r="101">
          <cell r="G101">
            <v>94.79</v>
          </cell>
          <cell r="H101">
            <v>11.260000000000002</v>
          </cell>
        </row>
        <row r="102">
          <cell r="G102">
            <v>67.790000000000006</v>
          </cell>
          <cell r="H102">
            <v>4.2</v>
          </cell>
        </row>
        <row r="103">
          <cell r="G103">
            <v>67.72</v>
          </cell>
          <cell r="H103">
            <v>4.2</v>
          </cell>
        </row>
        <row r="104">
          <cell r="G104">
            <v>67.72</v>
          </cell>
          <cell r="H104">
            <v>4.2</v>
          </cell>
        </row>
        <row r="105">
          <cell r="G105">
            <v>67.72</v>
          </cell>
          <cell r="H105">
            <v>4.2</v>
          </cell>
        </row>
        <row r="106">
          <cell r="G106">
            <v>86.15</v>
          </cell>
          <cell r="H106">
            <v>12.66</v>
          </cell>
        </row>
        <row r="107">
          <cell r="G107">
            <v>53.53</v>
          </cell>
          <cell r="H107">
            <v>4.18</v>
          </cell>
        </row>
        <row r="108">
          <cell r="G108">
            <v>98.5</v>
          </cell>
          <cell r="H108">
            <v>10.46</v>
          </cell>
        </row>
        <row r="109">
          <cell r="G109">
            <v>51.02</v>
          </cell>
          <cell r="H109">
            <v>5.36</v>
          </cell>
        </row>
        <row r="110">
          <cell r="G110">
            <v>55.62</v>
          </cell>
          <cell r="H110">
            <v>5.37</v>
          </cell>
        </row>
        <row r="111">
          <cell r="G111">
            <v>60.78</v>
          </cell>
          <cell r="H111">
            <v>5.15</v>
          </cell>
        </row>
        <row r="112">
          <cell r="G112">
            <v>83.49</v>
          </cell>
          <cell r="H112">
            <v>12.309999999999999</v>
          </cell>
        </row>
        <row r="113">
          <cell r="G113">
            <v>61.03</v>
          </cell>
          <cell r="H113">
            <v>4.1900000000000004</v>
          </cell>
        </row>
        <row r="114">
          <cell r="G114">
            <v>94.79</v>
          </cell>
          <cell r="H114">
            <v>11.260000000000002</v>
          </cell>
        </row>
        <row r="115">
          <cell r="G115">
            <v>67.790000000000006</v>
          </cell>
          <cell r="H115">
            <v>4.2</v>
          </cell>
        </row>
        <row r="116">
          <cell r="G116">
            <v>67.72</v>
          </cell>
          <cell r="H116">
            <v>4.2</v>
          </cell>
        </row>
        <row r="117">
          <cell r="G117">
            <v>67.72</v>
          </cell>
          <cell r="H117">
            <v>4.2</v>
          </cell>
        </row>
        <row r="118">
          <cell r="G118">
            <v>67.72</v>
          </cell>
          <cell r="H118">
            <v>4.2</v>
          </cell>
        </row>
        <row r="119">
          <cell r="G119">
            <v>86.15</v>
          </cell>
          <cell r="H119">
            <v>12.66</v>
          </cell>
        </row>
        <row r="120">
          <cell r="G120">
            <v>53.53</v>
          </cell>
          <cell r="H120">
            <v>4.18</v>
          </cell>
        </row>
        <row r="121">
          <cell r="G121">
            <v>98.5</v>
          </cell>
          <cell r="H121">
            <v>10.46</v>
          </cell>
        </row>
        <row r="122">
          <cell r="G122">
            <v>51.02</v>
          </cell>
          <cell r="H122">
            <v>5.36</v>
          </cell>
        </row>
        <row r="123">
          <cell r="G123">
            <v>55.62</v>
          </cell>
          <cell r="H123">
            <v>5.37</v>
          </cell>
        </row>
        <row r="124">
          <cell r="G124">
            <v>60.78</v>
          </cell>
          <cell r="H124">
            <v>5.15</v>
          </cell>
        </row>
        <row r="125">
          <cell r="G125">
            <v>83.49</v>
          </cell>
          <cell r="H125">
            <v>12.309999999999999</v>
          </cell>
        </row>
        <row r="126">
          <cell r="G126">
            <v>61.03</v>
          </cell>
          <cell r="H126">
            <v>4.1900000000000004</v>
          </cell>
        </row>
        <row r="127">
          <cell r="G127">
            <v>94.79</v>
          </cell>
          <cell r="H127">
            <v>11.260000000000002</v>
          </cell>
        </row>
        <row r="128">
          <cell r="G128">
            <v>67.790000000000006</v>
          </cell>
          <cell r="H128">
            <v>4.2</v>
          </cell>
        </row>
        <row r="129">
          <cell r="G129">
            <v>67.72</v>
          </cell>
          <cell r="H129">
            <v>4.2</v>
          </cell>
        </row>
        <row r="130">
          <cell r="G130">
            <v>67.72</v>
          </cell>
          <cell r="H130">
            <v>4.2</v>
          </cell>
        </row>
        <row r="131">
          <cell r="G131">
            <v>67.72</v>
          </cell>
          <cell r="H131">
            <v>4.2</v>
          </cell>
        </row>
        <row r="132">
          <cell r="G132">
            <v>86.15</v>
          </cell>
          <cell r="H132">
            <v>12.66</v>
          </cell>
        </row>
        <row r="133">
          <cell r="G133">
            <v>53.53</v>
          </cell>
          <cell r="H133">
            <v>4.18</v>
          </cell>
        </row>
      </sheetData>
      <sheetData sheetId="5" refreshError="1">
        <row r="3">
          <cell r="L3">
            <v>13692360</v>
          </cell>
        </row>
        <row r="141">
          <cell r="L141">
            <v>1000000</v>
          </cell>
          <cell r="AA141">
            <v>1220000</v>
          </cell>
          <cell r="AD141">
            <v>305000</v>
          </cell>
        </row>
        <row r="142">
          <cell r="AA142">
            <v>1220000</v>
          </cell>
          <cell r="AD142">
            <v>305000</v>
          </cell>
        </row>
        <row r="143">
          <cell r="AA143">
            <v>1220000</v>
          </cell>
          <cell r="AD143">
            <v>305000</v>
          </cell>
        </row>
        <row r="144">
          <cell r="AA144">
            <v>1220000</v>
          </cell>
          <cell r="AD144">
            <v>305000</v>
          </cell>
        </row>
        <row r="145">
          <cell r="AA145">
            <v>1220000</v>
          </cell>
          <cell r="AD145">
            <v>305000</v>
          </cell>
        </row>
        <row r="146">
          <cell r="AA146">
            <v>1220000</v>
          </cell>
          <cell r="AD146">
            <v>305000</v>
          </cell>
        </row>
        <row r="147">
          <cell r="AA147">
            <v>1220000</v>
          </cell>
          <cell r="AD147">
            <v>305000</v>
          </cell>
        </row>
        <row r="148">
          <cell r="AA148">
            <v>1220000</v>
          </cell>
          <cell r="AD148">
            <v>305000</v>
          </cell>
        </row>
        <row r="149">
          <cell r="AA149">
            <v>1220000</v>
          </cell>
          <cell r="AD149">
            <v>305000</v>
          </cell>
        </row>
        <row r="150">
          <cell r="AA150">
            <v>1220000</v>
          </cell>
          <cell r="AD150">
            <v>305000</v>
          </cell>
        </row>
        <row r="151">
          <cell r="AA151">
            <v>1220000</v>
          </cell>
          <cell r="AD151">
            <v>305000</v>
          </cell>
        </row>
        <row r="152">
          <cell r="AA152">
            <v>1220000</v>
          </cell>
          <cell r="AD152">
            <v>305000</v>
          </cell>
        </row>
        <row r="153">
          <cell r="AA153">
            <v>1220000</v>
          </cell>
          <cell r="AD153">
            <v>305000</v>
          </cell>
        </row>
        <row r="154">
          <cell r="AA154">
            <v>1220000</v>
          </cell>
          <cell r="AD154">
            <v>305000</v>
          </cell>
        </row>
        <row r="155">
          <cell r="AA155">
            <v>1220000</v>
          </cell>
          <cell r="AD155">
            <v>305000</v>
          </cell>
        </row>
        <row r="156">
          <cell r="AA156">
            <v>1220000</v>
          </cell>
          <cell r="AD156">
            <v>305000</v>
          </cell>
        </row>
        <row r="157">
          <cell r="AA157">
            <v>1220000</v>
          </cell>
          <cell r="AD157">
            <v>305000</v>
          </cell>
        </row>
        <row r="158">
          <cell r="AA158">
            <v>1220000</v>
          </cell>
          <cell r="AD158">
            <v>305000</v>
          </cell>
        </row>
        <row r="159">
          <cell r="AA159">
            <v>1220000</v>
          </cell>
          <cell r="AD159">
            <v>305000</v>
          </cell>
        </row>
        <row r="160">
          <cell r="AA160">
            <v>1220000</v>
          </cell>
          <cell r="AD160">
            <v>305000</v>
          </cell>
        </row>
        <row r="161">
          <cell r="AA161">
            <v>1220000</v>
          </cell>
          <cell r="AD161">
            <v>305000</v>
          </cell>
        </row>
        <row r="162">
          <cell r="AA162">
            <v>1220000</v>
          </cell>
          <cell r="AD162">
            <v>305000</v>
          </cell>
        </row>
        <row r="163">
          <cell r="AA163">
            <v>1220000</v>
          </cell>
          <cell r="AD163">
            <v>305000</v>
          </cell>
        </row>
        <row r="164">
          <cell r="AA164">
            <v>1220000</v>
          </cell>
          <cell r="AD164">
            <v>305000</v>
          </cell>
        </row>
        <row r="165">
          <cell r="AA165">
            <v>1220000</v>
          </cell>
          <cell r="AD165">
            <v>305000</v>
          </cell>
        </row>
        <row r="166">
          <cell r="AA166">
            <v>1220000</v>
          </cell>
          <cell r="AD166">
            <v>305000</v>
          </cell>
        </row>
        <row r="167">
          <cell r="AA167">
            <v>1220000</v>
          </cell>
          <cell r="AD167">
            <v>305000</v>
          </cell>
        </row>
        <row r="168">
          <cell r="AA168">
            <v>1220000</v>
          </cell>
          <cell r="AD168">
            <v>305000</v>
          </cell>
        </row>
        <row r="169">
          <cell r="AA169">
            <v>1220000</v>
          </cell>
          <cell r="AD169">
            <v>305000</v>
          </cell>
        </row>
        <row r="170">
          <cell r="AA170">
            <v>1220000</v>
          </cell>
          <cell r="AD170">
            <v>305000</v>
          </cell>
        </row>
        <row r="171">
          <cell r="AA171">
            <v>1220000</v>
          </cell>
          <cell r="AD171">
            <v>305000</v>
          </cell>
        </row>
        <row r="172">
          <cell r="AA172">
            <v>1220000</v>
          </cell>
          <cell r="AD172">
            <v>305000</v>
          </cell>
        </row>
        <row r="173">
          <cell r="AA173">
            <v>1220000</v>
          </cell>
          <cell r="AD173">
            <v>305000</v>
          </cell>
        </row>
        <row r="174">
          <cell r="AA174">
            <v>1220000</v>
          </cell>
          <cell r="AD174">
            <v>305000</v>
          </cell>
        </row>
        <row r="175">
          <cell r="AA175">
            <v>1220000</v>
          </cell>
          <cell r="AD175">
            <v>305000</v>
          </cell>
        </row>
        <row r="176">
          <cell r="AA176">
            <v>1220000</v>
          </cell>
          <cell r="AD176">
            <v>305000</v>
          </cell>
        </row>
        <row r="177">
          <cell r="AA177">
            <v>1220000</v>
          </cell>
          <cell r="AD177">
            <v>305000</v>
          </cell>
        </row>
        <row r="178">
          <cell r="AA178">
            <v>1220000</v>
          </cell>
          <cell r="AD178">
            <v>305000</v>
          </cell>
        </row>
        <row r="179">
          <cell r="AA179">
            <v>1220000</v>
          </cell>
          <cell r="AD179">
            <v>305000</v>
          </cell>
        </row>
        <row r="180">
          <cell r="AA180">
            <v>1220000</v>
          </cell>
          <cell r="AD180">
            <v>305000</v>
          </cell>
        </row>
        <row r="181">
          <cell r="AA181">
            <v>1220000</v>
          </cell>
          <cell r="AD181">
            <v>305000</v>
          </cell>
        </row>
        <row r="182">
          <cell r="AA182">
            <v>1220000</v>
          </cell>
          <cell r="AD182">
            <v>305000</v>
          </cell>
        </row>
        <row r="183">
          <cell r="AA183">
            <v>1220000</v>
          </cell>
          <cell r="AD183">
            <v>305000</v>
          </cell>
        </row>
        <row r="184">
          <cell r="AA184">
            <v>1220000</v>
          </cell>
          <cell r="AD184">
            <v>305000</v>
          </cell>
        </row>
        <row r="185">
          <cell r="AA185">
            <v>1220000</v>
          </cell>
          <cell r="AD185">
            <v>305000</v>
          </cell>
        </row>
        <row r="186">
          <cell r="AA186">
            <v>1220000</v>
          </cell>
          <cell r="AD186">
            <v>305000</v>
          </cell>
        </row>
        <row r="187">
          <cell r="AA187">
            <v>1220000</v>
          </cell>
          <cell r="AD187">
            <v>305000</v>
          </cell>
        </row>
        <row r="188">
          <cell r="AA188">
            <v>1220000</v>
          </cell>
          <cell r="AD188">
            <v>305000</v>
          </cell>
        </row>
        <row r="189">
          <cell r="AA189">
            <v>1220000</v>
          </cell>
          <cell r="AD189">
            <v>305000</v>
          </cell>
        </row>
        <row r="190">
          <cell r="AA190">
            <v>1220000</v>
          </cell>
          <cell r="AD190">
            <v>305000</v>
          </cell>
        </row>
        <row r="191">
          <cell r="AA191">
            <v>1220000</v>
          </cell>
          <cell r="AD191">
            <v>305000</v>
          </cell>
        </row>
        <row r="192">
          <cell r="AA192">
            <v>1220000</v>
          </cell>
          <cell r="AD192">
            <v>305000</v>
          </cell>
        </row>
        <row r="193">
          <cell r="AA193">
            <v>1220000</v>
          </cell>
          <cell r="AD193">
            <v>305000</v>
          </cell>
        </row>
        <row r="194">
          <cell r="AA194">
            <v>1220000</v>
          </cell>
          <cell r="AD194">
            <v>305000</v>
          </cell>
        </row>
        <row r="195">
          <cell r="AA195">
            <v>1220000</v>
          </cell>
          <cell r="AD195">
            <v>305000</v>
          </cell>
        </row>
        <row r="196">
          <cell r="AA196">
            <v>1220000</v>
          </cell>
          <cell r="AD196">
            <v>305000</v>
          </cell>
        </row>
        <row r="197">
          <cell r="AA197">
            <v>1220000</v>
          </cell>
          <cell r="AD197">
            <v>305000</v>
          </cell>
        </row>
        <row r="198">
          <cell r="AA198">
            <v>1220000</v>
          </cell>
          <cell r="AD198">
            <v>305000</v>
          </cell>
        </row>
        <row r="199">
          <cell r="AA199">
            <v>1220000</v>
          </cell>
          <cell r="AD199">
            <v>305000</v>
          </cell>
        </row>
        <row r="200">
          <cell r="AA200">
            <v>1220000</v>
          </cell>
          <cell r="AD200">
            <v>305000</v>
          </cell>
        </row>
        <row r="201">
          <cell r="AA201">
            <v>1220000</v>
          </cell>
          <cell r="AD201">
            <v>305000</v>
          </cell>
        </row>
        <row r="202">
          <cell r="AA202">
            <v>1220000</v>
          </cell>
          <cell r="AD202">
            <v>305000</v>
          </cell>
        </row>
        <row r="203">
          <cell r="AA203">
            <v>1220000</v>
          </cell>
          <cell r="AD203">
            <v>305000</v>
          </cell>
        </row>
        <row r="204">
          <cell r="AA204">
            <v>1220000</v>
          </cell>
          <cell r="AD204">
            <v>305000</v>
          </cell>
        </row>
        <row r="205">
          <cell r="AA205">
            <v>1220000</v>
          </cell>
          <cell r="AD205">
            <v>305000</v>
          </cell>
        </row>
        <row r="206">
          <cell r="AA206">
            <v>1220000</v>
          </cell>
          <cell r="AD206">
            <v>305000</v>
          </cell>
        </row>
        <row r="207">
          <cell r="AA207">
            <v>1220000</v>
          </cell>
          <cell r="AD207">
            <v>305000</v>
          </cell>
        </row>
        <row r="208">
          <cell r="AA208">
            <v>1220000</v>
          </cell>
          <cell r="AD208">
            <v>305000</v>
          </cell>
        </row>
        <row r="209">
          <cell r="AA209">
            <v>1220000</v>
          </cell>
          <cell r="AD209">
            <v>305000</v>
          </cell>
        </row>
        <row r="210">
          <cell r="AA210">
            <v>1220000</v>
          </cell>
          <cell r="AD210">
            <v>305000</v>
          </cell>
        </row>
        <row r="211">
          <cell r="AA211">
            <v>1220000</v>
          </cell>
          <cell r="AD211">
            <v>305000</v>
          </cell>
        </row>
        <row r="212">
          <cell r="AA212">
            <v>1220000</v>
          </cell>
          <cell r="AD212">
            <v>305000</v>
          </cell>
        </row>
        <row r="213">
          <cell r="AA213">
            <v>1220000</v>
          </cell>
          <cell r="AD213">
            <v>305000</v>
          </cell>
        </row>
        <row r="214">
          <cell r="AA214">
            <v>1220000</v>
          </cell>
          <cell r="AD214">
            <v>305000</v>
          </cell>
        </row>
        <row r="215">
          <cell r="AA215">
            <v>1220000</v>
          </cell>
          <cell r="AD215">
            <v>305000</v>
          </cell>
        </row>
        <row r="216">
          <cell r="AA216">
            <v>1220000</v>
          </cell>
          <cell r="AD216">
            <v>305000</v>
          </cell>
        </row>
        <row r="217">
          <cell r="AA217">
            <v>1220000</v>
          </cell>
          <cell r="AD217">
            <v>305000</v>
          </cell>
        </row>
        <row r="218">
          <cell r="AA218">
            <v>1220000</v>
          </cell>
          <cell r="AD218">
            <v>305000</v>
          </cell>
        </row>
        <row r="219">
          <cell r="AA219">
            <v>1220000</v>
          </cell>
          <cell r="AD219">
            <v>305000</v>
          </cell>
        </row>
        <row r="220">
          <cell r="AA220">
            <v>1220000</v>
          </cell>
          <cell r="AD220">
            <v>305000</v>
          </cell>
        </row>
        <row r="221">
          <cell r="AA221">
            <v>1220000</v>
          </cell>
          <cell r="AD221">
            <v>305000</v>
          </cell>
        </row>
        <row r="222">
          <cell r="AA222">
            <v>1220000</v>
          </cell>
          <cell r="AD222">
            <v>305000</v>
          </cell>
        </row>
        <row r="223">
          <cell r="AA223">
            <v>1220000</v>
          </cell>
          <cell r="AD223">
            <v>305000</v>
          </cell>
        </row>
        <row r="224">
          <cell r="AA224">
            <v>1220000</v>
          </cell>
          <cell r="AD224">
            <v>305000</v>
          </cell>
        </row>
        <row r="225">
          <cell r="AA225">
            <v>1220000</v>
          </cell>
          <cell r="AD225">
            <v>305000</v>
          </cell>
        </row>
        <row r="226">
          <cell r="AA226">
            <v>1220000</v>
          </cell>
          <cell r="AD226">
            <v>305000</v>
          </cell>
        </row>
        <row r="227">
          <cell r="AA227">
            <v>1220000</v>
          </cell>
          <cell r="AD227">
            <v>305000</v>
          </cell>
        </row>
        <row r="228">
          <cell r="AA228">
            <v>1220000</v>
          </cell>
          <cell r="AD228">
            <v>305000</v>
          </cell>
        </row>
        <row r="229">
          <cell r="AA229">
            <v>1220000</v>
          </cell>
          <cell r="AD229">
            <v>305000</v>
          </cell>
        </row>
        <row r="230">
          <cell r="AA230">
            <v>1220000</v>
          </cell>
          <cell r="AD230">
            <v>305000</v>
          </cell>
        </row>
        <row r="231">
          <cell r="AA231">
            <v>1220000</v>
          </cell>
          <cell r="AD231">
            <v>305000</v>
          </cell>
        </row>
        <row r="232">
          <cell r="AA232">
            <v>1220000</v>
          </cell>
          <cell r="AD232">
            <v>305000</v>
          </cell>
        </row>
        <row r="233">
          <cell r="AA233">
            <v>1220000</v>
          </cell>
          <cell r="AD233">
            <v>305000</v>
          </cell>
        </row>
        <row r="234">
          <cell r="AA234">
            <v>1220000</v>
          </cell>
          <cell r="AD234">
            <v>305000</v>
          </cell>
        </row>
        <row r="235">
          <cell r="AA235">
            <v>1220000</v>
          </cell>
          <cell r="AD235">
            <v>305000</v>
          </cell>
        </row>
        <row r="236">
          <cell r="AA236">
            <v>1220000</v>
          </cell>
          <cell r="AD236">
            <v>305000</v>
          </cell>
        </row>
        <row r="237">
          <cell r="AA237">
            <v>1220000</v>
          </cell>
          <cell r="AD237">
            <v>305000</v>
          </cell>
        </row>
        <row r="238">
          <cell r="AA238">
            <v>1220000</v>
          </cell>
          <cell r="AD238">
            <v>305000</v>
          </cell>
        </row>
        <row r="239">
          <cell r="AA239">
            <v>1220000</v>
          </cell>
          <cell r="AD239">
            <v>305000</v>
          </cell>
        </row>
        <row r="240">
          <cell r="AA240">
            <v>1220000</v>
          </cell>
          <cell r="AD240">
            <v>305000</v>
          </cell>
        </row>
        <row r="241">
          <cell r="AA241">
            <v>1220000</v>
          </cell>
          <cell r="AD241">
            <v>305000</v>
          </cell>
        </row>
        <row r="242">
          <cell r="AA242">
            <v>1220000</v>
          </cell>
          <cell r="AD242">
            <v>305000</v>
          </cell>
        </row>
        <row r="243">
          <cell r="AA243">
            <v>1220000</v>
          </cell>
          <cell r="AD243">
            <v>305000</v>
          </cell>
        </row>
        <row r="244">
          <cell r="AA244">
            <v>1220000</v>
          </cell>
          <cell r="AD244">
            <v>305000</v>
          </cell>
        </row>
        <row r="245">
          <cell r="AA245">
            <v>1220000</v>
          </cell>
          <cell r="AD245">
            <v>305000</v>
          </cell>
        </row>
        <row r="246">
          <cell r="AA246">
            <v>1220000</v>
          </cell>
          <cell r="AD246">
            <v>305000</v>
          </cell>
        </row>
        <row r="247">
          <cell r="AA247">
            <v>1220000</v>
          </cell>
          <cell r="AD247">
            <v>305000</v>
          </cell>
        </row>
        <row r="248">
          <cell r="AA248">
            <v>1220000</v>
          </cell>
          <cell r="AD248">
            <v>305000</v>
          </cell>
        </row>
        <row r="249">
          <cell r="AA249">
            <v>1220000</v>
          </cell>
          <cell r="AD249">
            <v>305000</v>
          </cell>
        </row>
        <row r="250">
          <cell r="AA250">
            <v>1220000</v>
          </cell>
          <cell r="AD250">
            <v>305000</v>
          </cell>
        </row>
        <row r="251">
          <cell r="AA251">
            <v>1220000</v>
          </cell>
          <cell r="AD251">
            <v>305000</v>
          </cell>
        </row>
        <row r="252">
          <cell r="AA252">
            <v>1220000</v>
          </cell>
          <cell r="AD252">
            <v>305000</v>
          </cell>
        </row>
        <row r="253">
          <cell r="AA253">
            <v>1220000</v>
          </cell>
          <cell r="AD253">
            <v>305000</v>
          </cell>
        </row>
        <row r="254">
          <cell r="AA254">
            <v>1220000</v>
          </cell>
          <cell r="AD254">
            <v>305000</v>
          </cell>
        </row>
        <row r="255">
          <cell r="AA255">
            <v>1220000</v>
          </cell>
          <cell r="AD255">
            <v>305000</v>
          </cell>
        </row>
        <row r="256">
          <cell r="AA256">
            <v>1220000</v>
          </cell>
          <cell r="AD256">
            <v>305000</v>
          </cell>
        </row>
        <row r="257">
          <cell r="AA257">
            <v>1220000</v>
          </cell>
          <cell r="AD257">
            <v>305000</v>
          </cell>
        </row>
        <row r="258">
          <cell r="AA258">
            <v>1220000</v>
          </cell>
          <cell r="AD258">
            <v>305000</v>
          </cell>
        </row>
        <row r="259">
          <cell r="AA259">
            <v>1220000</v>
          </cell>
          <cell r="AD259">
            <v>305000</v>
          </cell>
        </row>
        <row r="260">
          <cell r="AA260">
            <v>1220000</v>
          </cell>
          <cell r="AD260">
            <v>305000</v>
          </cell>
        </row>
        <row r="261">
          <cell r="AA261">
            <v>1220000</v>
          </cell>
          <cell r="AD261">
            <v>305000</v>
          </cell>
        </row>
        <row r="262">
          <cell r="AA262">
            <v>1220000</v>
          </cell>
          <cell r="AD262">
            <v>305000</v>
          </cell>
        </row>
        <row r="263">
          <cell r="AA263">
            <v>1220000</v>
          </cell>
          <cell r="AD263">
            <v>305000</v>
          </cell>
        </row>
        <row r="264">
          <cell r="AA264">
            <v>1220000</v>
          </cell>
          <cell r="AD264">
            <v>305000</v>
          </cell>
        </row>
        <row r="265">
          <cell r="AA265">
            <v>1220000</v>
          </cell>
          <cell r="AD265">
            <v>305000</v>
          </cell>
        </row>
        <row r="266">
          <cell r="AA266">
            <v>1220000</v>
          </cell>
          <cell r="AD266">
            <v>305000</v>
          </cell>
        </row>
        <row r="267">
          <cell r="AA267">
            <v>1220000</v>
          </cell>
          <cell r="AD267">
            <v>305000</v>
          </cell>
        </row>
        <row r="268">
          <cell r="AA268">
            <v>1220000</v>
          </cell>
          <cell r="AD268">
            <v>305000</v>
          </cell>
        </row>
        <row r="269">
          <cell r="AA269">
            <v>1220000</v>
          </cell>
          <cell r="AD269">
            <v>305000</v>
          </cell>
        </row>
        <row r="270">
          <cell r="AA270">
            <v>1220000</v>
          </cell>
          <cell r="AD270">
            <v>305000</v>
          </cell>
        </row>
        <row r="271">
          <cell r="AA271">
            <v>1220000</v>
          </cell>
          <cell r="AD271">
            <v>305000</v>
          </cell>
        </row>
        <row r="272">
          <cell r="AA272">
            <v>1220000</v>
          </cell>
          <cell r="AD272">
            <v>305000</v>
          </cell>
        </row>
        <row r="273">
          <cell r="AA273">
            <v>1220000</v>
          </cell>
          <cell r="AD273">
            <v>305000</v>
          </cell>
        </row>
        <row r="274">
          <cell r="AA274">
            <v>1220000</v>
          </cell>
          <cell r="AD274">
            <v>305000</v>
          </cell>
        </row>
        <row r="275">
          <cell r="AA275">
            <v>1220000</v>
          </cell>
          <cell r="AD275">
            <v>305000</v>
          </cell>
        </row>
        <row r="276">
          <cell r="AA276">
            <v>1220000</v>
          </cell>
          <cell r="AD276">
            <v>305000</v>
          </cell>
        </row>
        <row r="277">
          <cell r="AA277">
            <v>1220000</v>
          </cell>
          <cell r="AD277">
            <v>305000</v>
          </cell>
        </row>
        <row r="278">
          <cell r="AA278">
            <v>1220000</v>
          </cell>
          <cell r="AD278">
            <v>305000</v>
          </cell>
        </row>
        <row r="279">
          <cell r="AA279">
            <v>1220000</v>
          </cell>
          <cell r="AD279">
            <v>305000</v>
          </cell>
        </row>
        <row r="280">
          <cell r="AA280">
            <v>1220000</v>
          </cell>
          <cell r="AD280">
            <v>305000</v>
          </cell>
        </row>
        <row r="281">
          <cell r="AA281">
            <v>1220000</v>
          </cell>
          <cell r="AD281">
            <v>305000</v>
          </cell>
        </row>
        <row r="282">
          <cell r="AA282">
            <v>1220000</v>
          </cell>
          <cell r="AD282">
            <v>305000</v>
          </cell>
        </row>
        <row r="283">
          <cell r="AA283">
            <v>1220000</v>
          </cell>
          <cell r="AD283">
            <v>305000</v>
          </cell>
        </row>
        <row r="284">
          <cell r="AA284">
            <v>1220000</v>
          </cell>
          <cell r="AD284">
            <v>305000</v>
          </cell>
        </row>
        <row r="285">
          <cell r="AA285">
            <v>1220000</v>
          </cell>
          <cell r="AD285">
            <v>305000</v>
          </cell>
        </row>
        <row r="286">
          <cell r="AA286">
            <v>1220000</v>
          </cell>
          <cell r="AD286">
            <v>305000</v>
          </cell>
        </row>
        <row r="287">
          <cell r="AA287">
            <v>1220000</v>
          </cell>
          <cell r="AD287">
            <v>305000</v>
          </cell>
        </row>
        <row r="288">
          <cell r="AA288">
            <v>1220000</v>
          </cell>
          <cell r="AD288">
            <v>305000</v>
          </cell>
        </row>
        <row r="289">
          <cell r="AA289">
            <v>1220000</v>
          </cell>
          <cell r="AD289">
            <v>305000</v>
          </cell>
        </row>
        <row r="290">
          <cell r="AA290">
            <v>1220000</v>
          </cell>
          <cell r="AD290">
            <v>305000</v>
          </cell>
        </row>
        <row r="291">
          <cell r="AA291">
            <v>1220000</v>
          </cell>
          <cell r="AD291">
            <v>305000</v>
          </cell>
        </row>
        <row r="292">
          <cell r="AA292">
            <v>1220000</v>
          </cell>
          <cell r="AD292">
            <v>305000</v>
          </cell>
        </row>
        <row r="293">
          <cell r="AA293">
            <v>1220000</v>
          </cell>
          <cell r="AD293">
            <v>305000</v>
          </cell>
        </row>
        <row r="294">
          <cell r="AA294">
            <v>1220000</v>
          </cell>
          <cell r="AD294">
            <v>305000</v>
          </cell>
        </row>
        <row r="295">
          <cell r="AA295">
            <v>1220000</v>
          </cell>
          <cell r="AD295">
            <v>305000</v>
          </cell>
        </row>
      </sheetData>
      <sheetData sheetId="6" refreshError="1">
        <row r="152">
          <cell r="N152">
            <v>1326612830.48</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ject Data"/>
      <sheetName val="Income Statement"/>
      <sheetName val="Project Data 03.02.2021"/>
      <sheetName val="Income Statement 03.02.2021"/>
      <sheetName val="Area Tabulation 03.02.21"/>
      <sheetName val="Area Tabulation 04.27.2021"/>
      <sheetName val="Area Tabulation 04.28.2021"/>
      <sheetName val="Project Data 04.28.2021"/>
      <sheetName val="Income Statement 04.28.2021"/>
      <sheetName val="Area Tabulation 05.15.2021"/>
      <sheetName val="Project Data Comparison 05.17"/>
      <sheetName val="Summary 05.17.2021"/>
      <sheetName val="IS Comparison 05.17.2021"/>
      <sheetName val="Area Tabulation 05.28.2021"/>
      <sheetName val="Project Data Comparison 06.18"/>
      <sheetName val="IS Comparison 06.18.2021"/>
      <sheetName val="Summary 06.18.2021"/>
      <sheetName val="Project Data Comparison 7142021"/>
      <sheetName val="IS Comparison 07142021"/>
      <sheetName val="Summary 07.14.2021"/>
      <sheetName val="Cashflow"/>
      <sheetName val="Package Breakdown"/>
      <sheetName val="Updated Package Breakdown"/>
      <sheetName val="Home Loan Calculator"/>
      <sheetName val="Increases"/>
      <sheetName val="Collection Unsold 05.15.2021"/>
      <sheetName val="Commission Unsold 05.15.2021"/>
      <sheetName val="Collection Unsold 05.28.2021"/>
      <sheetName val="Commission Unsold 05.28.2021"/>
      <sheetName val="Area Tabulation 07142021"/>
      <sheetName val="Collection Unsold 07.21.2021"/>
      <sheetName val="Commission Unsold 07.21.2021"/>
      <sheetName val="Construction Estimate"/>
      <sheetName val="Construction Contingency"/>
      <sheetName val="Gantt Chart"/>
      <sheetName val="Marketing Costs"/>
      <sheetName val="Permits Cost"/>
      <sheetName val="Overhead Cost "/>
      <sheetName val="Sales Cost"/>
      <sheetName val="Land Transfer Cost"/>
      <sheetName val="PROJECTIONS"/>
    </sheetNames>
    <sheetDataSet>
      <sheetData sheetId="0"/>
      <sheetData sheetId="1"/>
      <sheetData sheetId="2"/>
      <sheetData sheetId="3"/>
      <sheetData sheetId="4"/>
      <sheetData sheetId="5"/>
      <sheetData sheetId="6">
        <row r="11">
          <cell r="W11">
            <v>55.87</v>
          </cell>
        </row>
      </sheetData>
      <sheetData sheetId="7"/>
      <sheetData sheetId="8"/>
      <sheetData sheetId="9"/>
      <sheetData sheetId="10"/>
      <sheetData sheetId="11"/>
      <sheetData sheetId="12"/>
      <sheetData sheetId="13"/>
      <sheetData sheetId="14"/>
      <sheetData sheetId="15"/>
      <sheetData sheetId="16"/>
      <sheetData sheetId="17">
        <row r="127">
          <cell r="BJ127">
            <v>56.3</v>
          </cell>
        </row>
      </sheetData>
      <sheetData sheetId="18"/>
      <sheetData sheetId="19"/>
      <sheetData sheetId="20"/>
      <sheetData sheetId="21">
        <row r="17">
          <cell r="U17">
            <v>1000000</v>
          </cell>
        </row>
        <row r="27">
          <cell r="F27">
            <v>50000</v>
          </cell>
          <cell r="U27">
            <v>30000</v>
          </cell>
        </row>
      </sheetData>
      <sheetData sheetId="22">
        <row r="9">
          <cell r="L9">
            <v>56.3</v>
          </cell>
        </row>
        <row r="17">
          <cell r="S17">
            <v>1000000</v>
          </cell>
        </row>
      </sheetData>
      <sheetData sheetId="23"/>
      <sheetData sheetId="24"/>
      <sheetData sheetId="25"/>
      <sheetData sheetId="26"/>
      <sheetData sheetId="27"/>
      <sheetData sheetId="28"/>
      <sheetData sheetId="29">
        <row r="11">
          <cell r="P11">
            <v>64.400000000000006</v>
          </cell>
        </row>
      </sheetData>
      <sheetData sheetId="30"/>
      <sheetData sheetId="31"/>
      <sheetData sheetId="32"/>
      <sheetData sheetId="33"/>
      <sheetData sheetId="34"/>
      <sheetData sheetId="35"/>
      <sheetData sheetId="36"/>
      <sheetData sheetId="37"/>
      <sheetData sheetId="38"/>
      <sheetData sheetId="39"/>
      <sheetData sheetId="40"/>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ject Data"/>
      <sheetName val="Income Statement"/>
      <sheetName val="Project Data 03.02.2021"/>
      <sheetName val="Income Statement 03.02.2021"/>
      <sheetName val="Area Tabulation 03.02.21"/>
      <sheetName val="Area Tabulation 04.27.2021"/>
      <sheetName val="Area Tabulation 04.28.2021"/>
      <sheetName val="Project Data 04.28.2021"/>
      <sheetName val="Income Statement 04.28.2021"/>
      <sheetName val="Area Tabulation 05.15.2021"/>
      <sheetName val="Project Data Comparison 05.17"/>
      <sheetName val="Summary 05.17.2021"/>
      <sheetName val="IS Comparison 05.17.2021"/>
      <sheetName val="IS Comparison 06.18.2021"/>
      <sheetName val="Summary 06.18.2021"/>
      <sheetName val="Cashflow"/>
      <sheetName val="Package Breakdown"/>
      <sheetName val="Home Loan Calculator"/>
      <sheetName val="Increases"/>
      <sheetName val="Collection Unsold 05.15.2021"/>
      <sheetName val="Commission Unsold 05.15.2021"/>
      <sheetName val="Collection Unsold 05.28.2021"/>
      <sheetName val="Commission Unsold 05.28.2021"/>
      <sheetName val="Area Tabulation 05.28.2021"/>
      <sheetName val="Casas Area Tabulation 09.18.21"/>
      <sheetName val="Area Tabulation 07.14.2021"/>
      <sheetName val="Casas Area Tabulation 09.20.21"/>
      <sheetName val="Casas S1 09.20.21"/>
      <sheetName val="Priority Selling List"/>
      <sheetName val="Casas Data 10.07.21"/>
      <sheetName val="Casas Area Tabulation 10.07.21"/>
      <sheetName val="Casas Data 10.18.21"/>
      <sheetName val="Casas Area Tabulation 10.18.21"/>
      <sheetName val="Project Data Comparison 101621"/>
      <sheetName val="Project Data Comparison 06.18"/>
      <sheetName val="IS Comparison 08.08"/>
      <sheetName val="IS Comparison 9.18.21- DR1"/>
      <sheetName val="IS Comparison 07142021 - DR2"/>
      <sheetName val="IS Comparison 07142021 - DR (2)"/>
      <sheetName val="Income Statement 10.16.21"/>
      <sheetName val="PS Group Package Breakdown"/>
      <sheetName val="Package Breakdown - Casas"/>
      <sheetName val="Updated Package Breakdown"/>
      <sheetName val="Collection Unsold 10.15.21"/>
      <sheetName val="Commission Unsold 10.15.21"/>
      <sheetName val="New Sales &amp; Take out Projection"/>
      <sheetName val="Sales Forecast"/>
      <sheetName val="WCC Inventory"/>
      <sheetName val="Cashflow 10.15.21"/>
      <sheetName val="Cashflow 09.27.21"/>
      <sheetName val="Collection Unsold 07.21.2021"/>
      <sheetName val="Commission Unsold 07.21.2021"/>
      <sheetName val="Sales &amp; Take out Projections"/>
      <sheetName val="Construction Estimate"/>
      <sheetName val="Construction Estimate 10.16.21"/>
      <sheetName val="Construction Contingency"/>
      <sheetName val="Gantt Chart"/>
      <sheetName val="Construction Contingency 10.16"/>
      <sheetName val="Updated Marketing Costs"/>
      <sheetName val="Marketing Costs"/>
      <sheetName val="Permits Cost"/>
      <sheetName val="Sales Cost"/>
      <sheetName val="Permits Cost Updated"/>
      <sheetName val="WCC Permits Cost - Table"/>
      <sheetName val="Actual Overhead Cost 2021"/>
      <sheetName val="Overhead Cost "/>
      <sheetName val="Revised Overhead Cost"/>
      <sheetName val="Land Transfer Cost"/>
      <sheetName val="Elite Prestige Cost"/>
      <sheetName val="PROJECTION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row r="23">
          <cell r="C23">
            <v>9702660.0000000019</v>
          </cell>
        </row>
        <row r="75">
          <cell r="C75">
            <v>9702660.0000000019</v>
          </cell>
        </row>
        <row r="127">
          <cell r="C127">
            <v>9935466</v>
          </cell>
        </row>
        <row r="179">
          <cell r="C179">
            <v>10174092.15</v>
          </cell>
        </row>
        <row r="231">
          <cell r="C231">
            <v>10418683.953749998</v>
          </cell>
        </row>
        <row r="283">
          <cell r="C283">
            <v>10669390.552593745</v>
          </cell>
        </row>
      </sheetData>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row r="130">
          <cell r="K130">
            <v>33869712.893132813</v>
          </cell>
        </row>
      </sheetData>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ject Data"/>
      <sheetName val="Income Statement"/>
      <sheetName val="Project Data 03.02.2021"/>
      <sheetName val="Income Statement 03.02.2021"/>
      <sheetName val="Area Tabulation 03.02.21"/>
      <sheetName val="Area Tabulation 04.27.2021"/>
      <sheetName val="Area Tabulation 04.28.2021"/>
      <sheetName val="Project Data 04.28.2021"/>
      <sheetName val="Income Statement 04.28.2021"/>
      <sheetName val="Area Tabulation 05.15.2021"/>
      <sheetName val="Project Data Comparison 05.17"/>
      <sheetName val="Summary 05.17.2021"/>
      <sheetName val="IS Comparison 05.17.2021"/>
      <sheetName val="Area Tabulation 05.28.2021"/>
      <sheetName val="Project Data Comparison 06.18"/>
      <sheetName val="IS Comparison 06.18.2021"/>
      <sheetName val="Summary 06.18.2021"/>
      <sheetName val="Cashflow"/>
      <sheetName val="Package Breakdown"/>
      <sheetName val="Home Loan Calculator"/>
      <sheetName val="Increases"/>
      <sheetName val="Collection Unsold 05.15.2021"/>
      <sheetName val="Commission Unsold 05.15.2021"/>
      <sheetName val="Collection Unsold 05.28.2021"/>
      <sheetName val="Commission Unsold 05.28.2021"/>
      <sheetName val="Area Tabulation 07142021"/>
      <sheetName val="Project Data Comparison 7142021"/>
      <sheetName val="IS Comparison 07142021"/>
      <sheetName val="Cashflow 072121"/>
      <sheetName val="PS Group Package Breakdown"/>
      <sheetName val="Updated Package Breakdown"/>
      <sheetName val="Collection Unsold 07.21.2021"/>
      <sheetName val="Commission Unsold 07.21.2021"/>
      <sheetName val="Sales &amp; Take out Projections"/>
      <sheetName val="Construction Estimate"/>
      <sheetName val="Construction Contingency"/>
      <sheetName val="Gantt Chart"/>
      <sheetName val="Marketing Costs"/>
      <sheetName val="Permits Cost"/>
      <sheetName val="Permits Cost Updated"/>
      <sheetName val="WCC Permits Cost - Table"/>
      <sheetName val="Overhead Cost "/>
      <sheetName val="Sales Cost"/>
      <sheetName val="Land Transfer Cost"/>
      <sheetName val="PROJECTIONS"/>
      <sheetName val="Tech Plans Timelin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row r="129">
          <cell r="K129">
            <v>60128396.49712503</v>
          </cell>
        </row>
      </sheetData>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s>
    <sheetDataSet>
      <sheetData sheetId="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pdated Turn over date"/>
      <sheetName val="INTERNAL PRICELIST"/>
      <sheetName val="T1_Pricelist Link"/>
      <sheetName val="FORM"/>
      <sheetName val="STEP UP"/>
      <sheetName val="RA_STEPUP"/>
      <sheetName val="STANDARD COMP."/>
      <sheetName val="RA_Standard"/>
      <sheetName val="SPOT EQUITY_7DAYS"/>
      <sheetName val="RA_SE7D"/>
      <sheetName val="SPOT EQUITY_30DAYS"/>
      <sheetName val="RA_SE30D"/>
      <sheetName val="SPOT CASH_30 DAYS"/>
      <sheetName val="RA_SC30D"/>
      <sheetName val="SPOT CASH_60 DAYS"/>
      <sheetName val="RA_SC60D"/>
      <sheetName val="DEFERRED"/>
      <sheetName val="RA_DEFERRED"/>
      <sheetName val="SPECIAL PACKAGE"/>
      <sheetName val="RA_SPECIAL"/>
      <sheetName val="Docs Req"/>
    </sheetNames>
    <sheetDataSet>
      <sheetData sheetId="0"/>
      <sheetData sheetId="1"/>
      <sheetData sheetId="2"/>
      <sheetData sheetId="3">
        <row r="11">
          <cell r="I11" t="str">
            <v>HARBOUR PARK RESIDENCES</v>
          </cell>
        </row>
        <row r="14">
          <cell r="I14" t="str">
            <v>TOWER 1</v>
          </cell>
        </row>
        <row r="28">
          <cell r="I28">
            <v>0</v>
          </cell>
        </row>
        <row r="30">
          <cell r="I30">
            <v>0</v>
          </cell>
        </row>
      </sheetData>
      <sheetData sheetId="4"/>
      <sheetData sheetId="5"/>
      <sheetData sheetId="6"/>
      <sheetData sheetId="7">
        <row r="95">
          <cell r="A95" t="str">
            <v>Brokerage/Realty</v>
          </cell>
        </row>
      </sheetData>
      <sheetData sheetId="8"/>
      <sheetData sheetId="9"/>
      <sheetData sheetId="10"/>
      <sheetData sheetId="11"/>
      <sheetData sheetId="12"/>
      <sheetData sheetId="13"/>
      <sheetData sheetId="14"/>
      <sheetData sheetId="15"/>
      <sheetData sheetId="16"/>
      <sheetData sheetId="17"/>
      <sheetData sheetId="18"/>
      <sheetData sheetId="19"/>
      <sheetData sheetId="20"/>
    </sheetDataSet>
  </externalBook>
</externalLink>
</file>

<file path=xl/theme/theme1.xml><?xml version="1.0" encoding="utf-8"?>
<a:theme xmlns:a="http://schemas.openxmlformats.org/drawingml/2006/main" name="Office Theme">
  <a:themeElements>
    <a:clrScheme name="Blue Green">
      <a:dk1>
        <a:sysClr val="windowText" lastClr="000000"/>
      </a:dk1>
      <a:lt1>
        <a:sysClr val="window" lastClr="FFFFFF"/>
      </a:lt1>
      <a:dk2>
        <a:srgbClr val="373545"/>
      </a:dk2>
      <a:lt2>
        <a:srgbClr val="CEDBE6"/>
      </a:lt2>
      <a:accent1>
        <a:srgbClr val="3494BA"/>
      </a:accent1>
      <a:accent2>
        <a:srgbClr val="58B6C0"/>
      </a:accent2>
      <a:accent3>
        <a:srgbClr val="75BDA7"/>
      </a:accent3>
      <a:accent4>
        <a:srgbClr val="7A8C8E"/>
      </a:accent4>
      <a:accent5>
        <a:srgbClr val="84ACB6"/>
      </a:accent5>
      <a:accent6>
        <a:srgbClr val="2683C6"/>
      </a:accent6>
      <a:hlink>
        <a:srgbClr val="6B9F25"/>
      </a:hlink>
      <a:folHlink>
        <a:srgbClr val="9F6715"/>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2.vml"/><Relationship Id="rId7" Type="http://schemas.openxmlformats.org/officeDocument/2006/relationships/ctrlProp" Target="../ctrlProps/ctrlProp4.xml"/><Relationship Id="rId2" Type="http://schemas.openxmlformats.org/officeDocument/2006/relationships/drawing" Target="../drawings/drawing3.xml"/><Relationship Id="rId1" Type="http://schemas.openxmlformats.org/officeDocument/2006/relationships/printerSettings" Target="../printerSettings/printerSettings6.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9.xml.rels><?xml version="1.0" encoding="UTF-8" standalone="yes"?>
<Relationships xmlns="http://schemas.openxmlformats.org/package/2006/relationships"><Relationship Id="rId8" Type="http://schemas.openxmlformats.org/officeDocument/2006/relationships/ctrlProp" Target="../ctrlProps/ctrlProp11.xml"/><Relationship Id="rId13" Type="http://schemas.openxmlformats.org/officeDocument/2006/relationships/ctrlProp" Target="../ctrlProps/ctrlProp16.xml"/><Relationship Id="rId18" Type="http://schemas.openxmlformats.org/officeDocument/2006/relationships/ctrlProp" Target="../ctrlProps/ctrlProp21.xml"/><Relationship Id="rId3" Type="http://schemas.openxmlformats.org/officeDocument/2006/relationships/vmlDrawing" Target="../drawings/vmlDrawing3.vml"/><Relationship Id="rId21" Type="http://schemas.openxmlformats.org/officeDocument/2006/relationships/ctrlProp" Target="../ctrlProps/ctrlProp24.xml"/><Relationship Id="rId7" Type="http://schemas.openxmlformats.org/officeDocument/2006/relationships/ctrlProp" Target="../ctrlProps/ctrlProp10.xml"/><Relationship Id="rId12" Type="http://schemas.openxmlformats.org/officeDocument/2006/relationships/ctrlProp" Target="../ctrlProps/ctrlProp15.xml"/><Relationship Id="rId17" Type="http://schemas.openxmlformats.org/officeDocument/2006/relationships/ctrlProp" Target="../ctrlProps/ctrlProp20.xml"/><Relationship Id="rId2" Type="http://schemas.openxmlformats.org/officeDocument/2006/relationships/drawing" Target="../drawings/drawing4.xml"/><Relationship Id="rId16" Type="http://schemas.openxmlformats.org/officeDocument/2006/relationships/ctrlProp" Target="../ctrlProps/ctrlProp19.xml"/><Relationship Id="rId20" Type="http://schemas.openxmlformats.org/officeDocument/2006/relationships/ctrlProp" Target="../ctrlProps/ctrlProp23.xml"/><Relationship Id="rId1" Type="http://schemas.openxmlformats.org/officeDocument/2006/relationships/printerSettings" Target="../printerSettings/printerSettings7.bin"/><Relationship Id="rId6" Type="http://schemas.openxmlformats.org/officeDocument/2006/relationships/ctrlProp" Target="../ctrlProps/ctrlProp9.xml"/><Relationship Id="rId11" Type="http://schemas.openxmlformats.org/officeDocument/2006/relationships/ctrlProp" Target="../ctrlProps/ctrlProp14.xml"/><Relationship Id="rId5" Type="http://schemas.openxmlformats.org/officeDocument/2006/relationships/ctrlProp" Target="../ctrlProps/ctrlProp8.xml"/><Relationship Id="rId15" Type="http://schemas.openxmlformats.org/officeDocument/2006/relationships/ctrlProp" Target="../ctrlProps/ctrlProp18.xml"/><Relationship Id="rId10" Type="http://schemas.openxmlformats.org/officeDocument/2006/relationships/ctrlProp" Target="../ctrlProps/ctrlProp13.xml"/><Relationship Id="rId19" Type="http://schemas.openxmlformats.org/officeDocument/2006/relationships/ctrlProp" Target="../ctrlProps/ctrlProp22.xml"/><Relationship Id="rId4" Type="http://schemas.openxmlformats.org/officeDocument/2006/relationships/ctrlProp" Target="../ctrlProps/ctrlProp7.xml"/><Relationship Id="rId9" Type="http://schemas.openxmlformats.org/officeDocument/2006/relationships/ctrlProp" Target="../ctrlProps/ctrlProp12.xml"/><Relationship Id="rId14" Type="http://schemas.openxmlformats.org/officeDocument/2006/relationships/ctrlProp" Target="../ctrlProps/ctrlProp17.xml"/><Relationship Id="rId22" Type="http://schemas.openxmlformats.org/officeDocument/2006/relationships/ctrlProp" Target="../ctrlProps/ctrlProp25.xml"/></Relationships>
</file>

<file path=xl/worksheets/_rels/sheet10.xml.rels><?xml version="1.0" encoding="UTF-8" standalone="yes"?>
<Relationships xmlns="http://schemas.openxmlformats.org/package/2006/relationships"><Relationship Id="rId8" Type="http://schemas.openxmlformats.org/officeDocument/2006/relationships/ctrlProp" Target="../ctrlProps/ctrlProp30.xml"/><Relationship Id="rId3" Type="http://schemas.openxmlformats.org/officeDocument/2006/relationships/vmlDrawing" Target="../drawings/vmlDrawing4.vml"/><Relationship Id="rId7" Type="http://schemas.openxmlformats.org/officeDocument/2006/relationships/ctrlProp" Target="../ctrlProps/ctrlProp29.xml"/><Relationship Id="rId2" Type="http://schemas.openxmlformats.org/officeDocument/2006/relationships/drawing" Target="../drawings/drawing5.xml"/><Relationship Id="rId1" Type="http://schemas.openxmlformats.org/officeDocument/2006/relationships/printerSettings" Target="../printerSettings/printerSettings8.bin"/><Relationship Id="rId6" Type="http://schemas.openxmlformats.org/officeDocument/2006/relationships/ctrlProp" Target="../ctrlProps/ctrlProp28.xml"/><Relationship Id="rId5" Type="http://schemas.openxmlformats.org/officeDocument/2006/relationships/ctrlProp" Target="../ctrlProps/ctrlProp27.xml"/><Relationship Id="rId4" Type="http://schemas.openxmlformats.org/officeDocument/2006/relationships/ctrlProp" Target="../ctrlProps/ctrlProp26.xml"/><Relationship Id="rId9" Type="http://schemas.openxmlformats.org/officeDocument/2006/relationships/ctrlProp" Target="../ctrlProps/ctrlProp31.xml"/></Relationships>
</file>

<file path=xl/worksheets/_rels/sheet11.xml.rels><?xml version="1.0" encoding="UTF-8" standalone="yes"?>
<Relationships xmlns="http://schemas.openxmlformats.org/package/2006/relationships"><Relationship Id="rId8" Type="http://schemas.openxmlformats.org/officeDocument/2006/relationships/ctrlProp" Target="../ctrlProps/ctrlProp36.xml"/><Relationship Id="rId3" Type="http://schemas.openxmlformats.org/officeDocument/2006/relationships/vmlDrawing" Target="../drawings/vmlDrawing5.vml"/><Relationship Id="rId7" Type="http://schemas.openxmlformats.org/officeDocument/2006/relationships/ctrlProp" Target="../ctrlProps/ctrlProp35.xml"/><Relationship Id="rId2" Type="http://schemas.openxmlformats.org/officeDocument/2006/relationships/drawing" Target="../drawings/drawing6.xml"/><Relationship Id="rId1" Type="http://schemas.openxmlformats.org/officeDocument/2006/relationships/printerSettings" Target="../printerSettings/printerSettings9.bin"/><Relationship Id="rId6" Type="http://schemas.openxmlformats.org/officeDocument/2006/relationships/ctrlProp" Target="../ctrlProps/ctrlProp34.xml"/><Relationship Id="rId5" Type="http://schemas.openxmlformats.org/officeDocument/2006/relationships/ctrlProp" Target="../ctrlProps/ctrlProp33.xml"/><Relationship Id="rId4" Type="http://schemas.openxmlformats.org/officeDocument/2006/relationships/ctrlProp" Target="../ctrlProps/ctrlProp32.xml"/><Relationship Id="rId9" Type="http://schemas.openxmlformats.org/officeDocument/2006/relationships/ctrlProp" Target="../ctrlProps/ctrlProp37.xml"/></Relationships>
</file>

<file path=xl/worksheets/_rels/sheet12.xml.rels><?xml version="1.0" encoding="UTF-8" standalone="yes"?>
<Relationships xmlns="http://schemas.openxmlformats.org/package/2006/relationships"><Relationship Id="rId8" Type="http://schemas.openxmlformats.org/officeDocument/2006/relationships/ctrlProp" Target="../ctrlProps/ctrlProp42.xml"/><Relationship Id="rId13" Type="http://schemas.openxmlformats.org/officeDocument/2006/relationships/ctrlProp" Target="../ctrlProps/ctrlProp47.xml"/><Relationship Id="rId18" Type="http://schemas.openxmlformats.org/officeDocument/2006/relationships/ctrlProp" Target="../ctrlProps/ctrlProp52.xml"/><Relationship Id="rId3" Type="http://schemas.openxmlformats.org/officeDocument/2006/relationships/vmlDrawing" Target="../drawings/vmlDrawing6.vml"/><Relationship Id="rId21" Type="http://schemas.openxmlformats.org/officeDocument/2006/relationships/ctrlProp" Target="../ctrlProps/ctrlProp55.xml"/><Relationship Id="rId7" Type="http://schemas.openxmlformats.org/officeDocument/2006/relationships/ctrlProp" Target="../ctrlProps/ctrlProp41.xml"/><Relationship Id="rId12" Type="http://schemas.openxmlformats.org/officeDocument/2006/relationships/ctrlProp" Target="../ctrlProps/ctrlProp46.xml"/><Relationship Id="rId17" Type="http://schemas.openxmlformats.org/officeDocument/2006/relationships/ctrlProp" Target="../ctrlProps/ctrlProp51.xml"/><Relationship Id="rId2" Type="http://schemas.openxmlformats.org/officeDocument/2006/relationships/drawing" Target="../drawings/drawing7.xml"/><Relationship Id="rId16" Type="http://schemas.openxmlformats.org/officeDocument/2006/relationships/ctrlProp" Target="../ctrlProps/ctrlProp50.xml"/><Relationship Id="rId20" Type="http://schemas.openxmlformats.org/officeDocument/2006/relationships/ctrlProp" Target="../ctrlProps/ctrlProp54.xml"/><Relationship Id="rId1" Type="http://schemas.openxmlformats.org/officeDocument/2006/relationships/printerSettings" Target="../printerSettings/printerSettings10.bin"/><Relationship Id="rId6" Type="http://schemas.openxmlformats.org/officeDocument/2006/relationships/ctrlProp" Target="../ctrlProps/ctrlProp40.xml"/><Relationship Id="rId11" Type="http://schemas.openxmlformats.org/officeDocument/2006/relationships/ctrlProp" Target="../ctrlProps/ctrlProp45.xml"/><Relationship Id="rId5" Type="http://schemas.openxmlformats.org/officeDocument/2006/relationships/ctrlProp" Target="../ctrlProps/ctrlProp39.xml"/><Relationship Id="rId15" Type="http://schemas.openxmlformats.org/officeDocument/2006/relationships/ctrlProp" Target="../ctrlProps/ctrlProp49.xml"/><Relationship Id="rId10" Type="http://schemas.openxmlformats.org/officeDocument/2006/relationships/ctrlProp" Target="../ctrlProps/ctrlProp44.xml"/><Relationship Id="rId19" Type="http://schemas.openxmlformats.org/officeDocument/2006/relationships/ctrlProp" Target="../ctrlProps/ctrlProp53.xml"/><Relationship Id="rId4" Type="http://schemas.openxmlformats.org/officeDocument/2006/relationships/ctrlProp" Target="../ctrlProps/ctrlProp38.xml"/><Relationship Id="rId9" Type="http://schemas.openxmlformats.org/officeDocument/2006/relationships/ctrlProp" Target="../ctrlProps/ctrlProp43.xml"/><Relationship Id="rId14" Type="http://schemas.openxmlformats.org/officeDocument/2006/relationships/ctrlProp" Target="../ctrlProps/ctrlProp48.xml"/><Relationship Id="rId22" Type="http://schemas.openxmlformats.org/officeDocument/2006/relationships/ctrlProp" Target="../ctrlProps/ctrlProp56.xm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8" Type="http://schemas.openxmlformats.org/officeDocument/2006/relationships/ctrlProp" Target="../ctrlProps/ctrlProp61.xml"/><Relationship Id="rId3" Type="http://schemas.openxmlformats.org/officeDocument/2006/relationships/vmlDrawing" Target="../drawings/vmlDrawing7.vml"/><Relationship Id="rId7" Type="http://schemas.openxmlformats.org/officeDocument/2006/relationships/ctrlProp" Target="../ctrlProps/ctrlProp60.xml"/><Relationship Id="rId2" Type="http://schemas.openxmlformats.org/officeDocument/2006/relationships/drawing" Target="../drawings/drawing8.xml"/><Relationship Id="rId1" Type="http://schemas.openxmlformats.org/officeDocument/2006/relationships/printerSettings" Target="../printerSettings/printerSettings12.bin"/><Relationship Id="rId6" Type="http://schemas.openxmlformats.org/officeDocument/2006/relationships/ctrlProp" Target="../ctrlProps/ctrlProp59.xml"/><Relationship Id="rId5" Type="http://schemas.openxmlformats.org/officeDocument/2006/relationships/ctrlProp" Target="../ctrlProps/ctrlProp58.xml"/><Relationship Id="rId4" Type="http://schemas.openxmlformats.org/officeDocument/2006/relationships/ctrlProp" Target="../ctrlProps/ctrlProp57.xml"/><Relationship Id="rId9" Type="http://schemas.openxmlformats.org/officeDocument/2006/relationships/ctrlProp" Target="../ctrlProps/ctrlProp62.xml"/></Relationships>
</file>

<file path=xl/worksheets/_rels/sheet15.xml.rels><?xml version="1.0" encoding="UTF-8" standalone="yes"?>
<Relationships xmlns="http://schemas.openxmlformats.org/package/2006/relationships"><Relationship Id="rId8" Type="http://schemas.openxmlformats.org/officeDocument/2006/relationships/ctrlProp" Target="../ctrlProps/ctrlProp67.xml"/><Relationship Id="rId13" Type="http://schemas.openxmlformats.org/officeDocument/2006/relationships/ctrlProp" Target="../ctrlProps/ctrlProp72.xml"/><Relationship Id="rId18" Type="http://schemas.openxmlformats.org/officeDocument/2006/relationships/ctrlProp" Target="../ctrlProps/ctrlProp77.xml"/><Relationship Id="rId3" Type="http://schemas.openxmlformats.org/officeDocument/2006/relationships/vmlDrawing" Target="../drawings/vmlDrawing8.vml"/><Relationship Id="rId21" Type="http://schemas.openxmlformats.org/officeDocument/2006/relationships/ctrlProp" Target="../ctrlProps/ctrlProp80.xml"/><Relationship Id="rId7" Type="http://schemas.openxmlformats.org/officeDocument/2006/relationships/ctrlProp" Target="../ctrlProps/ctrlProp66.xml"/><Relationship Id="rId12" Type="http://schemas.openxmlformats.org/officeDocument/2006/relationships/ctrlProp" Target="../ctrlProps/ctrlProp71.xml"/><Relationship Id="rId17" Type="http://schemas.openxmlformats.org/officeDocument/2006/relationships/ctrlProp" Target="../ctrlProps/ctrlProp76.xml"/><Relationship Id="rId2" Type="http://schemas.openxmlformats.org/officeDocument/2006/relationships/drawing" Target="../drawings/drawing9.xml"/><Relationship Id="rId16" Type="http://schemas.openxmlformats.org/officeDocument/2006/relationships/ctrlProp" Target="../ctrlProps/ctrlProp75.xml"/><Relationship Id="rId20" Type="http://schemas.openxmlformats.org/officeDocument/2006/relationships/ctrlProp" Target="../ctrlProps/ctrlProp79.xml"/><Relationship Id="rId1" Type="http://schemas.openxmlformats.org/officeDocument/2006/relationships/printerSettings" Target="../printerSettings/printerSettings13.bin"/><Relationship Id="rId6" Type="http://schemas.openxmlformats.org/officeDocument/2006/relationships/ctrlProp" Target="../ctrlProps/ctrlProp65.xml"/><Relationship Id="rId11" Type="http://schemas.openxmlformats.org/officeDocument/2006/relationships/ctrlProp" Target="../ctrlProps/ctrlProp70.xml"/><Relationship Id="rId5" Type="http://schemas.openxmlformats.org/officeDocument/2006/relationships/ctrlProp" Target="../ctrlProps/ctrlProp64.xml"/><Relationship Id="rId15" Type="http://schemas.openxmlformats.org/officeDocument/2006/relationships/ctrlProp" Target="../ctrlProps/ctrlProp74.xml"/><Relationship Id="rId10" Type="http://schemas.openxmlformats.org/officeDocument/2006/relationships/ctrlProp" Target="../ctrlProps/ctrlProp69.xml"/><Relationship Id="rId19" Type="http://schemas.openxmlformats.org/officeDocument/2006/relationships/ctrlProp" Target="../ctrlProps/ctrlProp78.xml"/><Relationship Id="rId4" Type="http://schemas.openxmlformats.org/officeDocument/2006/relationships/ctrlProp" Target="../ctrlProps/ctrlProp63.xml"/><Relationship Id="rId9" Type="http://schemas.openxmlformats.org/officeDocument/2006/relationships/ctrlProp" Target="../ctrlProps/ctrlProp68.xml"/><Relationship Id="rId14" Type="http://schemas.openxmlformats.org/officeDocument/2006/relationships/ctrlProp" Target="../ctrlProps/ctrlProp73.xml"/><Relationship Id="rId22" Type="http://schemas.openxmlformats.org/officeDocument/2006/relationships/ctrlProp" Target="../ctrlProps/ctrlProp81.xml"/></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8" Type="http://schemas.openxmlformats.org/officeDocument/2006/relationships/ctrlProp" Target="../ctrlProps/ctrlProp86.xml"/><Relationship Id="rId3" Type="http://schemas.openxmlformats.org/officeDocument/2006/relationships/vmlDrawing" Target="../drawings/vmlDrawing9.vml"/><Relationship Id="rId7" Type="http://schemas.openxmlformats.org/officeDocument/2006/relationships/ctrlProp" Target="../ctrlProps/ctrlProp85.xml"/><Relationship Id="rId2" Type="http://schemas.openxmlformats.org/officeDocument/2006/relationships/drawing" Target="../drawings/drawing10.xml"/><Relationship Id="rId1" Type="http://schemas.openxmlformats.org/officeDocument/2006/relationships/printerSettings" Target="../printerSettings/printerSettings15.bin"/><Relationship Id="rId6" Type="http://schemas.openxmlformats.org/officeDocument/2006/relationships/ctrlProp" Target="../ctrlProps/ctrlProp84.xml"/><Relationship Id="rId5" Type="http://schemas.openxmlformats.org/officeDocument/2006/relationships/ctrlProp" Target="../ctrlProps/ctrlProp83.xml"/><Relationship Id="rId4" Type="http://schemas.openxmlformats.org/officeDocument/2006/relationships/ctrlProp" Target="../ctrlProps/ctrlProp82.xml"/><Relationship Id="rId9" Type="http://schemas.openxmlformats.org/officeDocument/2006/relationships/ctrlProp" Target="../ctrlProps/ctrlProp87.xml"/></Relationships>
</file>

<file path=xl/worksheets/_rels/sheet18.xml.rels><?xml version="1.0" encoding="UTF-8" standalone="yes"?>
<Relationships xmlns="http://schemas.openxmlformats.org/package/2006/relationships"><Relationship Id="rId8" Type="http://schemas.openxmlformats.org/officeDocument/2006/relationships/ctrlProp" Target="../ctrlProps/ctrlProp92.xml"/><Relationship Id="rId13" Type="http://schemas.openxmlformats.org/officeDocument/2006/relationships/ctrlProp" Target="../ctrlProps/ctrlProp97.xml"/><Relationship Id="rId18" Type="http://schemas.openxmlformats.org/officeDocument/2006/relationships/ctrlProp" Target="../ctrlProps/ctrlProp102.xml"/><Relationship Id="rId3" Type="http://schemas.openxmlformats.org/officeDocument/2006/relationships/vmlDrawing" Target="../drawings/vmlDrawing10.vml"/><Relationship Id="rId21" Type="http://schemas.openxmlformats.org/officeDocument/2006/relationships/ctrlProp" Target="../ctrlProps/ctrlProp105.xml"/><Relationship Id="rId7" Type="http://schemas.openxmlformats.org/officeDocument/2006/relationships/ctrlProp" Target="../ctrlProps/ctrlProp91.xml"/><Relationship Id="rId12" Type="http://schemas.openxmlformats.org/officeDocument/2006/relationships/ctrlProp" Target="../ctrlProps/ctrlProp96.xml"/><Relationship Id="rId17" Type="http://schemas.openxmlformats.org/officeDocument/2006/relationships/ctrlProp" Target="../ctrlProps/ctrlProp101.xml"/><Relationship Id="rId2" Type="http://schemas.openxmlformats.org/officeDocument/2006/relationships/drawing" Target="../drawings/drawing11.xml"/><Relationship Id="rId16" Type="http://schemas.openxmlformats.org/officeDocument/2006/relationships/ctrlProp" Target="../ctrlProps/ctrlProp100.xml"/><Relationship Id="rId20" Type="http://schemas.openxmlformats.org/officeDocument/2006/relationships/ctrlProp" Target="../ctrlProps/ctrlProp104.xml"/><Relationship Id="rId1" Type="http://schemas.openxmlformats.org/officeDocument/2006/relationships/printerSettings" Target="../printerSettings/printerSettings16.bin"/><Relationship Id="rId6" Type="http://schemas.openxmlformats.org/officeDocument/2006/relationships/ctrlProp" Target="../ctrlProps/ctrlProp90.xml"/><Relationship Id="rId11" Type="http://schemas.openxmlformats.org/officeDocument/2006/relationships/ctrlProp" Target="../ctrlProps/ctrlProp95.xml"/><Relationship Id="rId5" Type="http://schemas.openxmlformats.org/officeDocument/2006/relationships/ctrlProp" Target="../ctrlProps/ctrlProp89.xml"/><Relationship Id="rId15" Type="http://schemas.openxmlformats.org/officeDocument/2006/relationships/ctrlProp" Target="../ctrlProps/ctrlProp99.xml"/><Relationship Id="rId10" Type="http://schemas.openxmlformats.org/officeDocument/2006/relationships/ctrlProp" Target="../ctrlProps/ctrlProp94.xml"/><Relationship Id="rId19" Type="http://schemas.openxmlformats.org/officeDocument/2006/relationships/ctrlProp" Target="../ctrlProps/ctrlProp103.xml"/><Relationship Id="rId4" Type="http://schemas.openxmlformats.org/officeDocument/2006/relationships/ctrlProp" Target="../ctrlProps/ctrlProp88.xml"/><Relationship Id="rId9" Type="http://schemas.openxmlformats.org/officeDocument/2006/relationships/ctrlProp" Target="../ctrlProps/ctrlProp93.xml"/><Relationship Id="rId14" Type="http://schemas.openxmlformats.org/officeDocument/2006/relationships/ctrlProp" Target="../ctrlProps/ctrlProp98.xml"/><Relationship Id="rId22" Type="http://schemas.openxmlformats.org/officeDocument/2006/relationships/ctrlProp" Target="../ctrlProps/ctrlProp106.xml"/></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1.xml.rels><?xml version="1.0" encoding="UTF-8" standalone="yes"?>
<Relationships xmlns="http://schemas.openxmlformats.org/package/2006/relationships"><Relationship Id="rId8" Type="http://schemas.openxmlformats.org/officeDocument/2006/relationships/ctrlProp" Target="../ctrlProps/ctrlProp111.xml"/><Relationship Id="rId3" Type="http://schemas.openxmlformats.org/officeDocument/2006/relationships/vmlDrawing" Target="../drawings/vmlDrawing11.vml"/><Relationship Id="rId7" Type="http://schemas.openxmlformats.org/officeDocument/2006/relationships/ctrlProp" Target="../ctrlProps/ctrlProp110.xml"/><Relationship Id="rId2" Type="http://schemas.openxmlformats.org/officeDocument/2006/relationships/drawing" Target="../drawings/drawing12.xml"/><Relationship Id="rId1" Type="http://schemas.openxmlformats.org/officeDocument/2006/relationships/printerSettings" Target="../printerSettings/printerSettings19.bin"/><Relationship Id="rId6" Type="http://schemas.openxmlformats.org/officeDocument/2006/relationships/ctrlProp" Target="../ctrlProps/ctrlProp109.xml"/><Relationship Id="rId5" Type="http://schemas.openxmlformats.org/officeDocument/2006/relationships/ctrlProp" Target="../ctrlProps/ctrlProp108.xml"/><Relationship Id="rId4" Type="http://schemas.openxmlformats.org/officeDocument/2006/relationships/ctrlProp" Target="../ctrlProps/ctrlProp107.xml"/><Relationship Id="rId9" Type="http://schemas.openxmlformats.org/officeDocument/2006/relationships/ctrlProp" Target="../ctrlProps/ctrlProp112.xml"/></Relationships>
</file>

<file path=xl/worksheets/_rels/sheet22.xml.rels><?xml version="1.0" encoding="UTF-8" standalone="yes"?>
<Relationships xmlns="http://schemas.openxmlformats.org/package/2006/relationships"><Relationship Id="rId8" Type="http://schemas.openxmlformats.org/officeDocument/2006/relationships/ctrlProp" Target="../ctrlProps/ctrlProp117.xml"/><Relationship Id="rId13" Type="http://schemas.openxmlformats.org/officeDocument/2006/relationships/ctrlProp" Target="../ctrlProps/ctrlProp122.xml"/><Relationship Id="rId18" Type="http://schemas.openxmlformats.org/officeDocument/2006/relationships/ctrlProp" Target="../ctrlProps/ctrlProp127.xml"/><Relationship Id="rId3" Type="http://schemas.openxmlformats.org/officeDocument/2006/relationships/vmlDrawing" Target="../drawings/vmlDrawing12.vml"/><Relationship Id="rId21" Type="http://schemas.openxmlformats.org/officeDocument/2006/relationships/ctrlProp" Target="../ctrlProps/ctrlProp130.xml"/><Relationship Id="rId7" Type="http://schemas.openxmlformats.org/officeDocument/2006/relationships/ctrlProp" Target="../ctrlProps/ctrlProp116.xml"/><Relationship Id="rId12" Type="http://schemas.openxmlformats.org/officeDocument/2006/relationships/ctrlProp" Target="../ctrlProps/ctrlProp121.xml"/><Relationship Id="rId17" Type="http://schemas.openxmlformats.org/officeDocument/2006/relationships/ctrlProp" Target="../ctrlProps/ctrlProp126.xml"/><Relationship Id="rId2" Type="http://schemas.openxmlformats.org/officeDocument/2006/relationships/drawing" Target="../drawings/drawing13.xml"/><Relationship Id="rId16" Type="http://schemas.openxmlformats.org/officeDocument/2006/relationships/ctrlProp" Target="../ctrlProps/ctrlProp125.xml"/><Relationship Id="rId20" Type="http://schemas.openxmlformats.org/officeDocument/2006/relationships/ctrlProp" Target="../ctrlProps/ctrlProp129.xml"/><Relationship Id="rId1" Type="http://schemas.openxmlformats.org/officeDocument/2006/relationships/printerSettings" Target="../printerSettings/printerSettings20.bin"/><Relationship Id="rId6" Type="http://schemas.openxmlformats.org/officeDocument/2006/relationships/ctrlProp" Target="../ctrlProps/ctrlProp115.xml"/><Relationship Id="rId11" Type="http://schemas.openxmlformats.org/officeDocument/2006/relationships/ctrlProp" Target="../ctrlProps/ctrlProp120.xml"/><Relationship Id="rId5" Type="http://schemas.openxmlformats.org/officeDocument/2006/relationships/ctrlProp" Target="../ctrlProps/ctrlProp114.xml"/><Relationship Id="rId15" Type="http://schemas.openxmlformats.org/officeDocument/2006/relationships/ctrlProp" Target="../ctrlProps/ctrlProp124.xml"/><Relationship Id="rId10" Type="http://schemas.openxmlformats.org/officeDocument/2006/relationships/ctrlProp" Target="../ctrlProps/ctrlProp119.xml"/><Relationship Id="rId19" Type="http://schemas.openxmlformats.org/officeDocument/2006/relationships/ctrlProp" Target="../ctrlProps/ctrlProp128.xml"/><Relationship Id="rId4" Type="http://schemas.openxmlformats.org/officeDocument/2006/relationships/ctrlProp" Target="../ctrlProps/ctrlProp113.xml"/><Relationship Id="rId9" Type="http://schemas.openxmlformats.org/officeDocument/2006/relationships/ctrlProp" Target="../ctrlProps/ctrlProp118.xml"/><Relationship Id="rId14" Type="http://schemas.openxmlformats.org/officeDocument/2006/relationships/ctrlProp" Target="../ctrlProps/ctrlProp123.xml"/><Relationship Id="rId22" Type="http://schemas.openxmlformats.org/officeDocument/2006/relationships/ctrlProp" Target="../ctrlProps/ctrlProp131.xml"/></Relationships>
</file>

<file path=xl/worksheets/_rels/sheet23.xml.rels><?xml version="1.0" encoding="UTF-8" standalone="yes"?>
<Relationships xmlns="http://schemas.openxmlformats.org/package/2006/relationships"><Relationship Id="rId8" Type="http://schemas.openxmlformats.org/officeDocument/2006/relationships/ctrlProp" Target="../ctrlProps/ctrlProp136.xml"/><Relationship Id="rId3" Type="http://schemas.openxmlformats.org/officeDocument/2006/relationships/vmlDrawing" Target="../drawings/vmlDrawing13.vml"/><Relationship Id="rId7" Type="http://schemas.openxmlformats.org/officeDocument/2006/relationships/ctrlProp" Target="../ctrlProps/ctrlProp135.xml"/><Relationship Id="rId2" Type="http://schemas.openxmlformats.org/officeDocument/2006/relationships/drawing" Target="../drawings/drawing14.xml"/><Relationship Id="rId1" Type="http://schemas.openxmlformats.org/officeDocument/2006/relationships/printerSettings" Target="../printerSettings/printerSettings21.bin"/><Relationship Id="rId6" Type="http://schemas.openxmlformats.org/officeDocument/2006/relationships/ctrlProp" Target="../ctrlProps/ctrlProp134.xml"/><Relationship Id="rId5" Type="http://schemas.openxmlformats.org/officeDocument/2006/relationships/ctrlProp" Target="../ctrlProps/ctrlProp133.xml"/><Relationship Id="rId4" Type="http://schemas.openxmlformats.org/officeDocument/2006/relationships/ctrlProp" Target="../ctrlProps/ctrlProp132.xml"/><Relationship Id="rId9" Type="http://schemas.openxmlformats.org/officeDocument/2006/relationships/ctrlProp" Target="../ctrlProps/ctrlProp137.xml"/></Relationships>
</file>

<file path=xl/worksheets/_rels/sheet24.xml.rels><?xml version="1.0" encoding="UTF-8" standalone="yes"?>
<Relationships xmlns="http://schemas.openxmlformats.org/package/2006/relationships"><Relationship Id="rId8" Type="http://schemas.openxmlformats.org/officeDocument/2006/relationships/ctrlProp" Target="../ctrlProps/ctrlProp142.xml"/><Relationship Id="rId13" Type="http://schemas.openxmlformats.org/officeDocument/2006/relationships/ctrlProp" Target="../ctrlProps/ctrlProp147.xml"/><Relationship Id="rId18" Type="http://schemas.openxmlformats.org/officeDocument/2006/relationships/ctrlProp" Target="../ctrlProps/ctrlProp152.xml"/><Relationship Id="rId3" Type="http://schemas.openxmlformats.org/officeDocument/2006/relationships/vmlDrawing" Target="../drawings/vmlDrawing14.vml"/><Relationship Id="rId21" Type="http://schemas.openxmlformats.org/officeDocument/2006/relationships/ctrlProp" Target="../ctrlProps/ctrlProp155.xml"/><Relationship Id="rId7" Type="http://schemas.openxmlformats.org/officeDocument/2006/relationships/ctrlProp" Target="../ctrlProps/ctrlProp141.xml"/><Relationship Id="rId12" Type="http://schemas.openxmlformats.org/officeDocument/2006/relationships/ctrlProp" Target="../ctrlProps/ctrlProp146.xml"/><Relationship Id="rId17" Type="http://schemas.openxmlformats.org/officeDocument/2006/relationships/ctrlProp" Target="../ctrlProps/ctrlProp151.xml"/><Relationship Id="rId2" Type="http://schemas.openxmlformats.org/officeDocument/2006/relationships/drawing" Target="../drawings/drawing15.xml"/><Relationship Id="rId16" Type="http://schemas.openxmlformats.org/officeDocument/2006/relationships/ctrlProp" Target="../ctrlProps/ctrlProp150.xml"/><Relationship Id="rId20" Type="http://schemas.openxmlformats.org/officeDocument/2006/relationships/ctrlProp" Target="../ctrlProps/ctrlProp154.xml"/><Relationship Id="rId1" Type="http://schemas.openxmlformats.org/officeDocument/2006/relationships/printerSettings" Target="../printerSettings/printerSettings22.bin"/><Relationship Id="rId6" Type="http://schemas.openxmlformats.org/officeDocument/2006/relationships/ctrlProp" Target="../ctrlProps/ctrlProp140.xml"/><Relationship Id="rId11" Type="http://schemas.openxmlformats.org/officeDocument/2006/relationships/ctrlProp" Target="../ctrlProps/ctrlProp145.xml"/><Relationship Id="rId5" Type="http://schemas.openxmlformats.org/officeDocument/2006/relationships/ctrlProp" Target="../ctrlProps/ctrlProp139.xml"/><Relationship Id="rId15" Type="http://schemas.openxmlformats.org/officeDocument/2006/relationships/ctrlProp" Target="../ctrlProps/ctrlProp149.xml"/><Relationship Id="rId10" Type="http://schemas.openxmlformats.org/officeDocument/2006/relationships/ctrlProp" Target="../ctrlProps/ctrlProp144.xml"/><Relationship Id="rId19" Type="http://schemas.openxmlformats.org/officeDocument/2006/relationships/ctrlProp" Target="../ctrlProps/ctrlProp153.xml"/><Relationship Id="rId4" Type="http://schemas.openxmlformats.org/officeDocument/2006/relationships/ctrlProp" Target="../ctrlProps/ctrlProp138.xml"/><Relationship Id="rId9" Type="http://schemas.openxmlformats.org/officeDocument/2006/relationships/ctrlProp" Target="../ctrlProps/ctrlProp143.xml"/><Relationship Id="rId14" Type="http://schemas.openxmlformats.org/officeDocument/2006/relationships/ctrlProp" Target="../ctrlProps/ctrlProp148.xml"/><Relationship Id="rId22" Type="http://schemas.openxmlformats.org/officeDocument/2006/relationships/ctrlProp" Target="../ctrlProps/ctrlProp156.xml"/></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6.xml.rels><?xml version="1.0" encoding="UTF-8" standalone="yes"?>
<Relationships xmlns="http://schemas.openxmlformats.org/package/2006/relationships"><Relationship Id="rId8" Type="http://schemas.openxmlformats.org/officeDocument/2006/relationships/ctrlProp" Target="../ctrlProps/ctrlProp161.xml"/><Relationship Id="rId3" Type="http://schemas.openxmlformats.org/officeDocument/2006/relationships/vmlDrawing" Target="../drawings/vmlDrawing15.vml"/><Relationship Id="rId7" Type="http://schemas.openxmlformats.org/officeDocument/2006/relationships/ctrlProp" Target="../ctrlProps/ctrlProp160.xml"/><Relationship Id="rId2" Type="http://schemas.openxmlformats.org/officeDocument/2006/relationships/drawing" Target="../drawings/drawing16.xml"/><Relationship Id="rId1" Type="http://schemas.openxmlformats.org/officeDocument/2006/relationships/printerSettings" Target="../printerSettings/printerSettings24.bin"/><Relationship Id="rId6" Type="http://schemas.openxmlformats.org/officeDocument/2006/relationships/ctrlProp" Target="../ctrlProps/ctrlProp159.xml"/><Relationship Id="rId5" Type="http://schemas.openxmlformats.org/officeDocument/2006/relationships/ctrlProp" Target="../ctrlProps/ctrlProp158.xml"/><Relationship Id="rId4" Type="http://schemas.openxmlformats.org/officeDocument/2006/relationships/ctrlProp" Target="../ctrlProps/ctrlProp157.xml"/><Relationship Id="rId9" Type="http://schemas.openxmlformats.org/officeDocument/2006/relationships/ctrlProp" Target="../ctrlProps/ctrlProp162.xml"/></Relationships>
</file>

<file path=xl/worksheets/_rels/sheet27.xml.rels><?xml version="1.0" encoding="UTF-8" standalone="yes"?>
<Relationships xmlns="http://schemas.openxmlformats.org/package/2006/relationships"><Relationship Id="rId8" Type="http://schemas.openxmlformats.org/officeDocument/2006/relationships/ctrlProp" Target="../ctrlProps/ctrlProp167.xml"/><Relationship Id="rId13" Type="http://schemas.openxmlformats.org/officeDocument/2006/relationships/ctrlProp" Target="../ctrlProps/ctrlProp172.xml"/><Relationship Id="rId18" Type="http://schemas.openxmlformats.org/officeDocument/2006/relationships/ctrlProp" Target="../ctrlProps/ctrlProp177.xml"/><Relationship Id="rId3" Type="http://schemas.openxmlformats.org/officeDocument/2006/relationships/vmlDrawing" Target="../drawings/vmlDrawing16.vml"/><Relationship Id="rId21" Type="http://schemas.openxmlformats.org/officeDocument/2006/relationships/ctrlProp" Target="../ctrlProps/ctrlProp180.xml"/><Relationship Id="rId7" Type="http://schemas.openxmlformats.org/officeDocument/2006/relationships/ctrlProp" Target="../ctrlProps/ctrlProp166.xml"/><Relationship Id="rId12" Type="http://schemas.openxmlformats.org/officeDocument/2006/relationships/ctrlProp" Target="../ctrlProps/ctrlProp171.xml"/><Relationship Id="rId17" Type="http://schemas.openxmlformats.org/officeDocument/2006/relationships/ctrlProp" Target="../ctrlProps/ctrlProp176.xml"/><Relationship Id="rId2" Type="http://schemas.openxmlformats.org/officeDocument/2006/relationships/drawing" Target="../drawings/drawing17.xml"/><Relationship Id="rId16" Type="http://schemas.openxmlformats.org/officeDocument/2006/relationships/ctrlProp" Target="../ctrlProps/ctrlProp175.xml"/><Relationship Id="rId20" Type="http://schemas.openxmlformats.org/officeDocument/2006/relationships/ctrlProp" Target="../ctrlProps/ctrlProp179.xml"/><Relationship Id="rId1" Type="http://schemas.openxmlformats.org/officeDocument/2006/relationships/printerSettings" Target="../printerSettings/printerSettings25.bin"/><Relationship Id="rId6" Type="http://schemas.openxmlformats.org/officeDocument/2006/relationships/ctrlProp" Target="../ctrlProps/ctrlProp165.xml"/><Relationship Id="rId11" Type="http://schemas.openxmlformats.org/officeDocument/2006/relationships/ctrlProp" Target="../ctrlProps/ctrlProp170.xml"/><Relationship Id="rId5" Type="http://schemas.openxmlformats.org/officeDocument/2006/relationships/ctrlProp" Target="../ctrlProps/ctrlProp164.xml"/><Relationship Id="rId15" Type="http://schemas.openxmlformats.org/officeDocument/2006/relationships/ctrlProp" Target="../ctrlProps/ctrlProp174.xml"/><Relationship Id="rId10" Type="http://schemas.openxmlformats.org/officeDocument/2006/relationships/ctrlProp" Target="../ctrlProps/ctrlProp169.xml"/><Relationship Id="rId19" Type="http://schemas.openxmlformats.org/officeDocument/2006/relationships/ctrlProp" Target="../ctrlProps/ctrlProp178.xml"/><Relationship Id="rId4" Type="http://schemas.openxmlformats.org/officeDocument/2006/relationships/ctrlProp" Target="../ctrlProps/ctrlProp163.xml"/><Relationship Id="rId9" Type="http://schemas.openxmlformats.org/officeDocument/2006/relationships/ctrlProp" Target="../ctrlProps/ctrlProp168.xml"/><Relationship Id="rId14" Type="http://schemas.openxmlformats.org/officeDocument/2006/relationships/ctrlProp" Target="../ctrlProps/ctrlProp173.xml"/><Relationship Id="rId22" Type="http://schemas.openxmlformats.org/officeDocument/2006/relationships/ctrlProp" Target="../ctrlProps/ctrlProp181.xml"/></Relationships>
</file>

<file path=xl/worksheets/_rels/sheet28.xml.rels><?xml version="1.0" encoding="UTF-8" standalone="yes"?>
<Relationships xmlns="http://schemas.openxmlformats.org/package/2006/relationships"><Relationship Id="rId3" Type="http://schemas.openxmlformats.org/officeDocument/2006/relationships/vmlDrawing" Target="../drawings/vmlDrawing17.vml"/><Relationship Id="rId7" Type="http://schemas.openxmlformats.org/officeDocument/2006/relationships/ctrlProp" Target="../ctrlProps/ctrlProp185.xml"/><Relationship Id="rId2" Type="http://schemas.openxmlformats.org/officeDocument/2006/relationships/drawing" Target="../drawings/drawing18.xml"/><Relationship Id="rId1" Type="http://schemas.openxmlformats.org/officeDocument/2006/relationships/printerSettings" Target="../printerSettings/printerSettings26.bin"/><Relationship Id="rId6" Type="http://schemas.openxmlformats.org/officeDocument/2006/relationships/ctrlProp" Target="../ctrlProps/ctrlProp184.xml"/><Relationship Id="rId5" Type="http://schemas.openxmlformats.org/officeDocument/2006/relationships/ctrlProp" Target="../ctrlProps/ctrlProp183.xml"/><Relationship Id="rId4" Type="http://schemas.openxmlformats.org/officeDocument/2006/relationships/ctrlProp" Target="../ctrlProps/ctrlProp182.xml"/></Relationships>
</file>

<file path=xl/worksheets/_rels/sheet29.xml.rels><?xml version="1.0" encoding="UTF-8" standalone="yes"?>
<Relationships xmlns="http://schemas.openxmlformats.org/package/2006/relationships"><Relationship Id="rId8" Type="http://schemas.openxmlformats.org/officeDocument/2006/relationships/ctrlProp" Target="../ctrlProps/ctrlProp190.xml"/><Relationship Id="rId3" Type="http://schemas.openxmlformats.org/officeDocument/2006/relationships/vmlDrawing" Target="../drawings/vmlDrawing18.vml"/><Relationship Id="rId7" Type="http://schemas.openxmlformats.org/officeDocument/2006/relationships/ctrlProp" Target="../ctrlProps/ctrlProp189.xml"/><Relationship Id="rId2" Type="http://schemas.openxmlformats.org/officeDocument/2006/relationships/drawing" Target="../drawings/drawing19.xml"/><Relationship Id="rId1" Type="http://schemas.openxmlformats.org/officeDocument/2006/relationships/printerSettings" Target="../printerSettings/printerSettings27.bin"/><Relationship Id="rId6" Type="http://schemas.openxmlformats.org/officeDocument/2006/relationships/ctrlProp" Target="../ctrlProps/ctrlProp188.xml"/><Relationship Id="rId5" Type="http://schemas.openxmlformats.org/officeDocument/2006/relationships/ctrlProp" Target="../ctrlProps/ctrlProp187.xml"/><Relationship Id="rId4" Type="http://schemas.openxmlformats.org/officeDocument/2006/relationships/ctrlProp" Target="../ctrlProps/ctrlProp186.xml"/><Relationship Id="rId9" Type="http://schemas.openxmlformats.org/officeDocument/2006/relationships/ctrlProp" Target="../ctrlProps/ctrlProp191.xml"/></Relationships>
</file>

<file path=xl/worksheets/_rels/sheet30.xml.rels><?xml version="1.0" encoding="UTF-8" standalone="yes"?>
<Relationships xmlns="http://schemas.openxmlformats.org/package/2006/relationships"><Relationship Id="rId8" Type="http://schemas.openxmlformats.org/officeDocument/2006/relationships/ctrlProp" Target="../ctrlProps/ctrlProp196.xml"/><Relationship Id="rId13" Type="http://schemas.openxmlformats.org/officeDocument/2006/relationships/ctrlProp" Target="../ctrlProps/ctrlProp201.xml"/><Relationship Id="rId18" Type="http://schemas.openxmlformats.org/officeDocument/2006/relationships/ctrlProp" Target="../ctrlProps/ctrlProp206.xml"/><Relationship Id="rId3" Type="http://schemas.openxmlformats.org/officeDocument/2006/relationships/vmlDrawing" Target="../drawings/vmlDrawing19.vml"/><Relationship Id="rId21" Type="http://schemas.openxmlformats.org/officeDocument/2006/relationships/ctrlProp" Target="../ctrlProps/ctrlProp209.xml"/><Relationship Id="rId7" Type="http://schemas.openxmlformats.org/officeDocument/2006/relationships/ctrlProp" Target="../ctrlProps/ctrlProp195.xml"/><Relationship Id="rId12" Type="http://schemas.openxmlformats.org/officeDocument/2006/relationships/ctrlProp" Target="../ctrlProps/ctrlProp200.xml"/><Relationship Id="rId17" Type="http://schemas.openxmlformats.org/officeDocument/2006/relationships/ctrlProp" Target="../ctrlProps/ctrlProp205.xml"/><Relationship Id="rId2" Type="http://schemas.openxmlformats.org/officeDocument/2006/relationships/drawing" Target="../drawings/drawing20.xml"/><Relationship Id="rId16" Type="http://schemas.openxmlformats.org/officeDocument/2006/relationships/ctrlProp" Target="../ctrlProps/ctrlProp204.xml"/><Relationship Id="rId20" Type="http://schemas.openxmlformats.org/officeDocument/2006/relationships/ctrlProp" Target="../ctrlProps/ctrlProp208.xml"/><Relationship Id="rId1" Type="http://schemas.openxmlformats.org/officeDocument/2006/relationships/printerSettings" Target="../printerSettings/printerSettings28.bin"/><Relationship Id="rId6" Type="http://schemas.openxmlformats.org/officeDocument/2006/relationships/ctrlProp" Target="../ctrlProps/ctrlProp194.xml"/><Relationship Id="rId11" Type="http://schemas.openxmlformats.org/officeDocument/2006/relationships/ctrlProp" Target="../ctrlProps/ctrlProp199.xml"/><Relationship Id="rId5" Type="http://schemas.openxmlformats.org/officeDocument/2006/relationships/ctrlProp" Target="../ctrlProps/ctrlProp193.xml"/><Relationship Id="rId15" Type="http://schemas.openxmlformats.org/officeDocument/2006/relationships/ctrlProp" Target="../ctrlProps/ctrlProp203.xml"/><Relationship Id="rId10" Type="http://schemas.openxmlformats.org/officeDocument/2006/relationships/ctrlProp" Target="../ctrlProps/ctrlProp198.xml"/><Relationship Id="rId19" Type="http://schemas.openxmlformats.org/officeDocument/2006/relationships/ctrlProp" Target="../ctrlProps/ctrlProp207.xml"/><Relationship Id="rId4" Type="http://schemas.openxmlformats.org/officeDocument/2006/relationships/ctrlProp" Target="../ctrlProps/ctrlProp192.xml"/><Relationship Id="rId9" Type="http://schemas.openxmlformats.org/officeDocument/2006/relationships/ctrlProp" Target="../ctrlProps/ctrlProp197.xml"/><Relationship Id="rId14" Type="http://schemas.openxmlformats.org/officeDocument/2006/relationships/ctrlProp" Target="../ctrlProps/ctrlProp202.xml"/><Relationship Id="rId22" Type="http://schemas.openxmlformats.org/officeDocument/2006/relationships/ctrlProp" Target="../ctrlProps/ctrlProp210.xml"/></Relationships>
</file>

<file path=xl/worksheets/_rels/sheet31.xml.rels><?xml version="1.0" encoding="UTF-8" standalone="yes"?>
<Relationships xmlns="http://schemas.openxmlformats.org/package/2006/relationships"><Relationship Id="rId26" Type="http://schemas.openxmlformats.org/officeDocument/2006/relationships/ctrlProp" Target="../ctrlProps/ctrlProp233.xml"/><Relationship Id="rId21" Type="http://schemas.openxmlformats.org/officeDocument/2006/relationships/ctrlProp" Target="../ctrlProps/ctrlProp228.xml"/><Relationship Id="rId34" Type="http://schemas.openxmlformats.org/officeDocument/2006/relationships/ctrlProp" Target="../ctrlProps/ctrlProp241.xml"/><Relationship Id="rId42" Type="http://schemas.openxmlformats.org/officeDocument/2006/relationships/ctrlProp" Target="../ctrlProps/ctrlProp249.xml"/><Relationship Id="rId47" Type="http://schemas.openxmlformats.org/officeDocument/2006/relationships/ctrlProp" Target="../ctrlProps/ctrlProp254.xml"/><Relationship Id="rId50" Type="http://schemas.openxmlformats.org/officeDocument/2006/relationships/ctrlProp" Target="../ctrlProps/ctrlProp257.xml"/><Relationship Id="rId55" Type="http://schemas.openxmlformats.org/officeDocument/2006/relationships/ctrlProp" Target="../ctrlProps/ctrlProp262.xml"/><Relationship Id="rId63" Type="http://schemas.openxmlformats.org/officeDocument/2006/relationships/ctrlProp" Target="../ctrlProps/ctrlProp270.xml"/><Relationship Id="rId7" Type="http://schemas.openxmlformats.org/officeDocument/2006/relationships/ctrlProp" Target="../ctrlProps/ctrlProp214.xml"/><Relationship Id="rId2" Type="http://schemas.openxmlformats.org/officeDocument/2006/relationships/drawing" Target="../drawings/drawing21.xml"/><Relationship Id="rId16" Type="http://schemas.openxmlformats.org/officeDocument/2006/relationships/ctrlProp" Target="../ctrlProps/ctrlProp223.xml"/><Relationship Id="rId29" Type="http://schemas.openxmlformats.org/officeDocument/2006/relationships/ctrlProp" Target="../ctrlProps/ctrlProp236.xml"/><Relationship Id="rId11" Type="http://schemas.openxmlformats.org/officeDocument/2006/relationships/ctrlProp" Target="../ctrlProps/ctrlProp218.xml"/><Relationship Id="rId24" Type="http://schemas.openxmlformats.org/officeDocument/2006/relationships/ctrlProp" Target="../ctrlProps/ctrlProp231.xml"/><Relationship Id="rId32" Type="http://schemas.openxmlformats.org/officeDocument/2006/relationships/ctrlProp" Target="../ctrlProps/ctrlProp239.xml"/><Relationship Id="rId37" Type="http://schemas.openxmlformats.org/officeDocument/2006/relationships/ctrlProp" Target="../ctrlProps/ctrlProp244.xml"/><Relationship Id="rId40" Type="http://schemas.openxmlformats.org/officeDocument/2006/relationships/ctrlProp" Target="../ctrlProps/ctrlProp247.xml"/><Relationship Id="rId45" Type="http://schemas.openxmlformats.org/officeDocument/2006/relationships/ctrlProp" Target="../ctrlProps/ctrlProp252.xml"/><Relationship Id="rId53" Type="http://schemas.openxmlformats.org/officeDocument/2006/relationships/ctrlProp" Target="../ctrlProps/ctrlProp260.xml"/><Relationship Id="rId58" Type="http://schemas.openxmlformats.org/officeDocument/2006/relationships/ctrlProp" Target="../ctrlProps/ctrlProp265.xml"/><Relationship Id="rId66" Type="http://schemas.openxmlformats.org/officeDocument/2006/relationships/ctrlProp" Target="../ctrlProps/ctrlProp273.xml"/><Relationship Id="rId5" Type="http://schemas.openxmlformats.org/officeDocument/2006/relationships/ctrlProp" Target="../ctrlProps/ctrlProp212.xml"/><Relationship Id="rId61" Type="http://schemas.openxmlformats.org/officeDocument/2006/relationships/ctrlProp" Target="../ctrlProps/ctrlProp268.xml"/><Relationship Id="rId19" Type="http://schemas.openxmlformats.org/officeDocument/2006/relationships/ctrlProp" Target="../ctrlProps/ctrlProp226.xml"/><Relationship Id="rId14" Type="http://schemas.openxmlformats.org/officeDocument/2006/relationships/ctrlProp" Target="../ctrlProps/ctrlProp221.xml"/><Relationship Id="rId22" Type="http://schemas.openxmlformats.org/officeDocument/2006/relationships/ctrlProp" Target="../ctrlProps/ctrlProp229.xml"/><Relationship Id="rId27" Type="http://schemas.openxmlformats.org/officeDocument/2006/relationships/ctrlProp" Target="../ctrlProps/ctrlProp234.xml"/><Relationship Id="rId30" Type="http://schemas.openxmlformats.org/officeDocument/2006/relationships/ctrlProp" Target="../ctrlProps/ctrlProp237.xml"/><Relationship Id="rId35" Type="http://schemas.openxmlformats.org/officeDocument/2006/relationships/ctrlProp" Target="../ctrlProps/ctrlProp242.xml"/><Relationship Id="rId43" Type="http://schemas.openxmlformats.org/officeDocument/2006/relationships/ctrlProp" Target="../ctrlProps/ctrlProp250.xml"/><Relationship Id="rId48" Type="http://schemas.openxmlformats.org/officeDocument/2006/relationships/ctrlProp" Target="../ctrlProps/ctrlProp255.xml"/><Relationship Id="rId56" Type="http://schemas.openxmlformats.org/officeDocument/2006/relationships/ctrlProp" Target="../ctrlProps/ctrlProp263.xml"/><Relationship Id="rId64" Type="http://schemas.openxmlformats.org/officeDocument/2006/relationships/ctrlProp" Target="../ctrlProps/ctrlProp271.xml"/><Relationship Id="rId8" Type="http://schemas.openxmlformats.org/officeDocument/2006/relationships/ctrlProp" Target="../ctrlProps/ctrlProp215.xml"/><Relationship Id="rId51" Type="http://schemas.openxmlformats.org/officeDocument/2006/relationships/ctrlProp" Target="../ctrlProps/ctrlProp258.xml"/><Relationship Id="rId3" Type="http://schemas.openxmlformats.org/officeDocument/2006/relationships/vmlDrawing" Target="../drawings/vmlDrawing20.vml"/><Relationship Id="rId12" Type="http://schemas.openxmlformats.org/officeDocument/2006/relationships/ctrlProp" Target="../ctrlProps/ctrlProp219.xml"/><Relationship Id="rId17" Type="http://schemas.openxmlformats.org/officeDocument/2006/relationships/ctrlProp" Target="../ctrlProps/ctrlProp224.xml"/><Relationship Id="rId25" Type="http://schemas.openxmlformats.org/officeDocument/2006/relationships/ctrlProp" Target="../ctrlProps/ctrlProp232.xml"/><Relationship Id="rId33" Type="http://schemas.openxmlformats.org/officeDocument/2006/relationships/ctrlProp" Target="../ctrlProps/ctrlProp240.xml"/><Relationship Id="rId38" Type="http://schemas.openxmlformats.org/officeDocument/2006/relationships/ctrlProp" Target="../ctrlProps/ctrlProp245.xml"/><Relationship Id="rId46" Type="http://schemas.openxmlformats.org/officeDocument/2006/relationships/ctrlProp" Target="../ctrlProps/ctrlProp253.xml"/><Relationship Id="rId59" Type="http://schemas.openxmlformats.org/officeDocument/2006/relationships/ctrlProp" Target="../ctrlProps/ctrlProp266.xml"/><Relationship Id="rId67" Type="http://schemas.openxmlformats.org/officeDocument/2006/relationships/ctrlProp" Target="../ctrlProps/ctrlProp274.xml"/><Relationship Id="rId20" Type="http://schemas.openxmlformats.org/officeDocument/2006/relationships/ctrlProp" Target="../ctrlProps/ctrlProp227.xml"/><Relationship Id="rId41" Type="http://schemas.openxmlformats.org/officeDocument/2006/relationships/ctrlProp" Target="../ctrlProps/ctrlProp248.xml"/><Relationship Id="rId54" Type="http://schemas.openxmlformats.org/officeDocument/2006/relationships/ctrlProp" Target="../ctrlProps/ctrlProp261.xml"/><Relationship Id="rId62" Type="http://schemas.openxmlformats.org/officeDocument/2006/relationships/ctrlProp" Target="../ctrlProps/ctrlProp269.xml"/><Relationship Id="rId1" Type="http://schemas.openxmlformats.org/officeDocument/2006/relationships/printerSettings" Target="../printerSettings/printerSettings29.bin"/><Relationship Id="rId6" Type="http://schemas.openxmlformats.org/officeDocument/2006/relationships/ctrlProp" Target="../ctrlProps/ctrlProp213.xml"/><Relationship Id="rId15" Type="http://schemas.openxmlformats.org/officeDocument/2006/relationships/ctrlProp" Target="../ctrlProps/ctrlProp222.xml"/><Relationship Id="rId23" Type="http://schemas.openxmlformats.org/officeDocument/2006/relationships/ctrlProp" Target="../ctrlProps/ctrlProp230.xml"/><Relationship Id="rId28" Type="http://schemas.openxmlformats.org/officeDocument/2006/relationships/ctrlProp" Target="../ctrlProps/ctrlProp235.xml"/><Relationship Id="rId36" Type="http://schemas.openxmlformats.org/officeDocument/2006/relationships/ctrlProp" Target="../ctrlProps/ctrlProp243.xml"/><Relationship Id="rId49" Type="http://schemas.openxmlformats.org/officeDocument/2006/relationships/ctrlProp" Target="../ctrlProps/ctrlProp256.xml"/><Relationship Id="rId57" Type="http://schemas.openxmlformats.org/officeDocument/2006/relationships/ctrlProp" Target="../ctrlProps/ctrlProp264.xml"/><Relationship Id="rId10" Type="http://schemas.openxmlformats.org/officeDocument/2006/relationships/ctrlProp" Target="../ctrlProps/ctrlProp217.xml"/><Relationship Id="rId31" Type="http://schemas.openxmlformats.org/officeDocument/2006/relationships/ctrlProp" Target="../ctrlProps/ctrlProp238.xml"/><Relationship Id="rId44" Type="http://schemas.openxmlformats.org/officeDocument/2006/relationships/ctrlProp" Target="../ctrlProps/ctrlProp251.xml"/><Relationship Id="rId52" Type="http://schemas.openxmlformats.org/officeDocument/2006/relationships/ctrlProp" Target="../ctrlProps/ctrlProp259.xml"/><Relationship Id="rId60" Type="http://schemas.openxmlformats.org/officeDocument/2006/relationships/ctrlProp" Target="../ctrlProps/ctrlProp267.xml"/><Relationship Id="rId65" Type="http://schemas.openxmlformats.org/officeDocument/2006/relationships/ctrlProp" Target="../ctrlProps/ctrlProp272.xml"/><Relationship Id="rId4" Type="http://schemas.openxmlformats.org/officeDocument/2006/relationships/ctrlProp" Target="../ctrlProps/ctrlProp211.xml"/><Relationship Id="rId9" Type="http://schemas.openxmlformats.org/officeDocument/2006/relationships/ctrlProp" Target="../ctrlProps/ctrlProp216.xml"/><Relationship Id="rId13" Type="http://schemas.openxmlformats.org/officeDocument/2006/relationships/ctrlProp" Target="../ctrlProps/ctrlProp220.xml"/><Relationship Id="rId18" Type="http://schemas.openxmlformats.org/officeDocument/2006/relationships/ctrlProp" Target="../ctrlProps/ctrlProp225.xml"/><Relationship Id="rId39" Type="http://schemas.openxmlformats.org/officeDocument/2006/relationships/ctrlProp" Target="../ctrlProps/ctrlProp24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874205-D973-4BAE-98D7-517AD9218BC8}">
  <sheetPr codeName="Sheet17"/>
  <dimension ref="A1:Y423"/>
  <sheetViews>
    <sheetView topLeftCell="Z1" zoomScale="80" zoomScaleNormal="80" workbookViewId="0">
      <selection activeCell="Y1" sqref="A1:Y1048576"/>
    </sheetView>
  </sheetViews>
  <sheetFormatPr defaultColWidth="9.28515625" defaultRowHeight="15" x14ac:dyDescent="0.25"/>
  <cols>
    <col min="1" max="1" width="8.5703125" style="789" hidden="1" customWidth="1"/>
    <col min="2" max="2" width="29" style="789" hidden="1" customWidth="1"/>
    <col min="3" max="3" width="21" style="789" hidden="1" customWidth="1"/>
    <col min="4" max="4" width="19.5703125" style="789" hidden="1" customWidth="1"/>
    <col min="5" max="6" width="17.7109375" style="789" hidden="1" customWidth="1"/>
    <col min="7" max="7" width="21.28515625" style="789" hidden="1" customWidth="1"/>
    <col min="8" max="8" width="17.7109375" style="789" hidden="1" customWidth="1"/>
    <col min="9" max="9" width="20.42578125" style="789" hidden="1" customWidth="1"/>
    <col min="10" max="10" width="20.7109375" style="789" hidden="1" customWidth="1"/>
    <col min="11" max="13" width="17.7109375" style="789" hidden="1" customWidth="1"/>
    <col min="14" max="14" width="19.7109375" style="789" hidden="1" customWidth="1"/>
    <col min="15" max="21" width="17.7109375" style="789" hidden="1" customWidth="1"/>
    <col min="22" max="23" width="19" style="789" hidden="1" customWidth="1"/>
    <col min="24" max="24" width="20.42578125" style="789" hidden="1" customWidth="1"/>
    <col min="25" max="25" width="0" style="790" hidden="1" customWidth="1"/>
    <col min="26" max="16384" width="9.28515625" style="790"/>
  </cols>
  <sheetData>
    <row r="1" spans="1:25" x14ac:dyDescent="0.25">
      <c r="A1" s="788" t="s">
        <v>0</v>
      </c>
      <c r="C1" s="789" t="s">
        <v>1</v>
      </c>
    </row>
    <row r="2" spans="1:25" x14ac:dyDescent="0.25">
      <c r="A2" s="789" t="s">
        <v>2</v>
      </c>
      <c r="C2" s="789" t="s">
        <v>1</v>
      </c>
      <c r="D2" s="789">
        <f>12/120</f>
        <v>0.1</v>
      </c>
    </row>
    <row r="3" spans="1:25" x14ac:dyDescent="0.25">
      <c r="A3" s="789" t="s">
        <v>3</v>
      </c>
    </row>
    <row r="4" spans="1:25" x14ac:dyDescent="0.25">
      <c r="A4" s="789" t="s">
        <v>4</v>
      </c>
    </row>
    <row r="6" spans="1:25" x14ac:dyDescent="0.25">
      <c r="A6" s="990" t="s">
        <v>5</v>
      </c>
      <c r="B6" s="991"/>
      <c r="C6" s="991"/>
      <c r="D6" s="991"/>
      <c r="E6" s="991"/>
      <c r="F6" s="991"/>
      <c r="G6" s="991"/>
      <c r="H6" s="991"/>
      <c r="I6" s="991"/>
      <c r="J6" s="991"/>
      <c r="K6" s="991"/>
      <c r="L6" s="991"/>
      <c r="M6" s="991"/>
      <c r="N6" s="991"/>
      <c r="O6" s="991"/>
      <c r="P6" s="991"/>
      <c r="Q6" s="991"/>
      <c r="R6" s="991"/>
      <c r="S6" s="991"/>
      <c r="T6" s="991"/>
      <c r="U6" s="991"/>
      <c r="V6" s="991"/>
      <c r="W6" s="991"/>
      <c r="X6" s="992"/>
    </row>
    <row r="7" spans="1:25" x14ac:dyDescent="0.25">
      <c r="A7" s="791"/>
      <c r="B7" s="792" t="s">
        <v>6</v>
      </c>
      <c r="C7" s="793" t="s">
        <v>7</v>
      </c>
      <c r="D7" s="794" t="s">
        <v>7</v>
      </c>
      <c r="E7" s="794" t="s">
        <v>7</v>
      </c>
      <c r="F7" s="794" t="s">
        <v>7</v>
      </c>
      <c r="G7" s="794" t="s">
        <v>7</v>
      </c>
      <c r="H7" s="794" t="s">
        <v>7</v>
      </c>
      <c r="I7" s="794" t="s">
        <v>7</v>
      </c>
      <c r="J7" s="794" t="s">
        <v>7</v>
      </c>
      <c r="K7" s="794" t="s">
        <v>7</v>
      </c>
      <c r="L7" s="794" t="s">
        <v>7</v>
      </c>
      <c r="M7" s="794" t="s">
        <v>7</v>
      </c>
      <c r="N7" s="794" t="s">
        <v>8</v>
      </c>
      <c r="O7" s="794" t="s">
        <v>9</v>
      </c>
      <c r="P7" s="794" t="s">
        <v>10</v>
      </c>
      <c r="Q7" s="794" t="s">
        <v>11</v>
      </c>
      <c r="R7" s="794" t="s">
        <v>12</v>
      </c>
      <c r="S7" s="794" t="s">
        <v>13</v>
      </c>
      <c r="T7" s="794" t="s">
        <v>14</v>
      </c>
      <c r="U7" s="794" t="s">
        <v>15</v>
      </c>
      <c r="V7" s="794" t="s">
        <v>16</v>
      </c>
      <c r="W7" s="794" t="s">
        <v>17</v>
      </c>
      <c r="X7" s="795" t="s">
        <v>18</v>
      </c>
    </row>
    <row r="8" spans="1:25" x14ac:dyDescent="0.25">
      <c r="A8" s="791"/>
      <c r="B8" s="792"/>
      <c r="C8" s="793" t="s">
        <v>19</v>
      </c>
      <c r="D8" s="794" t="s">
        <v>20</v>
      </c>
      <c r="E8" s="794" t="s">
        <v>21</v>
      </c>
      <c r="F8" s="794" t="s">
        <v>22</v>
      </c>
      <c r="G8" s="794" t="s">
        <v>23</v>
      </c>
      <c r="H8" s="794" t="s">
        <v>24</v>
      </c>
      <c r="I8" s="794" t="s">
        <v>25</v>
      </c>
      <c r="J8" s="794" t="s">
        <v>26</v>
      </c>
      <c r="K8" s="794" t="s">
        <v>27</v>
      </c>
      <c r="L8" s="794" t="s">
        <v>28</v>
      </c>
      <c r="M8" s="794" t="s">
        <v>29</v>
      </c>
      <c r="N8" s="794"/>
      <c r="O8" s="794"/>
      <c r="P8" s="794"/>
      <c r="Q8" s="794"/>
      <c r="R8" s="794"/>
      <c r="S8" s="794"/>
      <c r="T8" s="794"/>
      <c r="U8" s="794"/>
      <c r="V8" s="794"/>
      <c r="W8" s="794"/>
      <c r="X8" s="795"/>
    </row>
    <row r="9" spans="1:25" x14ac:dyDescent="0.25">
      <c r="A9" s="791">
        <v>1</v>
      </c>
      <c r="B9" s="796" t="s">
        <v>30</v>
      </c>
      <c r="C9" s="797">
        <f>'[15]Casas Area Tabulation 10.21.21'!U11</f>
        <v>98.5</v>
      </c>
      <c r="D9" s="797">
        <f>'[15]Casas Area Tabulation 10.21.21'!V11</f>
        <v>51.02</v>
      </c>
      <c r="E9" s="797">
        <f>'[15]Casas Area Tabulation 10.21.21'!W11</f>
        <v>55.62</v>
      </c>
      <c r="F9" s="797">
        <f>'[15]Casas Area Tabulation 10.21.21'!X11</f>
        <v>60.78</v>
      </c>
      <c r="G9" s="797">
        <f>'[15]Casas Area Tabulation 10.21.21'!Y11</f>
        <v>83.49</v>
      </c>
      <c r="H9" s="797">
        <f>'[15]Casas Area Tabulation 10.21.21'!AA11</f>
        <v>61.03</v>
      </c>
      <c r="I9" s="797">
        <f>'[15]Casas Area Tabulation 10.21.21'!AB11</f>
        <v>94.79</v>
      </c>
      <c r="J9" s="797">
        <f>'[15]Casas Area Tabulation 10.21.21'!AC11</f>
        <v>67.790000000000006</v>
      </c>
      <c r="K9" s="797">
        <f>'[15]Casas Area Tabulation 10.21.21'!AD11</f>
        <v>67.72</v>
      </c>
      <c r="L9" s="797">
        <f>'[15]Casas Area Tabulation 10.21.21'!AE11</f>
        <v>86.15</v>
      </c>
      <c r="M9" s="797">
        <f>'[15]Casas Area Tabulation 10.21.21'!AF11</f>
        <v>53.53</v>
      </c>
      <c r="N9" s="797">
        <f>'[15]Casas Data 10.21.21'!D15</f>
        <v>44.44</v>
      </c>
      <c r="O9" s="797">
        <f>'[15]Casas Data 10.21.21'!D16</f>
        <v>44.43</v>
      </c>
      <c r="P9" s="797">
        <f>'[15]Casas Data 10.21.21'!D17</f>
        <v>36.35</v>
      </c>
      <c r="Q9" s="797">
        <f>'[15]Casas Data 10.21.21'!D18</f>
        <v>79.31</v>
      </c>
      <c r="R9" s="797">
        <f>'[15]Casas Data 10.21.21'!D19</f>
        <v>46.32</v>
      </c>
      <c r="S9" s="797">
        <f>'[15]Casas Data 10.21.21'!D20</f>
        <v>50.68</v>
      </c>
      <c r="T9" s="797">
        <f>'[15]Casas Data 10.21.21'!D21</f>
        <v>55.37</v>
      </c>
      <c r="U9" s="797">
        <f>'[15]Casas Data 10.21.21'!D22</f>
        <v>82.04</v>
      </c>
      <c r="V9" s="797">
        <v>12.5</v>
      </c>
      <c r="W9" s="797">
        <v>12</v>
      </c>
      <c r="X9" s="798">
        <f>21.5/2</f>
        <v>10.75</v>
      </c>
    </row>
    <row r="10" spans="1:25" x14ac:dyDescent="0.25">
      <c r="A10" s="791">
        <v>2</v>
      </c>
      <c r="B10" s="796" t="s">
        <v>31</v>
      </c>
      <c r="C10" s="797">
        <f>'[15]Casas Area Tabulation 10.21.21'!U12</f>
        <v>10.46</v>
      </c>
      <c r="D10" s="797">
        <f>'[15]Casas Area Tabulation 10.21.21'!V12</f>
        <v>5.36</v>
      </c>
      <c r="E10" s="797">
        <f>'[15]Casas Area Tabulation 10.21.21'!W12</f>
        <v>5.37</v>
      </c>
      <c r="F10" s="797">
        <f>'[15]Casas Area Tabulation 10.21.21'!X12</f>
        <v>5.15</v>
      </c>
      <c r="G10" s="797">
        <f>'[15]Casas Area Tabulation 10.21.21'!Y12</f>
        <v>12.309999999999999</v>
      </c>
      <c r="H10" s="797">
        <f>'[15]Casas Area Tabulation 10.21.21'!AA12</f>
        <v>4.1900000000000004</v>
      </c>
      <c r="I10" s="797">
        <f>'[15]Casas Area Tabulation 10.21.21'!AB12</f>
        <v>11.260000000000002</v>
      </c>
      <c r="J10" s="797">
        <f>'[15]Casas Area Tabulation 10.21.21'!AC12</f>
        <v>4.2</v>
      </c>
      <c r="K10" s="797">
        <f>'[15]Casas Area Tabulation 10.21.21'!AD12</f>
        <v>4.2</v>
      </c>
      <c r="L10" s="797">
        <f>'[15]Casas Area Tabulation 10.21.21'!AE12</f>
        <v>12.66</v>
      </c>
      <c r="M10" s="797">
        <f>'[15]Casas Area Tabulation 10.21.21'!AF12</f>
        <v>4.18</v>
      </c>
      <c r="N10" s="797"/>
      <c r="O10" s="797"/>
      <c r="P10" s="797"/>
      <c r="Q10" s="797"/>
      <c r="R10" s="797"/>
      <c r="S10" s="797"/>
      <c r="T10" s="797"/>
      <c r="U10" s="797"/>
      <c r="V10" s="797"/>
      <c r="W10" s="797"/>
      <c r="X10" s="798"/>
    </row>
    <row r="11" spans="1:25" x14ac:dyDescent="0.25">
      <c r="A11" s="791">
        <v>3</v>
      </c>
      <c r="B11" s="796" t="s">
        <v>32</v>
      </c>
      <c r="C11" s="797">
        <f>SUM(C9:C10)</f>
        <v>108.96000000000001</v>
      </c>
      <c r="D11" s="797">
        <f t="shared" ref="D11:M11" si="0">D9+D10</f>
        <v>56.38</v>
      </c>
      <c r="E11" s="797">
        <f t="shared" si="0"/>
        <v>60.989999999999995</v>
      </c>
      <c r="F11" s="797">
        <f t="shared" si="0"/>
        <v>65.930000000000007</v>
      </c>
      <c r="G11" s="797">
        <f t="shared" si="0"/>
        <v>95.8</v>
      </c>
      <c r="H11" s="797">
        <f t="shared" si="0"/>
        <v>65.22</v>
      </c>
      <c r="I11" s="797">
        <f t="shared" si="0"/>
        <v>106.05000000000001</v>
      </c>
      <c r="J11" s="797">
        <f t="shared" si="0"/>
        <v>71.990000000000009</v>
      </c>
      <c r="K11" s="797">
        <f t="shared" si="0"/>
        <v>71.92</v>
      </c>
      <c r="L11" s="797">
        <f t="shared" si="0"/>
        <v>98.81</v>
      </c>
      <c r="M11" s="797">
        <f t="shared" si="0"/>
        <v>57.71</v>
      </c>
      <c r="N11" s="797">
        <f>N9</f>
        <v>44.44</v>
      </c>
      <c r="O11" s="797">
        <f>O9</f>
        <v>44.43</v>
      </c>
      <c r="P11" s="797">
        <f>P9</f>
        <v>36.35</v>
      </c>
      <c r="Q11" s="797">
        <f>Q9</f>
        <v>79.31</v>
      </c>
      <c r="R11" s="797">
        <f>R9</f>
        <v>46.32</v>
      </c>
      <c r="S11" s="797">
        <f t="shared" ref="S11:U11" si="1">S9</f>
        <v>50.68</v>
      </c>
      <c r="T11" s="797">
        <f t="shared" si="1"/>
        <v>55.37</v>
      </c>
      <c r="U11" s="797">
        <f t="shared" si="1"/>
        <v>82.04</v>
      </c>
      <c r="V11" s="797">
        <v>12.5</v>
      </c>
      <c r="W11" s="797">
        <f>W9</f>
        <v>12</v>
      </c>
      <c r="X11" s="797">
        <f>X9</f>
        <v>10.75</v>
      </c>
    </row>
    <row r="12" spans="1:25" x14ac:dyDescent="0.25">
      <c r="A12" s="791"/>
      <c r="B12" s="796"/>
      <c r="C12" s="797"/>
      <c r="D12" s="797"/>
      <c r="E12" s="797"/>
      <c r="F12" s="797"/>
      <c r="G12" s="797"/>
      <c r="H12" s="797"/>
      <c r="I12" s="797"/>
      <c r="J12" s="797"/>
      <c r="K12" s="797"/>
      <c r="L12" s="797"/>
      <c r="M12" s="797"/>
      <c r="N12" s="797"/>
      <c r="O12" s="797"/>
      <c r="P12" s="797"/>
      <c r="Q12" s="797"/>
      <c r="R12" s="797"/>
      <c r="S12" s="797"/>
      <c r="T12" s="797"/>
      <c r="U12" s="797"/>
      <c r="V12" s="797"/>
      <c r="W12" s="797"/>
      <c r="X12" s="798"/>
    </row>
    <row r="13" spans="1:25" x14ac:dyDescent="0.25">
      <c r="A13" s="791">
        <v>4</v>
      </c>
      <c r="B13" s="796" t="s">
        <v>33</v>
      </c>
      <c r="C13" s="797">
        <v>132000</v>
      </c>
      <c r="D13" s="797">
        <v>132000</v>
      </c>
      <c r="E13" s="797">
        <v>132000</v>
      </c>
      <c r="F13" s="797">
        <v>132000</v>
      </c>
      <c r="G13" s="797">
        <v>132000</v>
      </c>
      <c r="H13" s="797">
        <v>132000</v>
      </c>
      <c r="I13" s="797">
        <v>132000</v>
      </c>
      <c r="J13" s="797">
        <v>132000</v>
      </c>
      <c r="K13" s="797">
        <v>132000</v>
      </c>
      <c r="L13" s="797">
        <v>132000</v>
      </c>
      <c r="M13" s="797">
        <v>132000</v>
      </c>
      <c r="N13" s="797">
        <v>160000</v>
      </c>
      <c r="O13" s="797">
        <v>160000</v>
      </c>
      <c r="P13" s="797">
        <v>160000</v>
      </c>
      <c r="Q13" s="797">
        <v>160000</v>
      </c>
      <c r="R13" s="797">
        <v>160000</v>
      </c>
      <c r="S13" s="797">
        <v>160000</v>
      </c>
      <c r="T13" s="797">
        <v>160000</v>
      </c>
      <c r="U13" s="797">
        <v>160000</v>
      </c>
      <c r="V13" s="797">
        <f>V14/V11</f>
        <v>69600</v>
      </c>
      <c r="W13" s="797">
        <v>69600</v>
      </c>
      <c r="X13" s="798">
        <v>69600</v>
      </c>
    </row>
    <row r="14" spans="1:25" x14ac:dyDescent="0.25">
      <c r="A14" s="791">
        <v>5</v>
      </c>
      <c r="B14" s="796" t="s">
        <v>34</v>
      </c>
      <c r="C14" s="797">
        <f>C9*C13</f>
        <v>13002000</v>
      </c>
      <c r="D14" s="797">
        <f t="shared" ref="D14:M14" si="2">D9*D13</f>
        <v>6734640</v>
      </c>
      <c r="E14" s="797">
        <f t="shared" si="2"/>
        <v>7341840</v>
      </c>
      <c r="F14" s="797">
        <f t="shared" si="2"/>
        <v>8022960</v>
      </c>
      <c r="G14" s="797">
        <f t="shared" si="2"/>
        <v>11020680</v>
      </c>
      <c r="H14" s="797">
        <f t="shared" si="2"/>
        <v>8055960</v>
      </c>
      <c r="I14" s="797">
        <f t="shared" si="2"/>
        <v>12512280</v>
      </c>
      <c r="J14" s="797">
        <f t="shared" si="2"/>
        <v>8948280</v>
      </c>
      <c r="K14" s="797">
        <f t="shared" si="2"/>
        <v>8939040</v>
      </c>
      <c r="L14" s="797">
        <f t="shared" si="2"/>
        <v>11371800</v>
      </c>
      <c r="M14" s="797">
        <f t="shared" si="2"/>
        <v>7065960</v>
      </c>
      <c r="N14" s="797">
        <f>N13*N11</f>
        <v>7110400</v>
      </c>
      <c r="O14" s="797">
        <f>O13*O11</f>
        <v>7108800</v>
      </c>
      <c r="P14" s="797">
        <f>P13*P11</f>
        <v>5816000</v>
      </c>
      <c r="Q14" s="797">
        <f>Q13*Q11</f>
        <v>12689600</v>
      </c>
      <c r="R14" s="797">
        <f>R13*R11</f>
        <v>7411200</v>
      </c>
      <c r="S14" s="797">
        <f t="shared" ref="S14:X14" si="3">S13*S11</f>
        <v>8108800</v>
      </c>
      <c r="T14" s="797">
        <f t="shared" si="3"/>
        <v>8859200</v>
      </c>
      <c r="U14" s="797">
        <f t="shared" si="3"/>
        <v>13126400.000000002</v>
      </c>
      <c r="V14" s="797">
        <v>870000</v>
      </c>
      <c r="W14" s="797">
        <f t="shared" si="3"/>
        <v>835200</v>
      </c>
      <c r="X14" s="797">
        <f t="shared" si="3"/>
        <v>748200</v>
      </c>
    </row>
    <row r="15" spans="1:25" x14ac:dyDescent="0.25">
      <c r="A15" s="791">
        <v>6</v>
      </c>
      <c r="B15" s="796" t="s">
        <v>35</v>
      </c>
      <c r="C15" s="797">
        <v>66000</v>
      </c>
      <c r="D15" s="797">
        <v>66000</v>
      </c>
      <c r="E15" s="797">
        <v>66000</v>
      </c>
      <c r="F15" s="797">
        <v>66000</v>
      </c>
      <c r="G15" s="797">
        <v>66000</v>
      </c>
      <c r="H15" s="797">
        <v>66000</v>
      </c>
      <c r="I15" s="797">
        <v>66000</v>
      </c>
      <c r="J15" s="797">
        <v>66000</v>
      </c>
      <c r="K15" s="797">
        <v>66000</v>
      </c>
      <c r="L15" s="797">
        <v>66000</v>
      </c>
      <c r="M15" s="797">
        <v>66000</v>
      </c>
      <c r="N15" s="797"/>
      <c r="O15" s="797"/>
      <c r="P15" s="797"/>
      <c r="Q15" s="797"/>
      <c r="R15" s="797"/>
      <c r="S15" s="797"/>
      <c r="T15" s="797"/>
      <c r="U15" s="797"/>
      <c r="V15" s="797"/>
      <c r="W15" s="797"/>
      <c r="X15" s="798"/>
    </row>
    <row r="16" spans="1:25" x14ac:dyDescent="0.25">
      <c r="A16" s="791">
        <v>7</v>
      </c>
      <c r="B16" s="796" t="s">
        <v>36</v>
      </c>
      <c r="C16" s="797">
        <f>C15*C10</f>
        <v>690360</v>
      </c>
      <c r="D16" s="797">
        <f t="shared" ref="D16:M16" si="4">D15*D10</f>
        <v>353760</v>
      </c>
      <c r="E16" s="797">
        <f t="shared" si="4"/>
        <v>354420</v>
      </c>
      <c r="F16" s="797">
        <f t="shared" si="4"/>
        <v>339900</v>
      </c>
      <c r="G16" s="797">
        <f t="shared" si="4"/>
        <v>812459.99999999988</v>
      </c>
      <c r="H16" s="797">
        <f t="shared" si="4"/>
        <v>276540</v>
      </c>
      <c r="I16" s="797">
        <f t="shared" si="4"/>
        <v>743160.00000000012</v>
      </c>
      <c r="J16" s="797">
        <f t="shared" si="4"/>
        <v>277200</v>
      </c>
      <c r="K16" s="797">
        <f t="shared" si="4"/>
        <v>277200</v>
      </c>
      <c r="L16" s="797">
        <f t="shared" si="4"/>
        <v>835560</v>
      </c>
      <c r="M16" s="797">
        <f t="shared" si="4"/>
        <v>275880</v>
      </c>
      <c r="N16" s="797"/>
      <c r="O16" s="797"/>
      <c r="P16" s="797"/>
      <c r="Q16" s="797"/>
      <c r="R16" s="797"/>
      <c r="S16" s="797"/>
      <c r="T16" s="797"/>
      <c r="U16" s="797"/>
      <c r="V16" s="797"/>
      <c r="W16" s="797"/>
      <c r="X16" s="797"/>
      <c r="Y16" s="798"/>
    </row>
    <row r="17" spans="1:24" x14ac:dyDescent="0.25">
      <c r="A17" s="791"/>
      <c r="B17" s="792" t="s">
        <v>37</v>
      </c>
      <c r="C17" s="799">
        <f t="shared" ref="C17:M17" si="5">C14+C16</f>
        <v>13692360</v>
      </c>
      <c r="D17" s="799">
        <f t="shared" si="5"/>
        <v>7088400</v>
      </c>
      <c r="E17" s="799">
        <f t="shared" si="5"/>
        <v>7696260</v>
      </c>
      <c r="F17" s="799">
        <f t="shared" si="5"/>
        <v>8362860</v>
      </c>
      <c r="G17" s="799">
        <f t="shared" si="5"/>
        <v>11833140</v>
      </c>
      <c r="H17" s="799">
        <f t="shared" si="5"/>
        <v>8332500</v>
      </c>
      <c r="I17" s="799">
        <f t="shared" si="5"/>
        <v>13255440</v>
      </c>
      <c r="J17" s="799">
        <f t="shared" si="5"/>
        <v>9225480</v>
      </c>
      <c r="K17" s="799">
        <f t="shared" si="5"/>
        <v>9216240</v>
      </c>
      <c r="L17" s="799">
        <f t="shared" si="5"/>
        <v>12207360</v>
      </c>
      <c r="M17" s="799">
        <f t="shared" si="5"/>
        <v>7341840</v>
      </c>
      <c r="N17" s="799">
        <f>N14</f>
        <v>7110400</v>
      </c>
      <c r="O17" s="799">
        <f>O14</f>
        <v>7108800</v>
      </c>
      <c r="P17" s="799">
        <f>P14</f>
        <v>5816000</v>
      </c>
      <c r="Q17" s="799">
        <f>Q14</f>
        <v>12689600</v>
      </c>
      <c r="R17" s="799">
        <f>R14</f>
        <v>7411200</v>
      </c>
      <c r="S17" s="799">
        <f t="shared" ref="S17:U17" si="6">S14</f>
        <v>8108800</v>
      </c>
      <c r="T17" s="799">
        <f t="shared" si="6"/>
        <v>8859200</v>
      </c>
      <c r="U17" s="799">
        <f t="shared" si="6"/>
        <v>13126400.000000002</v>
      </c>
      <c r="V17" s="799">
        <f>V14</f>
        <v>870000</v>
      </c>
      <c r="W17" s="799">
        <f t="shared" ref="W17:X17" si="7">W14</f>
        <v>835200</v>
      </c>
      <c r="X17" s="799">
        <f t="shared" si="7"/>
        <v>748200</v>
      </c>
    </row>
    <row r="18" spans="1:24" x14ac:dyDescent="0.25">
      <c r="A18" s="791"/>
      <c r="B18" s="796"/>
      <c r="C18" s="797"/>
      <c r="D18" s="797"/>
      <c r="E18" s="797"/>
      <c r="F18" s="797"/>
      <c r="G18" s="797"/>
      <c r="H18" s="797"/>
      <c r="I18" s="797"/>
      <c r="J18" s="797"/>
      <c r="K18" s="797"/>
      <c r="L18" s="797"/>
      <c r="M18" s="797"/>
      <c r="N18" s="797"/>
      <c r="O18" s="797"/>
      <c r="P18" s="797"/>
      <c r="Q18" s="797"/>
      <c r="R18" s="797"/>
      <c r="S18" s="797"/>
      <c r="T18" s="797"/>
      <c r="U18" s="797"/>
      <c r="V18" s="797"/>
      <c r="W18" s="797"/>
      <c r="X18" s="798"/>
    </row>
    <row r="19" spans="1:24" x14ac:dyDescent="0.25">
      <c r="A19" s="791">
        <v>8</v>
      </c>
      <c r="B19" s="796" t="s">
        <v>38</v>
      </c>
      <c r="C19" s="797">
        <f t="shared" ref="C19:X19" si="8">C17*12%</f>
        <v>1643083.2</v>
      </c>
      <c r="D19" s="797">
        <f t="shared" si="8"/>
        <v>850608</v>
      </c>
      <c r="E19" s="797">
        <f t="shared" si="8"/>
        <v>923551.2</v>
      </c>
      <c r="F19" s="797">
        <f t="shared" si="8"/>
        <v>1003543.2</v>
      </c>
      <c r="G19" s="797">
        <f t="shared" si="8"/>
        <v>1419976.8</v>
      </c>
      <c r="H19" s="797">
        <f t="shared" si="8"/>
        <v>999900</v>
      </c>
      <c r="I19" s="797">
        <f t="shared" si="8"/>
        <v>1590652.8</v>
      </c>
      <c r="J19" s="797">
        <f t="shared" si="8"/>
        <v>1107057.5999999999</v>
      </c>
      <c r="K19" s="797">
        <f t="shared" si="8"/>
        <v>1105948.8</v>
      </c>
      <c r="L19" s="797">
        <f t="shared" si="8"/>
        <v>1464883.2</v>
      </c>
      <c r="M19" s="797">
        <f t="shared" si="8"/>
        <v>881020.79999999993</v>
      </c>
      <c r="N19" s="797">
        <f t="shared" si="8"/>
        <v>853248</v>
      </c>
      <c r="O19" s="797">
        <f t="shared" si="8"/>
        <v>853056</v>
      </c>
      <c r="P19" s="797">
        <f t="shared" si="8"/>
        <v>697920</v>
      </c>
      <c r="Q19" s="797">
        <f t="shared" si="8"/>
        <v>1522752</v>
      </c>
      <c r="R19" s="797">
        <f t="shared" si="8"/>
        <v>889344</v>
      </c>
      <c r="S19" s="797">
        <f t="shared" si="8"/>
        <v>973056</v>
      </c>
      <c r="T19" s="797">
        <f t="shared" si="8"/>
        <v>1063104</v>
      </c>
      <c r="U19" s="797">
        <f t="shared" si="8"/>
        <v>1575168.0000000002</v>
      </c>
      <c r="V19" s="797">
        <f t="shared" si="8"/>
        <v>104400</v>
      </c>
      <c r="W19" s="797">
        <f t="shared" si="8"/>
        <v>100224</v>
      </c>
      <c r="X19" s="797">
        <f t="shared" si="8"/>
        <v>89784</v>
      </c>
    </row>
    <row r="20" spans="1:24" x14ac:dyDescent="0.25">
      <c r="A20" s="791">
        <v>9</v>
      </c>
      <c r="B20" s="796" t="s">
        <v>39</v>
      </c>
      <c r="C20" s="797">
        <f>C17*6%</f>
        <v>821541.6</v>
      </c>
      <c r="D20" s="797">
        <f t="shared" ref="D20:X20" si="9">D17*6%</f>
        <v>425304</v>
      </c>
      <c r="E20" s="797">
        <f t="shared" si="9"/>
        <v>461775.6</v>
      </c>
      <c r="F20" s="797">
        <f t="shared" si="9"/>
        <v>501771.6</v>
      </c>
      <c r="G20" s="797">
        <f t="shared" si="9"/>
        <v>709988.4</v>
      </c>
      <c r="H20" s="797">
        <f t="shared" si="9"/>
        <v>499950</v>
      </c>
      <c r="I20" s="797">
        <f t="shared" si="9"/>
        <v>795326.4</v>
      </c>
      <c r="J20" s="797">
        <f t="shared" si="9"/>
        <v>553528.79999999993</v>
      </c>
      <c r="K20" s="797">
        <f t="shared" si="9"/>
        <v>552974.4</v>
      </c>
      <c r="L20" s="797">
        <f t="shared" si="9"/>
        <v>732441.59999999998</v>
      </c>
      <c r="M20" s="797">
        <f t="shared" si="9"/>
        <v>440510.39999999997</v>
      </c>
      <c r="N20" s="797">
        <f t="shared" si="9"/>
        <v>426624</v>
      </c>
      <c r="O20" s="797">
        <f t="shared" si="9"/>
        <v>426528</v>
      </c>
      <c r="P20" s="797">
        <f t="shared" si="9"/>
        <v>348960</v>
      </c>
      <c r="Q20" s="797">
        <f t="shared" si="9"/>
        <v>761376</v>
      </c>
      <c r="R20" s="797">
        <f t="shared" si="9"/>
        <v>444672</v>
      </c>
      <c r="S20" s="797">
        <f t="shared" si="9"/>
        <v>486528</v>
      </c>
      <c r="T20" s="797">
        <f t="shared" si="9"/>
        <v>531552</v>
      </c>
      <c r="U20" s="797">
        <f t="shared" si="9"/>
        <v>787584.00000000012</v>
      </c>
      <c r="V20" s="797">
        <f t="shared" si="9"/>
        <v>52200</v>
      </c>
      <c r="W20" s="797">
        <f t="shared" si="9"/>
        <v>50112</v>
      </c>
      <c r="X20" s="797">
        <f t="shared" si="9"/>
        <v>44892</v>
      </c>
    </row>
    <row r="21" spans="1:24" x14ac:dyDescent="0.25">
      <c r="A21" s="791">
        <v>10</v>
      </c>
      <c r="B21" s="796" t="s">
        <v>40</v>
      </c>
      <c r="C21" s="797">
        <f>C17*2.5%</f>
        <v>342309</v>
      </c>
      <c r="D21" s="797">
        <f t="shared" ref="D21:X21" si="10">D17*2.5%</f>
        <v>177210</v>
      </c>
      <c r="E21" s="797">
        <f t="shared" si="10"/>
        <v>192406.5</v>
      </c>
      <c r="F21" s="797">
        <f t="shared" si="10"/>
        <v>209071.5</v>
      </c>
      <c r="G21" s="797">
        <f t="shared" si="10"/>
        <v>295828.5</v>
      </c>
      <c r="H21" s="797">
        <f t="shared" si="10"/>
        <v>208312.5</v>
      </c>
      <c r="I21" s="797">
        <f t="shared" si="10"/>
        <v>331386</v>
      </c>
      <c r="J21" s="797">
        <f t="shared" si="10"/>
        <v>230637</v>
      </c>
      <c r="K21" s="797">
        <f t="shared" si="10"/>
        <v>230406</v>
      </c>
      <c r="L21" s="797">
        <f t="shared" si="10"/>
        <v>305184</v>
      </c>
      <c r="M21" s="797">
        <f t="shared" si="10"/>
        <v>183546</v>
      </c>
      <c r="N21" s="797">
        <f t="shared" si="10"/>
        <v>177760</v>
      </c>
      <c r="O21" s="797">
        <f t="shared" si="10"/>
        <v>177720</v>
      </c>
      <c r="P21" s="797">
        <f t="shared" si="10"/>
        <v>145400</v>
      </c>
      <c r="Q21" s="797">
        <f t="shared" si="10"/>
        <v>317240</v>
      </c>
      <c r="R21" s="797">
        <f t="shared" si="10"/>
        <v>185280</v>
      </c>
      <c r="S21" s="797">
        <f t="shared" si="10"/>
        <v>202720</v>
      </c>
      <c r="T21" s="797">
        <f t="shared" si="10"/>
        <v>221480</v>
      </c>
      <c r="U21" s="797">
        <f t="shared" si="10"/>
        <v>328160.00000000006</v>
      </c>
      <c r="V21" s="797">
        <f t="shared" si="10"/>
        <v>21750</v>
      </c>
      <c r="W21" s="797">
        <f t="shared" si="10"/>
        <v>20880</v>
      </c>
      <c r="X21" s="797">
        <f t="shared" si="10"/>
        <v>18705</v>
      </c>
    </row>
    <row r="22" spans="1:24" x14ac:dyDescent="0.25">
      <c r="A22" s="791"/>
      <c r="B22" s="796"/>
      <c r="C22" s="797"/>
      <c r="D22" s="797"/>
      <c r="E22" s="797"/>
      <c r="F22" s="797"/>
      <c r="G22" s="797"/>
      <c r="H22" s="797"/>
      <c r="I22" s="797"/>
      <c r="J22" s="797"/>
      <c r="K22" s="797"/>
      <c r="L22" s="797"/>
      <c r="M22" s="797"/>
      <c r="N22" s="797"/>
      <c r="O22" s="797"/>
      <c r="P22" s="797"/>
      <c r="Q22" s="797"/>
      <c r="R22" s="797"/>
      <c r="S22" s="797"/>
      <c r="T22" s="797"/>
      <c r="U22" s="797"/>
      <c r="V22" s="797"/>
      <c r="W22" s="797"/>
      <c r="X22" s="798"/>
    </row>
    <row r="23" spans="1:24" x14ac:dyDescent="0.25">
      <c r="A23" s="791"/>
      <c r="B23" s="792" t="s">
        <v>41</v>
      </c>
      <c r="C23" s="799">
        <f t="shared" ref="C23:X23" si="11">C17+C19+C20+C21</f>
        <v>16499293.799999999</v>
      </c>
      <c r="D23" s="799">
        <f t="shared" si="11"/>
        <v>8541522</v>
      </c>
      <c r="E23" s="799">
        <f t="shared" si="11"/>
        <v>9273993.2999999989</v>
      </c>
      <c r="F23" s="799">
        <f t="shared" si="11"/>
        <v>10077246.299999999</v>
      </c>
      <c r="G23" s="799">
        <f t="shared" si="11"/>
        <v>14258933.700000001</v>
      </c>
      <c r="H23" s="799">
        <f t="shared" si="11"/>
        <v>10040662.5</v>
      </c>
      <c r="I23" s="799">
        <f t="shared" si="11"/>
        <v>15972805.200000001</v>
      </c>
      <c r="J23" s="799">
        <f t="shared" si="11"/>
        <v>11116703.4</v>
      </c>
      <c r="K23" s="799">
        <f t="shared" si="11"/>
        <v>11105569.200000001</v>
      </c>
      <c r="L23" s="799">
        <f t="shared" si="11"/>
        <v>14709868.799999999</v>
      </c>
      <c r="M23" s="799">
        <f t="shared" si="11"/>
        <v>8846917.1999999993</v>
      </c>
      <c r="N23" s="799">
        <f t="shared" si="11"/>
        <v>8568032</v>
      </c>
      <c r="O23" s="799">
        <f t="shared" si="11"/>
        <v>8566104</v>
      </c>
      <c r="P23" s="799">
        <f t="shared" si="11"/>
        <v>7008280</v>
      </c>
      <c r="Q23" s="799">
        <f t="shared" si="11"/>
        <v>15290968</v>
      </c>
      <c r="R23" s="799">
        <f t="shared" si="11"/>
        <v>8930496</v>
      </c>
      <c r="S23" s="799">
        <f t="shared" si="11"/>
        <v>9771104</v>
      </c>
      <c r="T23" s="799">
        <f t="shared" si="11"/>
        <v>10675336</v>
      </c>
      <c r="U23" s="799">
        <f t="shared" si="11"/>
        <v>15817312.000000002</v>
      </c>
      <c r="V23" s="799">
        <f t="shared" si="11"/>
        <v>1048350</v>
      </c>
      <c r="W23" s="799">
        <f t="shared" si="11"/>
        <v>1006416</v>
      </c>
      <c r="X23" s="799">
        <f t="shared" si="11"/>
        <v>901581</v>
      </c>
    </row>
    <row r="24" spans="1:24" x14ac:dyDescent="0.25">
      <c r="A24" s="791">
        <v>11</v>
      </c>
      <c r="B24" s="796" t="s">
        <v>33</v>
      </c>
      <c r="C24" s="797">
        <f t="shared" ref="C24:X24" si="12">C23/C11</f>
        <v>151425.23678414096</v>
      </c>
      <c r="D24" s="797">
        <f t="shared" si="12"/>
        <v>151499.14863426748</v>
      </c>
      <c r="E24" s="797">
        <f t="shared" si="12"/>
        <v>152057.60452533202</v>
      </c>
      <c r="F24" s="797">
        <f t="shared" si="12"/>
        <v>152847.66115577123</v>
      </c>
      <c r="G24" s="797">
        <f t="shared" si="12"/>
        <v>148840.6440501044</v>
      </c>
      <c r="H24" s="797">
        <f t="shared" si="12"/>
        <v>153950.66697332106</v>
      </c>
      <c r="I24" s="797">
        <f t="shared" si="12"/>
        <v>150615.79632248939</v>
      </c>
      <c r="J24" s="797">
        <f t="shared" si="12"/>
        <v>154420.10557021806</v>
      </c>
      <c r="K24" s="797">
        <f t="shared" si="12"/>
        <v>154415.58954393773</v>
      </c>
      <c r="L24" s="797">
        <f t="shared" si="12"/>
        <v>148870.24390243902</v>
      </c>
      <c r="M24" s="797">
        <f t="shared" si="12"/>
        <v>153299.55293709927</v>
      </c>
      <c r="N24" s="797">
        <f t="shared" si="12"/>
        <v>192800</v>
      </c>
      <c r="O24" s="797">
        <f t="shared" si="12"/>
        <v>192800</v>
      </c>
      <c r="P24" s="797">
        <f t="shared" si="12"/>
        <v>192800</v>
      </c>
      <c r="Q24" s="797">
        <f t="shared" si="12"/>
        <v>192800</v>
      </c>
      <c r="R24" s="797">
        <f t="shared" si="12"/>
        <v>192800</v>
      </c>
      <c r="S24" s="797">
        <f t="shared" si="12"/>
        <v>192800</v>
      </c>
      <c r="T24" s="797">
        <f t="shared" si="12"/>
        <v>192800</v>
      </c>
      <c r="U24" s="797">
        <f t="shared" si="12"/>
        <v>192800</v>
      </c>
      <c r="V24" s="797">
        <f t="shared" si="12"/>
        <v>83868</v>
      </c>
      <c r="W24" s="797">
        <f t="shared" si="12"/>
        <v>83868</v>
      </c>
      <c r="X24" s="797">
        <f t="shared" si="12"/>
        <v>83868</v>
      </c>
    </row>
    <row r="25" spans="1:24" x14ac:dyDescent="0.25">
      <c r="A25" s="791">
        <v>12</v>
      </c>
      <c r="B25" s="796" t="s">
        <v>42</v>
      </c>
      <c r="C25" s="800">
        <v>0.25</v>
      </c>
      <c r="D25" s="800">
        <v>0.25</v>
      </c>
      <c r="E25" s="800">
        <v>0.25</v>
      </c>
      <c r="F25" s="800">
        <v>0.25</v>
      </c>
      <c r="G25" s="800">
        <v>0.25</v>
      </c>
      <c r="H25" s="800">
        <v>0.25</v>
      </c>
      <c r="I25" s="800">
        <v>0.25</v>
      </c>
      <c r="J25" s="800">
        <v>0.25</v>
      </c>
      <c r="K25" s="800">
        <v>0.25</v>
      </c>
      <c r="L25" s="800">
        <v>0.25</v>
      </c>
      <c r="M25" s="800">
        <v>0.25</v>
      </c>
      <c r="N25" s="800">
        <v>0.4</v>
      </c>
      <c r="O25" s="800">
        <v>0.4</v>
      </c>
      <c r="P25" s="800">
        <v>0.4</v>
      </c>
      <c r="Q25" s="800">
        <v>0.4</v>
      </c>
      <c r="R25" s="800">
        <v>0.4</v>
      </c>
      <c r="S25" s="800">
        <v>0.4</v>
      </c>
      <c r="T25" s="800">
        <v>0.4</v>
      </c>
      <c r="U25" s="800">
        <v>0.4</v>
      </c>
      <c r="V25" s="800">
        <v>0.25</v>
      </c>
      <c r="W25" s="800">
        <v>0.25</v>
      </c>
      <c r="X25" s="800">
        <v>0.25</v>
      </c>
    </row>
    <row r="26" spans="1:24" x14ac:dyDescent="0.25">
      <c r="A26" s="791">
        <v>13</v>
      </c>
      <c r="B26" s="796" t="s">
        <v>43</v>
      </c>
      <c r="C26" s="797">
        <f t="shared" ref="C26:X26" si="13">C23*C25</f>
        <v>4124823.4499999997</v>
      </c>
      <c r="D26" s="797">
        <f t="shared" si="13"/>
        <v>2135380.5</v>
      </c>
      <c r="E26" s="797">
        <f t="shared" si="13"/>
        <v>2318498.3249999997</v>
      </c>
      <c r="F26" s="797">
        <f t="shared" si="13"/>
        <v>2519311.5749999997</v>
      </c>
      <c r="G26" s="797">
        <f t="shared" si="13"/>
        <v>3564733.4250000003</v>
      </c>
      <c r="H26" s="797">
        <f t="shared" si="13"/>
        <v>2510165.625</v>
      </c>
      <c r="I26" s="797">
        <f t="shared" si="13"/>
        <v>3993201.3000000003</v>
      </c>
      <c r="J26" s="797">
        <f t="shared" si="13"/>
        <v>2779175.85</v>
      </c>
      <c r="K26" s="797">
        <f t="shared" si="13"/>
        <v>2776392.3000000003</v>
      </c>
      <c r="L26" s="797">
        <f t="shared" si="13"/>
        <v>3677467.1999999997</v>
      </c>
      <c r="M26" s="797">
        <f t="shared" si="13"/>
        <v>2211729.2999999998</v>
      </c>
      <c r="N26" s="797">
        <f t="shared" si="13"/>
        <v>3427212.8000000003</v>
      </c>
      <c r="O26" s="797">
        <f t="shared" si="13"/>
        <v>3426441.6</v>
      </c>
      <c r="P26" s="797">
        <f t="shared" si="13"/>
        <v>2803312</v>
      </c>
      <c r="Q26" s="797">
        <f t="shared" si="13"/>
        <v>6116387.2000000002</v>
      </c>
      <c r="R26" s="797">
        <f t="shared" si="13"/>
        <v>3572198.4000000004</v>
      </c>
      <c r="S26" s="797">
        <f t="shared" si="13"/>
        <v>3908441.6</v>
      </c>
      <c r="T26" s="797">
        <f t="shared" si="13"/>
        <v>4270134.4000000004</v>
      </c>
      <c r="U26" s="797">
        <f t="shared" si="13"/>
        <v>6326924.8000000007</v>
      </c>
      <c r="V26" s="797">
        <f t="shared" si="13"/>
        <v>262087.5</v>
      </c>
      <c r="W26" s="797">
        <f t="shared" si="13"/>
        <v>251604</v>
      </c>
      <c r="X26" s="797">
        <f t="shared" si="13"/>
        <v>225395.25</v>
      </c>
    </row>
    <row r="27" spans="1:24" x14ac:dyDescent="0.25">
      <c r="A27" s="791">
        <v>14</v>
      </c>
      <c r="B27" s="796" t="s">
        <v>44</v>
      </c>
      <c r="C27" s="797">
        <v>50000</v>
      </c>
      <c r="D27" s="797">
        <v>50000</v>
      </c>
      <c r="E27" s="797">
        <v>50000</v>
      </c>
      <c r="F27" s="797">
        <v>50000</v>
      </c>
      <c r="G27" s="797">
        <v>50000</v>
      </c>
      <c r="H27" s="797">
        <v>50000</v>
      </c>
      <c r="I27" s="797">
        <v>50000</v>
      </c>
      <c r="J27" s="797">
        <v>50000</v>
      </c>
      <c r="K27" s="797">
        <v>50000</v>
      </c>
      <c r="L27" s="797">
        <v>50000</v>
      </c>
      <c r="M27" s="797">
        <v>50000</v>
      </c>
      <c r="N27" s="797">
        <f>'[16]Project Data'!$E$113</f>
        <v>100000</v>
      </c>
      <c r="O27" s="797">
        <f>'[16]Project Data'!$E$113</f>
        <v>100000</v>
      </c>
      <c r="P27" s="797">
        <f>'[16]Project Data'!$E$113</f>
        <v>100000</v>
      </c>
      <c r="Q27" s="797">
        <f>'[16]Project Data'!$E$113</f>
        <v>100000</v>
      </c>
      <c r="R27" s="797">
        <f>'[16]Project Data'!$E$113</f>
        <v>100000</v>
      </c>
      <c r="S27" s="797">
        <f>'[16]Project Data'!$E$113</f>
        <v>100000</v>
      </c>
      <c r="T27" s="797">
        <f>'[16]Project Data'!$E$113</f>
        <v>100000</v>
      </c>
      <c r="U27" s="797">
        <f>'[16]Project Data'!$E$113</f>
        <v>100000</v>
      </c>
      <c r="V27" s="797">
        <v>30000</v>
      </c>
      <c r="W27" s="797">
        <v>30000</v>
      </c>
      <c r="X27" s="797">
        <v>30000</v>
      </c>
    </row>
    <row r="28" spans="1:24" x14ac:dyDescent="0.25">
      <c r="A28" s="791">
        <v>15</v>
      </c>
      <c r="B28" s="796" t="s">
        <v>45</v>
      </c>
      <c r="C28" s="797">
        <f t="shared" ref="C28:X28" si="14">C26-C27</f>
        <v>4074823.4499999997</v>
      </c>
      <c r="D28" s="797">
        <f t="shared" si="14"/>
        <v>2085380.5</v>
      </c>
      <c r="E28" s="797">
        <f t="shared" si="14"/>
        <v>2268498.3249999997</v>
      </c>
      <c r="F28" s="797">
        <f t="shared" si="14"/>
        <v>2469311.5749999997</v>
      </c>
      <c r="G28" s="797">
        <f t="shared" si="14"/>
        <v>3514733.4250000003</v>
      </c>
      <c r="H28" s="797">
        <f t="shared" si="14"/>
        <v>2460165.625</v>
      </c>
      <c r="I28" s="797">
        <f t="shared" si="14"/>
        <v>3943201.3000000003</v>
      </c>
      <c r="J28" s="797">
        <f t="shared" si="14"/>
        <v>2729175.85</v>
      </c>
      <c r="K28" s="797">
        <f t="shared" si="14"/>
        <v>2726392.3000000003</v>
      </c>
      <c r="L28" s="797">
        <f t="shared" si="14"/>
        <v>3627467.1999999997</v>
      </c>
      <c r="M28" s="797">
        <f t="shared" si="14"/>
        <v>2161729.2999999998</v>
      </c>
      <c r="N28" s="797">
        <f t="shared" si="14"/>
        <v>3327212.8000000003</v>
      </c>
      <c r="O28" s="797">
        <f t="shared" si="14"/>
        <v>3326441.6</v>
      </c>
      <c r="P28" s="797">
        <f t="shared" si="14"/>
        <v>2703312</v>
      </c>
      <c r="Q28" s="797">
        <f t="shared" si="14"/>
        <v>6016387.2000000002</v>
      </c>
      <c r="R28" s="797">
        <f t="shared" si="14"/>
        <v>3472198.4000000004</v>
      </c>
      <c r="S28" s="797">
        <f t="shared" si="14"/>
        <v>3808441.6</v>
      </c>
      <c r="T28" s="797">
        <f t="shared" si="14"/>
        <v>4170134.4000000004</v>
      </c>
      <c r="U28" s="797">
        <f t="shared" si="14"/>
        <v>6226924.8000000007</v>
      </c>
      <c r="V28" s="797">
        <f t="shared" si="14"/>
        <v>232087.5</v>
      </c>
      <c r="W28" s="797">
        <f t="shared" si="14"/>
        <v>221604</v>
      </c>
      <c r="X28" s="797">
        <f t="shared" si="14"/>
        <v>195395.25</v>
      </c>
    </row>
    <row r="29" spans="1:24" hidden="1" x14ac:dyDescent="0.25">
      <c r="A29" s="791">
        <v>18</v>
      </c>
      <c r="B29" s="796" t="s">
        <v>46</v>
      </c>
      <c r="C29" s="797">
        <f>'[16]Project Data'!$E$115</f>
        <v>34</v>
      </c>
      <c r="D29" s="797"/>
      <c r="E29" s="797"/>
      <c r="F29" s="797"/>
      <c r="G29" s="797"/>
      <c r="H29" s="797"/>
      <c r="I29" s="797"/>
      <c r="J29" s="797"/>
      <c r="K29" s="797"/>
      <c r="L29" s="797"/>
      <c r="M29" s="797"/>
      <c r="N29" s="797"/>
      <c r="O29" s="797"/>
      <c r="P29" s="797"/>
      <c r="Q29" s="797"/>
      <c r="R29" s="797"/>
      <c r="S29" s="797"/>
      <c r="T29" s="797"/>
      <c r="U29" s="797"/>
      <c r="V29" s="797"/>
      <c r="W29" s="797"/>
      <c r="X29" s="798">
        <f>'[16]Project Data'!$E$115</f>
        <v>34</v>
      </c>
    </row>
    <row r="30" spans="1:24" hidden="1" x14ac:dyDescent="0.25">
      <c r="A30" s="791">
        <v>19</v>
      </c>
      <c r="B30" s="796" t="s">
        <v>47</v>
      </c>
      <c r="C30" s="797">
        <f>C28/C29</f>
        <v>119847.74852941175</v>
      </c>
      <c r="D30" s="797"/>
      <c r="E30" s="797"/>
      <c r="F30" s="797"/>
      <c r="G30" s="797"/>
      <c r="H30" s="797"/>
      <c r="I30" s="797"/>
      <c r="J30" s="797"/>
      <c r="K30" s="797"/>
      <c r="L30" s="797"/>
      <c r="M30" s="797"/>
      <c r="N30" s="797"/>
      <c r="O30" s="797"/>
      <c r="P30" s="797"/>
      <c r="Q30" s="797"/>
      <c r="R30" s="797"/>
      <c r="S30" s="797"/>
      <c r="T30" s="797"/>
      <c r="U30" s="797"/>
      <c r="V30" s="797"/>
      <c r="W30" s="797"/>
      <c r="X30" s="798">
        <f>X28/X29</f>
        <v>5746.9191176470586</v>
      </c>
    </row>
    <row r="31" spans="1:24" hidden="1" x14ac:dyDescent="0.25">
      <c r="A31" s="791"/>
      <c r="B31" s="796"/>
      <c r="C31" s="797"/>
      <c r="D31" s="797"/>
      <c r="E31" s="797"/>
      <c r="F31" s="797"/>
      <c r="G31" s="797"/>
      <c r="H31" s="797"/>
      <c r="I31" s="797"/>
      <c r="J31" s="797"/>
      <c r="K31" s="797"/>
      <c r="L31" s="797"/>
      <c r="M31" s="797"/>
      <c r="N31" s="797"/>
      <c r="O31" s="797"/>
      <c r="P31" s="797"/>
      <c r="Q31" s="797"/>
      <c r="R31" s="797"/>
      <c r="S31" s="797"/>
      <c r="T31" s="797"/>
      <c r="U31" s="797"/>
      <c r="V31" s="797"/>
      <c r="W31" s="797"/>
      <c r="X31" s="798"/>
    </row>
    <row r="32" spans="1:24" hidden="1" x14ac:dyDescent="0.25">
      <c r="A32" s="791">
        <v>20</v>
      </c>
      <c r="B32" s="796" t="s">
        <v>48</v>
      </c>
      <c r="C32" s="797">
        <f>C23-C26</f>
        <v>12374470.35</v>
      </c>
      <c r="D32" s="797"/>
      <c r="E32" s="797"/>
      <c r="F32" s="797"/>
      <c r="G32" s="797"/>
      <c r="H32" s="797"/>
      <c r="I32" s="797"/>
      <c r="J32" s="797"/>
      <c r="K32" s="797"/>
      <c r="L32" s="797"/>
      <c r="M32" s="797"/>
      <c r="N32" s="797"/>
      <c r="O32" s="797"/>
      <c r="P32" s="797"/>
      <c r="Q32" s="797"/>
      <c r="R32" s="797"/>
      <c r="S32" s="797"/>
      <c r="T32" s="797"/>
      <c r="U32" s="797"/>
      <c r="V32" s="797"/>
      <c r="W32" s="797"/>
      <c r="X32" s="798">
        <f>X23-X26</f>
        <v>676185.75</v>
      </c>
    </row>
    <row r="33" spans="1:24" hidden="1" x14ac:dyDescent="0.25">
      <c r="A33" s="791">
        <v>21</v>
      </c>
      <c r="B33" s="796" t="s">
        <v>49</v>
      </c>
      <c r="C33" s="797">
        <f>C32*$AA$7</f>
        <v>0</v>
      </c>
      <c r="D33" s="797"/>
      <c r="E33" s="797"/>
      <c r="F33" s="797"/>
      <c r="G33" s="797"/>
      <c r="H33" s="797"/>
      <c r="I33" s="797"/>
      <c r="J33" s="797"/>
      <c r="K33" s="797"/>
      <c r="L33" s="797"/>
      <c r="M33" s="797"/>
      <c r="N33" s="797"/>
      <c r="O33" s="797"/>
      <c r="P33" s="797"/>
      <c r="Q33" s="797"/>
      <c r="R33" s="797"/>
      <c r="S33" s="797"/>
      <c r="T33" s="797"/>
      <c r="U33" s="797"/>
      <c r="V33" s="797"/>
      <c r="W33" s="797"/>
      <c r="X33" s="798">
        <f>X32*$AA$7</f>
        <v>0</v>
      </c>
    </row>
    <row r="34" spans="1:24" hidden="1" x14ac:dyDescent="0.25">
      <c r="A34" s="791">
        <v>22</v>
      </c>
      <c r="B34" s="796" t="s">
        <v>50</v>
      </c>
      <c r="C34" s="797">
        <f>C32*$AA$9</f>
        <v>0</v>
      </c>
      <c r="D34" s="797"/>
      <c r="E34" s="797"/>
      <c r="F34" s="797"/>
      <c r="G34" s="797"/>
      <c r="H34" s="797"/>
      <c r="I34" s="797"/>
      <c r="J34" s="797"/>
      <c r="K34" s="797"/>
      <c r="L34" s="797"/>
      <c r="M34" s="797"/>
      <c r="N34" s="797"/>
      <c r="O34" s="797"/>
      <c r="P34" s="797"/>
      <c r="Q34" s="797"/>
      <c r="R34" s="797"/>
      <c r="S34" s="797"/>
      <c r="T34" s="797"/>
      <c r="U34" s="797"/>
      <c r="V34" s="797"/>
      <c r="W34" s="797"/>
      <c r="X34" s="798">
        <f>X32*$AA$9</f>
        <v>0</v>
      </c>
    </row>
    <row r="35" spans="1:24" hidden="1" x14ac:dyDescent="0.25">
      <c r="A35" s="791">
        <v>23</v>
      </c>
      <c r="B35" s="796" t="s">
        <v>51</v>
      </c>
      <c r="C35" s="801">
        <f>C32*$AA$10</f>
        <v>0</v>
      </c>
      <c r="D35" s="801"/>
      <c r="E35" s="801"/>
      <c r="F35" s="801"/>
      <c r="G35" s="801"/>
      <c r="H35" s="801"/>
      <c r="I35" s="801"/>
      <c r="J35" s="801"/>
      <c r="K35" s="801"/>
      <c r="L35" s="801"/>
      <c r="M35" s="801"/>
      <c r="N35" s="801"/>
      <c r="O35" s="801"/>
      <c r="P35" s="801"/>
      <c r="Q35" s="801"/>
      <c r="R35" s="801"/>
      <c r="S35" s="801"/>
      <c r="T35" s="801"/>
      <c r="U35" s="801"/>
      <c r="V35" s="801"/>
      <c r="W35" s="801"/>
      <c r="X35" s="802">
        <f>X32*$AA$10</f>
        <v>0</v>
      </c>
    </row>
    <row r="36" spans="1:24" hidden="1" x14ac:dyDescent="0.25">
      <c r="A36" s="803">
        <f>A35+1</f>
        <v>24</v>
      </c>
      <c r="B36" s="804" t="s">
        <v>52</v>
      </c>
      <c r="C36" s="804" t="e">
        <f>'[17]Project Data'!E125*'[17]Project Data'!E119</f>
        <v>#REF!</v>
      </c>
      <c r="D36" s="804"/>
      <c r="E36" s="804"/>
      <c r="F36" s="804"/>
      <c r="G36" s="804"/>
      <c r="H36" s="804"/>
      <c r="I36" s="804"/>
      <c r="J36" s="804"/>
      <c r="K36" s="804"/>
      <c r="L36" s="804"/>
      <c r="M36" s="804"/>
      <c r="N36" s="804"/>
      <c r="O36" s="804"/>
      <c r="P36" s="804"/>
      <c r="Q36" s="804"/>
      <c r="R36" s="804"/>
      <c r="S36" s="804"/>
      <c r="T36" s="804"/>
      <c r="U36" s="804"/>
      <c r="V36" s="804"/>
      <c r="W36" s="804"/>
      <c r="X36" s="805"/>
    </row>
    <row r="37" spans="1:24" hidden="1" x14ac:dyDescent="0.25">
      <c r="A37" s="803">
        <f>A36+1</f>
        <v>25</v>
      </c>
      <c r="B37" s="804" t="s">
        <v>53</v>
      </c>
      <c r="C37" s="804" t="e">
        <f>C31+C35+C36</f>
        <v>#REF!</v>
      </c>
      <c r="D37" s="804"/>
      <c r="E37" s="804"/>
      <c r="F37" s="804"/>
      <c r="G37" s="804"/>
      <c r="H37" s="804"/>
      <c r="I37" s="804"/>
      <c r="J37" s="804"/>
      <c r="K37" s="804"/>
      <c r="L37" s="804"/>
      <c r="M37" s="804"/>
      <c r="N37" s="804"/>
      <c r="O37" s="804"/>
      <c r="P37" s="804"/>
      <c r="Q37" s="804"/>
      <c r="R37" s="804"/>
      <c r="S37" s="804"/>
      <c r="T37" s="804"/>
      <c r="U37" s="804"/>
      <c r="V37" s="804"/>
      <c r="W37" s="804"/>
      <c r="X37" s="805"/>
    </row>
    <row r="38" spans="1:24" hidden="1" x14ac:dyDescent="0.25">
      <c r="A38" s="803"/>
      <c r="B38" s="804"/>
      <c r="C38" s="804"/>
      <c r="D38" s="804"/>
      <c r="E38" s="804"/>
      <c r="F38" s="804"/>
      <c r="G38" s="804"/>
      <c r="H38" s="804"/>
      <c r="I38" s="804"/>
      <c r="J38" s="804"/>
      <c r="K38" s="804"/>
      <c r="L38" s="804"/>
      <c r="M38" s="804"/>
      <c r="N38" s="804"/>
      <c r="O38" s="804"/>
      <c r="P38" s="804"/>
      <c r="Q38" s="804"/>
      <c r="R38" s="804"/>
      <c r="S38" s="804"/>
      <c r="T38" s="804"/>
      <c r="U38" s="804"/>
      <c r="V38" s="804"/>
      <c r="W38" s="804"/>
      <c r="X38" s="805"/>
    </row>
    <row r="39" spans="1:24" hidden="1" x14ac:dyDescent="0.25">
      <c r="A39" s="803" t="s">
        <v>54</v>
      </c>
      <c r="B39" s="804"/>
      <c r="C39" s="806"/>
      <c r="D39" s="806"/>
      <c r="E39" s="806"/>
      <c r="F39" s="806"/>
      <c r="G39" s="806"/>
      <c r="H39" s="806"/>
      <c r="I39" s="806"/>
      <c r="J39" s="806"/>
      <c r="K39" s="806"/>
      <c r="L39" s="806"/>
      <c r="M39" s="806"/>
      <c r="N39" s="804"/>
      <c r="O39" s="804"/>
      <c r="P39" s="804"/>
      <c r="Q39" s="804"/>
      <c r="R39" s="804"/>
      <c r="S39" s="804"/>
      <c r="T39" s="804"/>
      <c r="U39" s="804"/>
      <c r="V39" s="804"/>
      <c r="W39" s="804"/>
      <c r="X39" s="805"/>
    </row>
    <row r="40" spans="1:24" hidden="1" x14ac:dyDescent="0.25">
      <c r="A40" s="803">
        <v>1</v>
      </c>
      <c r="B40" s="804" t="s">
        <v>55</v>
      </c>
      <c r="C40" s="804" t="e">
        <f>'[17]Project Data'!E87</f>
        <v>#REF!</v>
      </c>
      <c r="D40" s="804"/>
      <c r="E40" s="804"/>
      <c r="F40" s="804"/>
      <c r="G40" s="804"/>
      <c r="H40" s="804"/>
      <c r="I40" s="804"/>
      <c r="J40" s="804"/>
      <c r="K40" s="804"/>
      <c r="L40" s="804"/>
      <c r="M40" s="804"/>
      <c r="N40" s="804"/>
      <c r="O40" s="804"/>
      <c r="P40" s="804"/>
      <c r="Q40" s="804"/>
      <c r="R40" s="804"/>
      <c r="S40" s="804"/>
      <c r="T40" s="804"/>
      <c r="U40" s="804"/>
      <c r="V40" s="804"/>
      <c r="W40" s="804"/>
      <c r="X40" s="805"/>
    </row>
    <row r="41" spans="1:24" hidden="1" x14ac:dyDescent="0.25">
      <c r="A41" s="803">
        <f>A40+1</f>
        <v>2</v>
      </c>
      <c r="B41" s="804" t="s">
        <v>56</v>
      </c>
      <c r="C41" s="804" t="e">
        <f>'[17]Project Data'!E86</f>
        <v>#REF!</v>
      </c>
      <c r="D41" s="804"/>
      <c r="E41" s="804"/>
      <c r="F41" s="804"/>
      <c r="G41" s="804"/>
      <c r="H41" s="804"/>
      <c r="I41" s="804"/>
      <c r="J41" s="804"/>
      <c r="K41" s="804"/>
      <c r="L41" s="804"/>
      <c r="M41" s="804"/>
      <c r="N41" s="804"/>
      <c r="O41" s="804"/>
      <c r="P41" s="804"/>
      <c r="Q41" s="804"/>
      <c r="R41" s="804"/>
      <c r="S41" s="804"/>
      <c r="T41" s="804"/>
      <c r="U41" s="804"/>
      <c r="V41" s="804"/>
      <c r="W41" s="804"/>
      <c r="X41" s="805"/>
    </row>
    <row r="42" spans="1:24" hidden="1" x14ac:dyDescent="0.25">
      <c r="A42" s="803">
        <f t="shared" ref="A42:A48" si="15">A41+1</f>
        <v>3</v>
      </c>
      <c r="B42" s="804" t="s">
        <v>57</v>
      </c>
      <c r="C42" s="804" t="e">
        <f>C40*C43</f>
        <v>#REF!</v>
      </c>
      <c r="D42" s="804"/>
      <c r="E42" s="804"/>
      <c r="F42" s="804"/>
      <c r="G42" s="804"/>
      <c r="H42" s="804"/>
      <c r="I42" s="804"/>
      <c r="J42" s="804"/>
      <c r="K42" s="804"/>
      <c r="L42" s="804"/>
      <c r="M42" s="804"/>
      <c r="N42" s="804"/>
      <c r="O42" s="804"/>
      <c r="P42" s="804"/>
      <c r="Q42" s="804"/>
      <c r="R42" s="804"/>
      <c r="S42" s="804"/>
      <c r="T42" s="804"/>
      <c r="U42" s="804"/>
      <c r="V42" s="804"/>
      <c r="W42" s="804"/>
      <c r="X42" s="805"/>
    </row>
    <row r="43" spans="1:24" hidden="1" x14ac:dyDescent="0.25">
      <c r="A43" s="803">
        <f t="shared" si="15"/>
        <v>4</v>
      </c>
      <c r="B43" s="804" t="s">
        <v>58</v>
      </c>
      <c r="C43" s="804">
        <f>'[17]Project Data'!E90</f>
        <v>135000</v>
      </c>
      <c r="D43" s="804"/>
      <c r="E43" s="804"/>
      <c r="F43" s="804"/>
      <c r="G43" s="804"/>
      <c r="H43" s="804"/>
      <c r="I43" s="804"/>
      <c r="J43" s="804"/>
      <c r="K43" s="804"/>
      <c r="L43" s="804"/>
      <c r="M43" s="804"/>
      <c r="N43" s="804"/>
      <c r="O43" s="804"/>
      <c r="P43" s="804"/>
      <c r="Q43" s="804"/>
      <c r="R43" s="804"/>
      <c r="S43" s="804"/>
      <c r="T43" s="804"/>
      <c r="U43" s="804"/>
      <c r="V43" s="804"/>
      <c r="W43" s="804"/>
      <c r="X43" s="805"/>
    </row>
    <row r="44" spans="1:24" hidden="1" x14ac:dyDescent="0.25">
      <c r="A44" s="803">
        <f t="shared" si="15"/>
        <v>5</v>
      </c>
      <c r="B44" s="804" t="s">
        <v>59</v>
      </c>
      <c r="C44" s="804" t="e">
        <f>'[17]Project Data'!E122</f>
        <v>#REF!</v>
      </c>
      <c r="D44" s="804"/>
      <c r="E44" s="804"/>
      <c r="F44" s="804"/>
      <c r="G44" s="804"/>
      <c r="H44" s="804"/>
      <c r="I44" s="804"/>
      <c r="J44" s="804"/>
      <c r="K44" s="804"/>
      <c r="L44" s="804"/>
      <c r="M44" s="804"/>
      <c r="N44" s="804"/>
      <c r="O44" s="804"/>
      <c r="P44" s="804"/>
      <c r="Q44" s="804"/>
      <c r="R44" s="804"/>
      <c r="S44" s="804"/>
      <c r="T44" s="804"/>
      <c r="U44" s="804"/>
      <c r="V44" s="804"/>
      <c r="W44" s="804"/>
      <c r="X44" s="805"/>
    </row>
    <row r="45" spans="1:24" hidden="1" x14ac:dyDescent="0.25">
      <c r="A45" s="803">
        <f t="shared" si="15"/>
        <v>6</v>
      </c>
      <c r="B45" s="804" t="s">
        <v>60</v>
      </c>
      <c r="C45" s="804" t="e">
        <f>C44/C41</f>
        <v>#REF!</v>
      </c>
      <c r="D45" s="804"/>
      <c r="E45" s="804"/>
      <c r="F45" s="804"/>
      <c r="G45" s="804"/>
      <c r="H45" s="804"/>
      <c r="I45" s="804"/>
      <c r="J45" s="804"/>
      <c r="K45" s="804"/>
      <c r="L45" s="804"/>
      <c r="M45" s="804"/>
      <c r="N45" s="804"/>
      <c r="O45" s="804"/>
      <c r="P45" s="804"/>
      <c r="Q45" s="804"/>
      <c r="R45" s="804"/>
      <c r="S45" s="804"/>
      <c r="T45" s="804"/>
      <c r="U45" s="804"/>
      <c r="V45" s="804"/>
      <c r="W45" s="804"/>
      <c r="X45" s="805"/>
    </row>
    <row r="46" spans="1:24" hidden="1" x14ac:dyDescent="0.25">
      <c r="A46" s="803">
        <f t="shared" si="15"/>
        <v>7</v>
      </c>
      <c r="B46" s="804" t="s">
        <v>61</v>
      </c>
      <c r="C46" s="804" t="e">
        <f>C44*2</f>
        <v>#REF!</v>
      </c>
      <c r="D46" s="804"/>
      <c r="E46" s="804"/>
      <c r="F46" s="804"/>
      <c r="G46" s="804"/>
      <c r="H46" s="804"/>
      <c r="I46" s="804"/>
      <c r="J46" s="804"/>
      <c r="K46" s="804"/>
      <c r="L46" s="804"/>
      <c r="M46" s="804"/>
      <c r="N46" s="804"/>
      <c r="O46" s="804"/>
      <c r="P46" s="804"/>
      <c r="Q46" s="804"/>
      <c r="R46" s="804"/>
      <c r="S46" s="804"/>
      <c r="T46" s="804"/>
      <c r="U46" s="804"/>
      <c r="V46" s="804"/>
      <c r="W46" s="804"/>
      <c r="X46" s="805"/>
    </row>
    <row r="47" spans="1:24" hidden="1" x14ac:dyDescent="0.25">
      <c r="A47" s="803">
        <f t="shared" si="15"/>
        <v>8</v>
      </c>
      <c r="B47" s="804" t="s">
        <v>52</v>
      </c>
      <c r="C47" s="804" t="e">
        <f>'[17]Project Data'!E125*'[17]Project Data'!E122</f>
        <v>#REF!</v>
      </c>
      <c r="D47" s="804"/>
      <c r="E47" s="804"/>
      <c r="F47" s="804"/>
      <c r="G47" s="804"/>
      <c r="H47" s="804"/>
      <c r="I47" s="804"/>
      <c r="J47" s="804"/>
      <c r="K47" s="804"/>
      <c r="L47" s="804"/>
      <c r="M47" s="804"/>
      <c r="N47" s="804"/>
      <c r="O47" s="804"/>
      <c r="P47" s="804"/>
      <c r="Q47" s="804"/>
      <c r="R47" s="804"/>
      <c r="S47" s="804"/>
      <c r="T47" s="804"/>
      <c r="U47" s="804"/>
      <c r="V47" s="804"/>
      <c r="W47" s="804"/>
      <c r="X47" s="805"/>
    </row>
    <row r="48" spans="1:24" hidden="1" x14ac:dyDescent="0.25">
      <c r="A48" s="803">
        <f t="shared" si="15"/>
        <v>9</v>
      </c>
      <c r="B48" s="804" t="s">
        <v>53</v>
      </c>
      <c r="C48" s="804" t="e">
        <f>C42+C46+C47</f>
        <v>#REF!</v>
      </c>
      <c r="D48" s="804"/>
      <c r="E48" s="804"/>
      <c r="F48" s="804"/>
      <c r="G48" s="804"/>
      <c r="H48" s="804"/>
      <c r="I48" s="804"/>
      <c r="J48" s="804"/>
      <c r="K48" s="804"/>
      <c r="L48" s="804"/>
      <c r="M48" s="804"/>
      <c r="N48" s="804"/>
      <c r="O48" s="804"/>
      <c r="P48" s="804"/>
      <c r="Q48" s="804"/>
      <c r="R48" s="804"/>
      <c r="S48" s="804"/>
      <c r="T48" s="804"/>
      <c r="U48" s="804"/>
      <c r="V48" s="804"/>
      <c r="W48" s="804"/>
      <c r="X48" s="805"/>
    </row>
    <row r="49" spans="1:24" hidden="1" x14ac:dyDescent="0.25">
      <c r="A49" s="803"/>
      <c r="B49" s="804"/>
      <c r="C49" s="804"/>
      <c r="D49" s="804"/>
      <c r="E49" s="804"/>
      <c r="F49" s="804"/>
      <c r="G49" s="804"/>
      <c r="H49" s="804"/>
      <c r="I49" s="804"/>
      <c r="J49" s="804"/>
      <c r="K49" s="804"/>
      <c r="L49" s="804"/>
      <c r="M49" s="804"/>
      <c r="N49" s="804"/>
      <c r="O49" s="804"/>
      <c r="P49" s="804"/>
      <c r="Q49" s="804"/>
      <c r="R49" s="804"/>
      <c r="S49" s="804"/>
      <c r="T49" s="804"/>
      <c r="U49" s="804"/>
      <c r="V49" s="804"/>
      <c r="W49" s="804"/>
      <c r="X49" s="805"/>
    </row>
    <row r="50" spans="1:24" hidden="1" x14ac:dyDescent="0.25">
      <c r="A50" s="803"/>
      <c r="B50" s="804"/>
      <c r="C50" s="804"/>
      <c r="D50" s="804"/>
      <c r="E50" s="804"/>
      <c r="F50" s="804"/>
      <c r="G50" s="804"/>
      <c r="H50" s="804"/>
      <c r="I50" s="804"/>
      <c r="J50" s="804"/>
      <c r="K50" s="804"/>
      <c r="L50" s="804"/>
      <c r="M50" s="804"/>
      <c r="N50" s="804"/>
      <c r="O50" s="804"/>
      <c r="P50" s="804"/>
      <c r="Q50" s="804"/>
      <c r="R50" s="804"/>
      <c r="S50" s="804"/>
      <c r="T50" s="804"/>
      <c r="U50" s="804"/>
      <c r="V50" s="804"/>
      <c r="W50" s="804"/>
      <c r="X50" s="805"/>
    </row>
    <row r="51" spans="1:24" s="789" customFormat="1" x14ac:dyDescent="0.25">
      <c r="A51" s="803">
        <v>16</v>
      </c>
      <c r="B51" s="804" t="s">
        <v>62</v>
      </c>
      <c r="C51" s="804">
        <f>C28/43</f>
        <v>94763.336046511628</v>
      </c>
      <c r="D51" s="804">
        <f t="shared" ref="D51:X51" si="16">D28/43</f>
        <v>48497.220930232557</v>
      </c>
      <c r="E51" s="804">
        <f t="shared" si="16"/>
        <v>52755.774999999994</v>
      </c>
      <c r="F51" s="804">
        <f t="shared" si="16"/>
        <v>57425.850581395345</v>
      </c>
      <c r="G51" s="804">
        <f t="shared" si="16"/>
        <v>81737.986627906983</v>
      </c>
      <c r="H51" s="804">
        <f t="shared" si="16"/>
        <v>57213.154069767443</v>
      </c>
      <c r="I51" s="804">
        <f t="shared" si="16"/>
        <v>91702.355813953502</v>
      </c>
      <c r="J51" s="804">
        <f t="shared" si="16"/>
        <v>63469.205813953493</v>
      </c>
      <c r="K51" s="804">
        <f t="shared" si="16"/>
        <v>63404.472093023265</v>
      </c>
      <c r="L51" s="804">
        <f t="shared" si="16"/>
        <v>84359.702325581384</v>
      </c>
      <c r="M51" s="804">
        <f t="shared" si="16"/>
        <v>50272.774418604648</v>
      </c>
      <c r="N51" s="804">
        <f t="shared" si="16"/>
        <v>77377.04186046512</v>
      </c>
      <c r="O51" s="804">
        <f t="shared" si="16"/>
        <v>77359.106976744195</v>
      </c>
      <c r="P51" s="804">
        <f t="shared" si="16"/>
        <v>62867.720930232557</v>
      </c>
      <c r="Q51" s="804">
        <f t="shared" si="16"/>
        <v>139915.98139534885</v>
      </c>
      <c r="R51" s="804">
        <f t="shared" si="16"/>
        <v>80748.800000000003</v>
      </c>
      <c r="S51" s="804">
        <f t="shared" si="16"/>
        <v>88568.409302325585</v>
      </c>
      <c r="T51" s="804">
        <f t="shared" si="16"/>
        <v>96979.869767441865</v>
      </c>
      <c r="U51" s="804">
        <f t="shared" si="16"/>
        <v>144812.20465116281</v>
      </c>
      <c r="V51" s="804">
        <f t="shared" si="16"/>
        <v>5397.3837209302328</v>
      </c>
      <c r="W51" s="804">
        <f t="shared" si="16"/>
        <v>5153.5813953488368</v>
      </c>
      <c r="X51" s="804">
        <f t="shared" si="16"/>
        <v>4544.0755813953492</v>
      </c>
    </row>
    <row r="52" spans="1:24" x14ac:dyDescent="0.25">
      <c r="A52" s="803"/>
      <c r="B52" s="804"/>
      <c r="C52" s="804"/>
      <c r="D52" s="804"/>
      <c r="E52" s="804"/>
      <c r="F52" s="804"/>
      <c r="G52" s="804"/>
      <c r="H52" s="804"/>
      <c r="I52" s="804"/>
      <c r="J52" s="804"/>
      <c r="K52" s="804"/>
      <c r="L52" s="804"/>
      <c r="M52" s="804"/>
      <c r="N52" s="804"/>
      <c r="O52" s="804"/>
      <c r="P52" s="804"/>
      <c r="Q52" s="804"/>
      <c r="R52" s="804"/>
      <c r="S52" s="804"/>
      <c r="T52" s="804"/>
      <c r="U52" s="804"/>
      <c r="V52" s="804"/>
      <c r="W52" s="804"/>
      <c r="X52" s="805"/>
    </row>
    <row r="53" spans="1:24" x14ac:dyDescent="0.25">
      <c r="A53" s="803">
        <v>17</v>
      </c>
      <c r="B53" s="807" t="s">
        <v>63</v>
      </c>
      <c r="C53" s="804">
        <f>C23-C26</f>
        <v>12374470.35</v>
      </c>
      <c r="D53" s="804">
        <f t="shared" ref="D53:X53" si="17">D23-D26</f>
        <v>6406141.5</v>
      </c>
      <c r="E53" s="804">
        <f t="shared" si="17"/>
        <v>6955494.9749999996</v>
      </c>
      <c r="F53" s="804">
        <f t="shared" si="17"/>
        <v>7557934.7249999996</v>
      </c>
      <c r="G53" s="804">
        <f t="shared" si="17"/>
        <v>10694200.275</v>
      </c>
      <c r="H53" s="804">
        <f t="shared" si="17"/>
        <v>7530496.875</v>
      </c>
      <c r="I53" s="804">
        <f t="shared" si="17"/>
        <v>11979603.9</v>
      </c>
      <c r="J53" s="804">
        <f t="shared" si="17"/>
        <v>8337527.5500000007</v>
      </c>
      <c r="K53" s="804">
        <f t="shared" si="17"/>
        <v>8329176.9000000004</v>
      </c>
      <c r="L53" s="804">
        <f t="shared" si="17"/>
        <v>11032401.6</v>
      </c>
      <c r="M53" s="804">
        <f t="shared" si="17"/>
        <v>6635187.8999999994</v>
      </c>
      <c r="N53" s="804">
        <f t="shared" si="17"/>
        <v>5140819.1999999993</v>
      </c>
      <c r="O53" s="804">
        <f t="shared" si="17"/>
        <v>5139662.4000000004</v>
      </c>
      <c r="P53" s="804">
        <f t="shared" si="17"/>
        <v>4204968</v>
      </c>
      <c r="Q53" s="804">
        <f t="shared" si="17"/>
        <v>9174580.8000000007</v>
      </c>
      <c r="R53" s="804">
        <f t="shared" si="17"/>
        <v>5358297.5999999996</v>
      </c>
      <c r="S53" s="804">
        <f t="shared" si="17"/>
        <v>5862662.4000000004</v>
      </c>
      <c r="T53" s="804">
        <f t="shared" si="17"/>
        <v>6405201.5999999996</v>
      </c>
      <c r="U53" s="804">
        <f t="shared" si="17"/>
        <v>9490387.2000000011</v>
      </c>
      <c r="V53" s="804">
        <f t="shared" si="17"/>
        <v>786262.5</v>
      </c>
      <c r="W53" s="804">
        <f t="shared" si="17"/>
        <v>754812</v>
      </c>
      <c r="X53" s="804">
        <f t="shared" si="17"/>
        <v>676185.75</v>
      </c>
    </row>
    <row r="54" spans="1:24" hidden="1" x14ac:dyDescent="0.25">
      <c r="A54" s="803">
        <v>18</v>
      </c>
      <c r="B54" s="804" t="s">
        <v>64</v>
      </c>
      <c r="C54" s="804">
        <v>69820.214423232668</v>
      </c>
      <c r="D54" s="804">
        <v>73795.417969823291</v>
      </c>
      <c r="E54" s="804">
        <v>78474.428045974215</v>
      </c>
      <c r="F54" s="804">
        <v>78852.398219256604</v>
      </c>
      <c r="G54" s="804"/>
      <c r="H54" s="804"/>
      <c r="I54" s="804"/>
      <c r="J54" s="804"/>
      <c r="K54" s="804"/>
      <c r="L54" s="804"/>
      <c r="M54" s="804"/>
      <c r="N54" s="804">
        <v>127975.48729171579</v>
      </c>
      <c r="O54" s="804">
        <v>69820.214423232668</v>
      </c>
      <c r="P54" s="804">
        <v>73795.417969823291</v>
      </c>
      <c r="Q54" s="804">
        <v>78852.398219256604</v>
      </c>
      <c r="R54" s="804">
        <v>143016.09349750457</v>
      </c>
      <c r="S54" s="804"/>
      <c r="T54" s="804"/>
      <c r="U54" s="804"/>
      <c r="V54" s="804">
        <v>10861.211875930661</v>
      </c>
      <c r="W54" s="804"/>
      <c r="X54" s="805">
        <v>11730.108826005115</v>
      </c>
    </row>
    <row r="55" spans="1:24" ht="15.75" thickBot="1" x14ac:dyDescent="0.3">
      <c r="A55" s="808">
        <v>19</v>
      </c>
      <c r="B55" s="809" t="s">
        <v>65</v>
      </c>
      <c r="C55" s="809">
        <f>C53*$B56</f>
        <v>111225.20435749799</v>
      </c>
      <c r="D55" s="809">
        <f t="shared" ref="D55:X55" si="18">D53*$B56</f>
        <v>57580.19352162</v>
      </c>
      <c r="E55" s="809">
        <f t="shared" si="18"/>
        <v>62517.936373892997</v>
      </c>
      <c r="F55" s="809">
        <f t="shared" si="18"/>
        <v>67932.833530022996</v>
      </c>
      <c r="G55" s="809">
        <f t="shared" si="18"/>
        <v>96122.466447776998</v>
      </c>
      <c r="H55" s="809">
        <f t="shared" si="18"/>
        <v>67686.214451624997</v>
      </c>
      <c r="I55" s="809">
        <f t="shared" si="18"/>
        <v>107676.034142292</v>
      </c>
      <c r="J55" s="809">
        <f t="shared" si="18"/>
        <v>74940.032127113998</v>
      </c>
      <c r="K55" s="809">
        <f t="shared" si="18"/>
        <v>74864.974146731998</v>
      </c>
      <c r="L55" s="809">
        <f t="shared" si="18"/>
        <v>99162.314653247988</v>
      </c>
      <c r="M55" s="809">
        <f t="shared" si="18"/>
        <v>59638.926697811992</v>
      </c>
      <c r="N55" s="809">
        <f t="shared" si="18"/>
        <v>46207.122398975989</v>
      </c>
      <c r="O55" s="809">
        <f t="shared" si="18"/>
        <v>46196.724756672003</v>
      </c>
      <c r="P55" s="809">
        <f t="shared" si="18"/>
        <v>37795.42977504</v>
      </c>
      <c r="Q55" s="809">
        <f t="shared" si="18"/>
        <v>82463.701113023999</v>
      </c>
      <c r="R55" s="809">
        <f t="shared" si="18"/>
        <v>48161.879152127993</v>
      </c>
      <c r="S55" s="809">
        <f t="shared" si="18"/>
        <v>52695.251196671998</v>
      </c>
      <c r="T55" s="809">
        <f t="shared" si="18"/>
        <v>57571.745437247992</v>
      </c>
      <c r="U55" s="809">
        <f t="shared" si="18"/>
        <v>85302.257462016001</v>
      </c>
      <c r="V55" s="809">
        <f t="shared" si="18"/>
        <v>7067.1475034999994</v>
      </c>
      <c r="W55" s="809">
        <f t="shared" si="18"/>
        <v>6784.4616033599996</v>
      </c>
      <c r="X55" s="809">
        <f t="shared" si="18"/>
        <v>6077.7468530099995</v>
      </c>
    </row>
    <row r="56" spans="1:24" x14ac:dyDescent="0.25">
      <c r="B56" s="810">
        <v>8.9882799999999995E-3</v>
      </c>
      <c r="C56" s="789">
        <f>C53*B56</f>
        <v>111225.20435749799</v>
      </c>
    </row>
    <row r="58" spans="1:24" x14ac:dyDescent="0.25">
      <c r="A58" s="990" t="s">
        <v>66</v>
      </c>
      <c r="B58" s="991"/>
      <c r="C58" s="991"/>
      <c r="D58" s="991"/>
      <c r="E58" s="991"/>
      <c r="F58" s="991"/>
      <c r="G58" s="991"/>
      <c r="H58" s="991"/>
      <c r="I58" s="991"/>
      <c r="J58" s="991"/>
      <c r="K58" s="991"/>
      <c r="L58" s="991"/>
      <c r="M58" s="991"/>
      <c r="N58" s="991"/>
      <c r="O58" s="991"/>
      <c r="P58" s="991"/>
      <c r="Q58" s="991"/>
      <c r="R58" s="991"/>
      <c r="S58" s="991"/>
      <c r="T58" s="991"/>
      <c r="U58" s="991"/>
      <c r="V58" s="991"/>
      <c r="W58" s="991"/>
      <c r="X58" s="992"/>
    </row>
    <row r="59" spans="1:24" x14ac:dyDescent="0.25">
      <c r="A59" s="791"/>
      <c r="B59" s="792" t="s">
        <v>6</v>
      </c>
      <c r="C59" s="793" t="str">
        <f t="shared" ref="C59:X63" si="19">C7</f>
        <v>1BR, Fully Fitted</v>
      </c>
      <c r="D59" s="794" t="str">
        <f t="shared" si="19"/>
        <v>1BR, Fully Fitted</v>
      </c>
      <c r="E59" s="794" t="str">
        <f t="shared" si="19"/>
        <v>1BR, Fully Fitted</v>
      </c>
      <c r="F59" s="794" t="str">
        <f t="shared" si="19"/>
        <v>1BR, Fully Fitted</v>
      </c>
      <c r="G59" s="794" t="str">
        <f t="shared" si="19"/>
        <v>1BR, Fully Fitted</v>
      </c>
      <c r="H59" s="794" t="str">
        <f t="shared" si="19"/>
        <v>1BR, Fully Fitted</v>
      </c>
      <c r="I59" s="794" t="str">
        <f t="shared" si="19"/>
        <v>1BR, Fully Fitted</v>
      </c>
      <c r="J59" s="794" t="str">
        <f t="shared" si="19"/>
        <v>1BR, Fully Fitted</v>
      </c>
      <c r="K59" s="794" t="str">
        <f t="shared" si="19"/>
        <v>1BR, Fully Fitted</v>
      </c>
      <c r="L59" s="794" t="str">
        <f t="shared" si="19"/>
        <v>1BR, Fully Fitted</v>
      </c>
      <c r="M59" s="794" t="str">
        <f t="shared" si="19"/>
        <v>1BR, Fully Fitted</v>
      </c>
      <c r="N59" s="794" t="str">
        <f t="shared" si="19"/>
        <v>Commercial Unit 1</v>
      </c>
      <c r="O59" s="794" t="str">
        <f t="shared" si="19"/>
        <v>Commercial Unit 2</v>
      </c>
      <c r="P59" s="794" t="str">
        <f t="shared" si="19"/>
        <v>Commercial Unit 3</v>
      </c>
      <c r="Q59" s="794" t="str">
        <f t="shared" si="19"/>
        <v>Commercial Unit 4</v>
      </c>
      <c r="R59" s="794" t="str">
        <f t="shared" si="19"/>
        <v>Commercial Unit 5</v>
      </c>
      <c r="S59" s="794" t="str">
        <f t="shared" si="19"/>
        <v>Commercial Unit 6</v>
      </c>
      <c r="T59" s="794" t="str">
        <f t="shared" si="19"/>
        <v>Commercial Unit 7</v>
      </c>
      <c r="U59" s="794" t="str">
        <f t="shared" si="19"/>
        <v>Commercial Unit 8</v>
      </c>
      <c r="V59" s="794" t="str">
        <f t="shared" si="19"/>
        <v>Parking Slot - Regular</v>
      </c>
      <c r="W59" s="794" t="str">
        <f t="shared" si="19"/>
        <v>Parking Slot - Parallel</v>
      </c>
      <c r="X59" s="795" t="str">
        <f t="shared" si="19"/>
        <v>Parking Slot - Small</v>
      </c>
    </row>
    <row r="60" spans="1:24" x14ac:dyDescent="0.25">
      <c r="A60" s="791"/>
      <c r="B60" s="792"/>
      <c r="C60" s="793" t="str">
        <f t="shared" si="19"/>
        <v>Unit A</v>
      </c>
      <c r="D60" s="794" t="str">
        <f t="shared" si="19"/>
        <v>Unit  B</v>
      </c>
      <c r="E60" s="794" t="str">
        <f t="shared" si="19"/>
        <v>Unit C</v>
      </c>
      <c r="F60" s="794" t="str">
        <f t="shared" si="19"/>
        <v>Unit D</v>
      </c>
      <c r="G60" s="794" t="str">
        <f t="shared" si="19"/>
        <v>Unit E</v>
      </c>
      <c r="H60" s="794" t="str">
        <f t="shared" si="19"/>
        <v>Unit F</v>
      </c>
      <c r="I60" s="794" t="str">
        <f t="shared" si="19"/>
        <v>Unit G</v>
      </c>
      <c r="J60" s="794" t="str">
        <f t="shared" si="19"/>
        <v>Unit H</v>
      </c>
      <c r="K60" s="794" t="str">
        <f t="shared" si="19"/>
        <v>Unit I to K</v>
      </c>
      <c r="L60" s="794" t="str">
        <f t="shared" si="19"/>
        <v>Unit L</v>
      </c>
      <c r="M60" s="794" t="str">
        <f t="shared" si="19"/>
        <v>Unit M</v>
      </c>
      <c r="N60" s="794">
        <f t="shared" si="19"/>
        <v>0</v>
      </c>
      <c r="O60" s="794">
        <f t="shared" si="19"/>
        <v>0</v>
      </c>
      <c r="P60" s="794">
        <f t="shared" si="19"/>
        <v>0</v>
      </c>
      <c r="Q60" s="794">
        <f t="shared" si="19"/>
        <v>0</v>
      </c>
      <c r="R60" s="794">
        <f t="shared" si="19"/>
        <v>0</v>
      </c>
      <c r="S60" s="794">
        <f t="shared" si="19"/>
        <v>0</v>
      </c>
      <c r="T60" s="794">
        <f t="shared" si="19"/>
        <v>0</v>
      </c>
      <c r="U60" s="794">
        <f t="shared" si="19"/>
        <v>0</v>
      </c>
      <c r="V60" s="794">
        <f t="shared" si="19"/>
        <v>0</v>
      </c>
      <c r="W60" s="794">
        <f t="shared" si="19"/>
        <v>0</v>
      </c>
      <c r="X60" s="795">
        <f t="shared" si="19"/>
        <v>0</v>
      </c>
    </row>
    <row r="61" spans="1:24" x14ac:dyDescent="0.25">
      <c r="A61" s="791">
        <v>1</v>
      </c>
      <c r="B61" s="796" t="s">
        <v>30</v>
      </c>
      <c r="C61" s="797">
        <f t="shared" si="19"/>
        <v>98.5</v>
      </c>
      <c r="D61" s="797">
        <f t="shared" si="19"/>
        <v>51.02</v>
      </c>
      <c r="E61" s="797">
        <f t="shared" si="19"/>
        <v>55.62</v>
      </c>
      <c r="F61" s="797">
        <f t="shared" si="19"/>
        <v>60.78</v>
      </c>
      <c r="G61" s="797">
        <f t="shared" si="19"/>
        <v>83.49</v>
      </c>
      <c r="H61" s="797">
        <f t="shared" si="19"/>
        <v>61.03</v>
      </c>
      <c r="I61" s="797">
        <f t="shared" si="19"/>
        <v>94.79</v>
      </c>
      <c r="J61" s="797">
        <f t="shared" si="19"/>
        <v>67.790000000000006</v>
      </c>
      <c r="K61" s="797">
        <f t="shared" si="19"/>
        <v>67.72</v>
      </c>
      <c r="L61" s="797">
        <f t="shared" si="19"/>
        <v>86.15</v>
      </c>
      <c r="M61" s="797">
        <f t="shared" si="19"/>
        <v>53.53</v>
      </c>
      <c r="N61" s="797">
        <f t="shared" si="19"/>
        <v>44.44</v>
      </c>
      <c r="O61" s="797">
        <f t="shared" si="19"/>
        <v>44.43</v>
      </c>
      <c r="P61" s="797">
        <f t="shared" si="19"/>
        <v>36.35</v>
      </c>
      <c r="Q61" s="797">
        <f t="shared" si="19"/>
        <v>79.31</v>
      </c>
      <c r="R61" s="797">
        <f t="shared" si="19"/>
        <v>46.32</v>
      </c>
      <c r="S61" s="797">
        <f t="shared" si="19"/>
        <v>50.68</v>
      </c>
      <c r="T61" s="797">
        <f t="shared" si="19"/>
        <v>55.37</v>
      </c>
      <c r="U61" s="797">
        <f t="shared" si="19"/>
        <v>82.04</v>
      </c>
      <c r="V61" s="797">
        <f t="shared" si="19"/>
        <v>12.5</v>
      </c>
      <c r="W61" s="797">
        <f t="shared" si="19"/>
        <v>12</v>
      </c>
      <c r="X61" s="798">
        <f t="shared" si="19"/>
        <v>10.75</v>
      </c>
    </row>
    <row r="62" spans="1:24" x14ac:dyDescent="0.25">
      <c r="A62" s="791">
        <v>2</v>
      </c>
      <c r="B62" s="796" t="s">
        <v>31</v>
      </c>
      <c r="C62" s="797">
        <f t="shared" si="19"/>
        <v>10.46</v>
      </c>
      <c r="D62" s="797">
        <f t="shared" si="19"/>
        <v>5.36</v>
      </c>
      <c r="E62" s="797">
        <f t="shared" si="19"/>
        <v>5.37</v>
      </c>
      <c r="F62" s="797">
        <f t="shared" si="19"/>
        <v>5.15</v>
      </c>
      <c r="G62" s="797">
        <f t="shared" si="19"/>
        <v>12.309999999999999</v>
      </c>
      <c r="H62" s="797">
        <f t="shared" si="19"/>
        <v>4.1900000000000004</v>
      </c>
      <c r="I62" s="797">
        <f t="shared" si="19"/>
        <v>11.260000000000002</v>
      </c>
      <c r="J62" s="797">
        <f t="shared" si="19"/>
        <v>4.2</v>
      </c>
      <c r="K62" s="797">
        <f t="shared" si="19"/>
        <v>4.2</v>
      </c>
      <c r="L62" s="797">
        <f t="shared" si="19"/>
        <v>12.66</v>
      </c>
      <c r="M62" s="797">
        <f t="shared" si="19"/>
        <v>4.18</v>
      </c>
      <c r="N62" s="797">
        <f t="shared" si="19"/>
        <v>0</v>
      </c>
      <c r="O62" s="797">
        <f t="shared" si="19"/>
        <v>0</v>
      </c>
      <c r="P62" s="797">
        <f t="shared" si="19"/>
        <v>0</v>
      </c>
      <c r="Q62" s="797">
        <f t="shared" si="19"/>
        <v>0</v>
      </c>
      <c r="R62" s="797">
        <f t="shared" si="19"/>
        <v>0</v>
      </c>
      <c r="S62" s="797">
        <f t="shared" si="19"/>
        <v>0</v>
      </c>
      <c r="T62" s="797">
        <f t="shared" si="19"/>
        <v>0</v>
      </c>
      <c r="U62" s="797">
        <f t="shared" si="19"/>
        <v>0</v>
      </c>
      <c r="V62" s="797">
        <f t="shared" si="19"/>
        <v>0</v>
      </c>
      <c r="W62" s="797">
        <f t="shared" si="19"/>
        <v>0</v>
      </c>
      <c r="X62" s="798">
        <f t="shared" si="19"/>
        <v>0</v>
      </c>
    </row>
    <row r="63" spans="1:24" x14ac:dyDescent="0.25">
      <c r="A63" s="791">
        <v>3</v>
      </c>
      <c r="B63" s="796" t="s">
        <v>32</v>
      </c>
      <c r="C63" s="797">
        <f t="shared" si="19"/>
        <v>108.96000000000001</v>
      </c>
      <c r="D63" s="797">
        <f t="shared" si="19"/>
        <v>56.38</v>
      </c>
      <c r="E63" s="797">
        <f t="shared" si="19"/>
        <v>60.989999999999995</v>
      </c>
      <c r="F63" s="797">
        <f t="shared" si="19"/>
        <v>65.930000000000007</v>
      </c>
      <c r="G63" s="797">
        <f t="shared" si="19"/>
        <v>95.8</v>
      </c>
      <c r="H63" s="797">
        <f t="shared" si="19"/>
        <v>65.22</v>
      </c>
      <c r="I63" s="797">
        <f t="shared" si="19"/>
        <v>106.05000000000001</v>
      </c>
      <c r="J63" s="797">
        <f t="shared" si="19"/>
        <v>71.990000000000009</v>
      </c>
      <c r="K63" s="797">
        <f t="shared" si="19"/>
        <v>71.92</v>
      </c>
      <c r="L63" s="797">
        <f t="shared" si="19"/>
        <v>98.81</v>
      </c>
      <c r="M63" s="797">
        <f t="shared" si="19"/>
        <v>57.71</v>
      </c>
      <c r="N63" s="797">
        <f t="shared" si="19"/>
        <v>44.44</v>
      </c>
      <c r="O63" s="797">
        <f t="shared" si="19"/>
        <v>44.43</v>
      </c>
      <c r="P63" s="797">
        <f t="shared" si="19"/>
        <v>36.35</v>
      </c>
      <c r="Q63" s="797">
        <f t="shared" si="19"/>
        <v>79.31</v>
      </c>
      <c r="R63" s="797">
        <f t="shared" si="19"/>
        <v>46.32</v>
      </c>
      <c r="S63" s="797">
        <f t="shared" si="19"/>
        <v>50.68</v>
      </c>
      <c r="T63" s="797">
        <f t="shared" si="19"/>
        <v>55.37</v>
      </c>
      <c r="U63" s="797">
        <f t="shared" si="19"/>
        <v>82.04</v>
      </c>
      <c r="V63" s="797">
        <f t="shared" si="19"/>
        <v>12.5</v>
      </c>
      <c r="W63" s="797">
        <f t="shared" si="19"/>
        <v>12</v>
      </c>
      <c r="X63" s="798">
        <f t="shared" si="19"/>
        <v>10.75</v>
      </c>
    </row>
    <row r="64" spans="1:24" x14ac:dyDescent="0.25">
      <c r="A64" s="791"/>
      <c r="B64" s="796"/>
      <c r="C64" s="797"/>
      <c r="D64" s="797"/>
      <c r="E64" s="797"/>
      <c r="F64" s="797"/>
      <c r="G64" s="797"/>
      <c r="H64" s="797"/>
      <c r="I64" s="797"/>
      <c r="J64" s="797"/>
      <c r="K64" s="797"/>
      <c r="L64" s="797"/>
      <c r="M64" s="797"/>
      <c r="N64" s="797"/>
      <c r="O64" s="797"/>
      <c r="P64" s="797"/>
      <c r="Q64" s="797"/>
      <c r="R64" s="797"/>
      <c r="S64" s="797"/>
      <c r="T64" s="797"/>
      <c r="U64" s="797"/>
      <c r="V64" s="797"/>
      <c r="W64" s="797"/>
      <c r="X64" s="798"/>
    </row>
    <row r="65" spans="1:24" x14ac:dyDescent="0.25">
      <c r="A65" s="791">
        <v>4</v>
      </c>
      <c r="B65" s="796" t="s">
        <v>33</v>
      </c>
      <c r="C65" s="797">
        <v>120000</v>
      </c>
      <c r="D65" s="797">
        <v>120000</v>
      </c>
      <c r="E65" s="797">
        <v>120000</v>
      </c>
      <c r="F65" s="797">
        <v>120000</v>
      </c>
      <c r="G65" s="797">
        <v>120000</v>
      </c>
      <c r="H65" s="797">
        <v>120000</v>
      </c>
      <c r="I65" s="797">
        <v>120000</v>
      </c>
      <c r="J65" s="797">
        <v>120000</v>
      </c>
      <c r="K65" s="797">
        <v>120000</v>
      </c>
      <c r="L65" s="797">
        <v>120000</v>
      </c>
      <c r="M65" s="797">
        <v>120000</v>
      </c>
      <c r="N65" s="797">
        <v>160000</v>
      </c>
      <c r="O65" s="797">
        <v>160000</v>
      </c>
      <c r="P65" s="797">
        <v>160000</v>
      </c>
      <c r="Q65" s="797">
        <v>160000</v>
      </c>
      <c r="R65" s="797">
        <v>160000</v>
      </c>
      <c r="S65" s="797">
        <v>160000</v>
      </c>
      <c r="T65" s="797">
        <v>160000</v>
      </c>
      <c r="U65" s="797">
        <v>160000</v>
      </c>
      <c r="V65" s="797">
        <f t="shared" ref="V65:X65" si="20">V13</f>
        <v>69600</v>
      </c>
      <c r="W65" s="797">
        <f t="shared" si="20"/>
        <v>69600</v>
      </c>
      <c r="X65" s="798">
        <f t="shared" si="20"/>
        <v>69600</v>
      </c>
    </row>
    <row r="66" spans="1:24" x14ac:dyDescent="0.25">
      <c r="A66" s="791">
        <v>5</v>
      </c>
      <c r="B66" s="796" t="s">
        <v>34</v>
      </c>
      <c r="C66" s="797">
        <f>C61*C65</f>
        <v>11820000</v>
      </c>
      <c r="D66" s="797">
        <f t="shared" ref="D66:G66" si="21">D61*D65</f>
        <v>6122400</v>
      </c>
      <c r="E66" s="797">
        <f t="shared" si="21"/>
        <v>6674400</v>
      </c>
      <c r="F66" s="797">
        <f t="shared" si="21"/>
        <v>7293600</v>
      </c>
      <c r="G66" s="797">
        <f t="shared" si="21"/>
        <v>10018800</v>
      </c>
      <c r="H66" s="797">
        <f>H65*H61</f>
        <v>7323600</v>
      </c>
      <c r="I66" s="797">
        <f t="shared" ref="I66:M66" si="22">I65*I61</f>
        <v>11374800</v>
      </c>
      <c r="J66" s="797">
        <f t="shared" si="22"/>
        <v>8134800.0000000009</v>
      </c>
      <c r="K66" s="797">
        <f t="shared" si="22"/>
        <v>8126400</v>
      </c>
      <c r="L66" s="797">
        <f t="shared" si="22"/>
        <v>10338000</v>
      </c>
      <c r="M66" s="797">
        <f t="shared" si="22"/>
        <v>6423600</v>
      </c>
      <c r="N66" s="797">
        <f>N65*N63</f>
        <v>7110400</v>
      </c>
      <c r="O66" s="797">
        <f>O65*O63</f>
        <v>7108800</v>
      </c>
      <c r="P66" s="797">
        <f>P65*P63</f>
        <v>5816000</v>
      </c>
      <c r="Q66" s="797">
        <f>Q65*Q63</f>
        <v>12689600</v>
      </c>
      <c r="R66" s="797">
        <f>R65*R63</f>
        <v>7411200</v>
      </c>
      <c r="S66" s="797">
        <f t="shared" ref="S66:X66" si="23">S65*S63</f>
        <v>8108800</v>
      </c>
      <c r="T66" s="797">
        <f t="shared" si="23"/>
        <v>8859200</v>
      </c>
      <c r="U66" s="797">
        <f t="shared" si="23"/>
        <v>13126400.000000002</v>
      </c>
      <c r="V66" s="797">
        <f t="shared" si="23"/>
        <v>870000</v>
      </c>
      <c r="W66" s="797">
        <f t="shared" si="23"/>
        <v>835200</v>
      </c>
      <c r="X66" s="797">
        <f t="shared" si="23"/>
        <v>748200</v>
      </c>
    </row>
    <row r="67" spans="1:24" x14ac:dyDescent="0.25">
      <c r="A67" s="791">
        <v>6</v>
      </c>
      <c r="B67" s="796" t="s">
        <v>35</v>
      </c>
      <c r="C67" s="797">
        <f>60000</f>
        <v>60000</v>
      </c>
      <c r="D67" s="797">
        <f>60000</f>
        <v>60000</v>
      </c>
      <c r="E67" s="797">
        <f>60000</f>
        <v>60000</v>
      </c>
      <c r="F67" s="797">
        <f>60000</f>
        <v>60000</v>
      </c>
      <c r="G67" s="797">
        <f>60000</f>
        <v>60000</v>
      </c>
      <c r="H67" s="797">
        <f>60000</f>
        <v>60000</v>
      </c>
      <c r="I67" s="797">
        <f>60000</f>
        <v>60000</v>
      </c>
      <c r="J67" s="797">
        <f>60000</f>
        <v>60000</v>
      </c>
      <c r="K67" s="797">
        <f>60000</f>
        <v>60000</v>
      </c>
      <c r="L67" s="797">
        <f>60000</f>
        <v>60000</v>
      </c>
      <c r="M67" s="797">
        <f>60000</f>
        <v>60000</v>
      </c>
      <c r="N67" s="797">
        <f>60000</f>
        <v>60000</v>
      </c>
      <c r="O67" s="797">
        <f>60000</f>
        <v>60000</v>
      </c>
      <c r="P67" s="797">
        <f>60000</f>
        <v>60000</v>
      </c>
      <c r="Q67" s="797">
        <f>60000</f>
        <v>60000</v>
      </c>
      <c r="R67" s="797">
        <f>60000</f>
        <v>60000</v>
      </c>
      <c r="S67" s="797">
        <f>60000</f>
        <v>60000</v>
      </c>
      <c r="T67" s="797">
        <f>60000</f>
        <v>60000</v>
      </c>
      <c r="U67" s="797"/>
      <c r="V67" s="797"/>
      <c r="W67" s="797"/>
      <c r="X67" s="798"/>
    </row>
    <row r="68" spans="1:24" x14ac:dyDescent="0.25">
      <c r="A68" s="791">
        <v>7</v>
      </c>
      <c r="B68" s="796" t="s">
        <v>36</v>
      </c>
      <c r="C68" s="797">
        <f>C67*C62</f>
        <v>627600</v>
      </c>
      <c r="D68" s="797">
        <f t="shared" ref="D68:X68" si="24">D67*D62</f>
        <v>321600</v>
      </c>
      <c r="E68" s="797">
        <f t="shared" si="24"/>
        <v>322200</v>
      </c>
      <c r="F68" s="797">
        <f t="shared" si="24"/>
        <v>309000</v>
      </c>
      <c r="G68" s="797">
        <f t="shared" si="24"/>
        <v>738599.99999999988</v>
      </c>
      <c r="H68" s="797">
        <f t="shared" si="24"/>
        <v>251400.00000000003</v>
      </c>
      <c r="I68" s="797">
        <f t="shared" si="24"/>
        <v>675600.00000000012</v>
      </c>
      <c r="J68" s="797">
        <f t="shared" si="24"/>
        <v>252000</v>
      </c>
      <c r="K68" s="797">
        <f t="shared" si="24"/>
        <v>252000</v>
      </c>
      <c r="L68" s="797">
        <f t="shared" si="24"/>
        <v>759600</v>
      </c>
      <c r="M68" s="797">
        <f t="shared" si="24"/>
        <v>250799.99999999997</v>
      </c>
      <c r="N68" s="797">
        <f t="shared" si="24"/>
        <v>0</v>
      </c>
      <c r="O68" s="797">
        <f t="shared" si="24"/>
        <v>0</v>
      </c>
      <c r="P68" s="797">
        <f t="shared" si="24"/>
        <v>0</v>
      </c>
      <c r="Q68" s="797">
        <f t="shared" si="24"/>
        <v>0</v>
      </c>
      <c r="R68" s="797">
        <f t="shared" si="24"/>
        <v>0</v>
      </c>
      <c r="S68" s="797">
        <f t="shared" si="24"/>
        <v>0</v>
      </c>
      <c r="T68" s="797">
        <f t="shared" si="24"/>
        <v>0</v>
      </c>
      <c r="U68" s="797">
        <f t="shared" si="24"/>
        <v>0</v>
      </c>
      <c r="V68" s="797">
        <f t="shared" si="24"/>
        <v>0</v>
      </c>
      <c r="W68" s="797">
        <f t="shared" si="24"/>
        <v>0</v>
      </c>
      <c r="X68" s="797">
        <f t="shared" si="24"/>
        <v>0</v>
      </c>
    </row>
    <row r="69" spans="1:24" x14ac:dyDescent="0.25">
      <c r="A69" s="791"/>
      <c r="B69" s="792" t="s">
        <v>37</v>
      </c>
      <c r="C69" s="799">
        <f t="shared" ref="C69:M69" si="25">C66+C68</f>
        <v>12447600</v>
      </c>
      <c r="D69" s="799">
        <f t="shared" si="25"/>
        <v>6444000</v>
      </c>
      <c r="E69" s="799">
        <f t="shared" si="25"/>
        <v>6996600</v>
      </c>
      <c r="F69" s="799">
        <f t="shared" si="25"/>
        <v>7602600</v>
      </c>
      <c r="G69" s="799">
        <f t="shared" si="25"/>
        <v>10757400</v>
      </c>
      <c r="H69" s="799">
        <f t="shared" si="25"/>
        <v>7575000</v>
      </c>
      <c r="I69" s="799">
        <f t="shared" si="25"/>
        <v>12050400</v>
      </c>
      <c r="J69" s="799">
        <f t="shared" si="25"/>
        <v>8386800.0000000009</v>
      </c>
      <c r="K69" s="799">
        <f t="shared" si="25"/>
        <v>8378400</v>
      </c>
      <c r="L69" s="799">
        <f t="shared" si="25"/>
        <v>11097600</v>
      </c>
      <c r="M69" s="799">
        <f t="shared" si="25"/>
        <v>6674400</v>
      </c>
      <c r="N69" s="799">
        <f>N66</f>
        <v>7110400</v>
      </c>
      <c r="O69" s="799">
        <f>O66</f>
        <v>7108800</v>
      </c>
      <c r="P69" s="799">
        <f>P66</f>
        <v>5816000</v>
      </c>
      <c r="Q69" s="799">
        <f>Q66</f>
        <v>12689600</v>
      </c>
      <c r="R69" s="799">
        <f>R66</f>
        <v>7411200</v>
      </c>
      <c r="S69" s="799">
        <f t="shared" ref="S69:X69" si="26">S66</f>
        <v>8108800</v>
      </c>
      <c r="T69" s="799">
        <f t="shared" si="26"/>
        <v>8859200</v>
      </c>
      <c r="U69" s="799">
        <f t="shared" si="26"/>
        <v>13126400.000000002</v>
      </c>
      <c r="V69" s="799">
        <f t="shared" si="26"/>
        <v>870000</v>
      </c>
      <c r="W69" s="799">
        <f t="shared" si="26"/>
        <v>835200</v>
      </c>
      <c r="X69" s="799">
        <f t="shared" si="26"/>
        <v>748200</v>
      </c>
    </row>
    <row r="70" spans="1:24" x14ac:dyDescent="0.25">
      <c r="A70" s="791"/>
      <c r="B70" s="796"/>
      <c r="C70" s="797"/>
      <c r="D70" s="797"/>
      <c r="E70" s="797"/>
      <c r="F70" s="797"/>
      <c r="G70" s="797"/>
      <c r="H70" s="797"/>
      <c r="I70" s="797"/>
      <c r="J70" s="797"/>
      <c r="K70" s="797"/>
      <c r="L70" s="797"/>
      <c r="M70" s="797"/>
      <c r="N70" s="797"/>
      <c r="O70" s="797"/>
      <c r="P70" s="797"/>
      <c r="Q70" s="797"/>
      <c r="R70" s="797"/>
      <c r="S70" s="797"/>
      <c r="T70" s="797"/>
      <c r="U70" s="797"/>
      <c r="V70" s="797"/>
      <c r="W70" s="797"/>
      <c r="X70" s="798"/>
    </row>
    <row r="71" spans="1:24" x14ac:dyDescent="0.25">
      <c r="A71" s="791">
        <v>8</v>
      </c>
      <c r="B71" s="796" t="s">
        <v>38</v>
      </c>
      <c r="C71" s="797">
        <f t="shared" ref="C71:X71" si="27">C69*12%</f>
        <v>1493712</v>
      </c>
      <c r="D71" s="797">
        <f t="shared" si="27"/>
        <v>773280</v>
      </c>
      <c r="E71" s="797">
        <f t="shared" si="27"/>
        <v>839592</v>
      </c>
      <c r="F71" s="797">
        <f t="shared" si="27"/>
        <v>912312</v>
      </c>
      <c r="G71" s="797">
        <f t="shared" si="27"/>
        <v>1290888</v>
      </c>
      <c r="H71" s="797">
        <f t="shared" si="27"/>
        <v>909000</v>
      </c>
      <c r="I71" s="797">
        <f t="shared" si="27"/>
        <v>1446048</v>
      </c>
      <c r="J71" s="797">
        <f t="shared" si="27"/>
        <v>1006416.0000000001</v>
      </c>
      <c r="K71" s="797">
        <f t="shared" si="27"/>
        <v>1005408</v>
      </c>
      <c r="L71" s="797">
        <f t="shared" si="27"/>
        <v>1331712</v>
      </c>
      <c r="M71" s="797">
        <f t="shared" si="27"/>
        <v>800928</v>
      </c>
      <c r="N71" s="797">
        <f t="shared" si="27"/>
        <v>853248</v>
      </c>
      <c r="O71" s="797">
        <f t="shared" si="27"/>
        <v>853056</v>
      </c>
      <c r="P71" s="797">
        <f t="shared" si="27"/>
        <v>697920</v>
      </c>
      <c r="Q71" s="797">
        <f t="shared" si="27"/>
        <v>1522752</v>
      </c>
      <c r="R71" s="797">
        <f t="shared" si="27"/>
        <v>889344</v>
      </c>
      <c r="S71" s="797">
        <f t="shared" si="27"/>
        <v>973056</v>
      </c>
      <c r="T71" s="797">
        <f t="shared" si="27"/>
        <v>1063104</v>
      </c>
      <c r="U71" s="797">
        <f t="shared" si="27"/>
        <v>1575168.0000000002</v>
      </c>
      <c r="V71" s="797">
        <f t="shared" si="27"/>
        <v>104400</v>
      </c>
      <c r="W71" s="797">
        <f t="shared" si="27"/>
        <v>100224</v>
      </c>
      <c r="X71" s="797">
        <f t="shared" si="27"/>
        <v>89784</v>
      </c>
    </row>
    <row r="72" spans="1:24" x14ac:dyDescent="0.25">
      <c r="A72" s="791">
        <v>9</v>
      </c>
      <c r="B72" s="796" t="s">
        <v>39</v>
      </c>
      <c r="C72" s="797">
        <f>C69*6%</f>
        <v>746856</v>
      </c>
      <c r="D72" s="797">
        <f t="shared" ref="D72:X72" si="28">D69*6%</f>
        <v>386640</v>
      </c>
      <c r="E72" s="797">
        <f t="shared" si="28"/>
        <v>419796</v>
      </c>
      <c r="F72" s="797">
        <f t="shared" si="28"/>
        <v>456156</v>
      </c>
      <c r="G72" s="797">
        <f t="shared" si="28"/>
        <v>645444</v>
      </c>
      <c r="H72" s="797">
        <f t="shared" si="28"/>
        <v>454500</v>
      </c>
      <c r="I72" s="797">
        <f t="shared" si="28"/>
        <v>723024</v>
      </c>
      <c r="J72" s="797">
        <f t="shared" si="28"/>
        <v>503208.00000000006</v>
      </c>
      <c r="K72" s="797">
        <f t="shared" si="28"/>
        <v>502704</v>
      </c>
      <c r="L72" s="797">
        <f t="shared" si="28"/>
        <v>665856</v>
      </c>
      <c r="M72" s="797">
        <f t="shared" si="28"/>
        <v>400464</v>
      </c>
      <c r="N72" s="797">
        <f t="shared" si="28"/>
        <v>426624</v>
      </c>
      <c r="O72" s="797">
        <f t="shared" si="28"/>
        <v>426528</v>
      </c>
      <c r="P72" s="797">
        <f t="shared" si="28"/>
        <v>348960</v>
      </c>
      <c r="Q72" s="797">
        <f t="shared" si="28"/>
        <v>761376</v>
      </c>
      <c r="R72" s="797">
        <f t="shared" si="28"/>
        <v>444672</v>
      </c>
      <c r="S72" s="797">
        <f t="shared" si="28"/>
        <v>486528</v>
      </c>
      <c r="T72" s="797">
        <f t="shared" si="28"/>
        <v>531552</v>
      </c>
      <c r="U72" s="797">
        <f t="shared" si="28"/>
        <v>787584.00000000012</v>
      </c>
      <c r="V72" s="797">
        <f t="shared" si="28"/>
        <v>52200</v>
      </c>
      <c r="W72" s="797">
        <f t="shared" si="28"/>
        <v>50112</v>
      </c>
      <c r="X72" s="797">
        <f t="shared" si="28"/>
        <v>44892</v>
      </c>
    </row>
    <row r="73" spans="1:24" x14ac:dyDescent="0.25">
      <c r="A73" s="791">
        <v>10</v>
      </c>
      <c r="B73" s="796" t="s">
        <v>40</v>
      </c>
      <c r="C73" s="797">
        <f>C69*2.5%</f>
        <v>311190</v>
      </c>
      <c r="D73" s="797">
        <f t="shared" ref="D73:X73" si="29">D69*2.5%</f>
        <v>161100</v>
      </c>
      <c r="E73" s="797">
        <f t="shared" si="29"/>
        <v>174915</v>
      </c>
      <c r="F73" s="797">
        <f t="shared" si="29"/>
        <v>190065</v>
      </c>
      <c r="G73" s="797">
        <f t="shared" si="29"/>
        <v>268935</v>
      </c>
      <c r="H73" s="797">
        <f t="shared" si="29"/>
        <v>189375</v>
      </c>
      <c r="I73" s="797">
        <f t="shared" si="29"/>
        <v>301260</v>
      </c>
      <c r="J73" s="797">
        <f t="shared" si="29"/>
        <v>209670.00000000003</v>
      </c>
      <c r="K73" s="797">
        <f t="shared" si="29"/>
        <v>209460</v>
      </c>
      <c r="L73" s="797">
        <f t="shared" si="29"/>
        <v>277440</v>
      </c>
      <c r="M73" s="797">
        <f t="shared" si="29"/>
        <v>166860</v>
      </c>
      <c r="N73" s="797">
        <f t="shared" si="29"/>
        <v>177760</v>
      </c>
      <c r="O73" s="797">
        <f t="shared" si="29"/>
        <v>177720</v>
      </c>
      <c r="P73" s="797">
        <f t="shared" si="29"/>
        <v>145400</v>
      </c>
      <c r="Q73" s="797">
        <f t="shared" si="29"/>
        <v>317240</v>
      </c>
      <c r="R73" s="797">
        <f t="shared" si="29"/>
        <v>185280</v>
      </c>
      <c r="S73" s="797">
        <f t="shared" si="29"/>
        <v>202720</v>
      </c>
      <c r="T73" s="797">
        <f t="shared" si="29"/>
        <v>221480</v>
      </c>
      <c r="U73" s="797">
        <f t="shared" si="29"/>
        <v>328160.00000000006</v>
      </c>
      <c r="V73" s="797">
        <f t="shared" si="29"/>
        <v>21750</v>
      </c>
      <c r="W73" s="797">
        <f t="shared" si="29"/>
        <v>20880</v>
      </c>
      <c r="X73" s="797">
        <f t="shared" si="29"/>
        <v>18705</v>
      </c>
    </row>
    <row r="74" spans="1:24" x14ac:dyDescent="0.25">
      <c r="A74" s="791"/>
      <c r="B74" s="796"/>
      <c r="C74" s="797"/>
      <c r="D74" s="797"/>
      <c r="E74" s="797"/>
      <c r="F74" s="797"/>
      <c r="G74" s="797"/>
      <c r="H74" s="797"/>
      <c r="I74" s="797"/>
      <c r="J74" s="797"/>
      <c r="K74" s="797"/>
      <c r="L74" s="797"/>
      <c r="M74" s="797"/>
      <c r="N74" s="797"/>
      <c r="O74" s="797"/>
      <c r="P74" s="797"/>
      <c r="Q74" s="797"/>
      <c r="R74" s="797"/>
      <c r="S74" s="797"/>
      <c r="T74" s="797"/>
      <c r="U74" s="797"/>
      <c r="V74" s="797"/>
      <c r="W74" s="797"/>
      <c r="X74" s="798"/>
    </row>
    <row r="75" spans="1:24" x14ac:dyDescent="0.25">
      <c r="A75" s="791"/>
      <c r="B75" s="792" t="s">
        <v>41</v>
      </c>
      <c r="C75" s="799">
        <f t="shared" ref="C75:X75" si="30">C69+C71+C72+C73</f>
        <v>14999358</v>
      </c>
      <c r="D75" s="799">
        <f t="shared" si="30"/>
        <v>7765020</v>
      </c>
      <c r="E75" s="799">
        <f t="shared" si="30"/>
        <v>8430903</v>
      </c>
      <c r="F75" s="799">
        <f t="shared" si="30"/>
        <v>9161133</v>
      </c>
      <c r="G75" s="799">
        <f t="shared" si="30"/>
        <v>12962667</v>
      </c>
      <c r="H75" s="799">
        <f t="shared" si="30"/>
        <v>9127875</v>
      </c>
      <c r="I75" s="799">
        <f t="shared" si="30"/>
        <v>14520732</v>
      </c>
      <c r="J75" s="799">
        <f t="shared" si="30"/>
        <v>10106094.000000002</v>
      </c>
      <c r="K75" s="799">
        <f t="shared" si="30"/>
        <v>10095972</v>
      </c>
      <c r="L75" s="799">
        <f t="shared" si="30"/>
        <v>13372608</v>
      </c>
      <c r="M75" s="799">
        <f t="shared" si="30"/>
        <v>8042652</v>
      </c>
      <c r="N75" s="799">
        <f t="shared" si="30"/>
        <v>8568032</v>
      </c>
      <c r="O75" s="799">
        <f t="shared" si="30"/>
        <v>8566104</v>
      </c>
      <c r="P75" s="799">
        <f t="shared" si="30"/>
        <v>7008280</v>
      </c>
      <c r="Q75" s="799">
        <f t="shared" si="30"/>
        <v>15290968</v>
      </c>
      <c r="R75" s="799">
        <f t="shared" si="30"/>
        <v>8930496</v>
      </c>
      <c r="S75" s="799">
        <f t="shared" si="30"/>
        <v>9771104</v>
      </c>
      <c r="T75" s="799">
        <f t="shared" si="30"/>
        <v>10675336</v>
      </c>
      <c r="U75" s="799">
        <f t="shared" si="30"/>
        <v>15817312.000000002</v>
      </c>
      <c r="V75" s="799">
        <f t="shared" si="30"/>
        <v>1048350</v>
      </c>
      <c r="W75" s="799">
        <f t="shared" si="30"/>
        <v>1006416</v>
      </c>
      <c r="X75" s="799">
        <f t="shared" si="30"/>
        <v>901581</v>
      </c>
    </row>
    <row r="76" spans="1:24" x14ac:dyDescent="0.25">
      <c r="A76" s="791">
        <v>11</v>
      </c>
      <c r="B76" s="796" t="s">
        <v>33</v>
      </c>
      <c r="C76" s="797">
        <f t="shared" ref="C76:X76" si="31">C75/C63</f>
        <v>137659.30616740088</v>
      </c>
      <c r="D76" s="797">
        <f t="shared" si="31"/>
        <v>137726.49875842498</v>
      </c>
      <c r="E76" s="797">
        <f t="shared" si="31"/>
        <v>138234.18593212002</v>
      </c>
      <c r="F76" s="797">
        <f t="shared" si="31"/>
        <v>138952.41923251931</v>
      </c>
      <c r="G76" s="797">
        <f t="shared" si="31"/>
        <v>135309.67640918581</v>
      </c>
      <c r="H76" s="797">
        <f t="shared" si="31"/>
        <v>139955.15179392823</v>
      </c>
      <c r="I76" s="797">
        <f t="shared" si="31"/>
        <v>136923.45120226307</v>
      </c>
      <c r="J76" s="797">
        <f t="shared" si="31"/>
        <v>140381.91415474372</v>
      </c>
      <c r="K76" s="797">
        <f t="shared" si="31"/>
        <v>140377.808676307</v>
      </c>
      <c r="L76" s="797">
        <f t="shared" si="31"/>
        <v>135336.58536585365</v>
      </c>
      <c r="M76" s="797">
        <f t="shared" si="31"/>
        <v>139363.22994281753</v>
      </c>
      <c r="N76" s="797">
        <f t="shared" si="31"/>
        <v>192800</v>
      </c>
      <c r="O76" s="797">
        <f t="shared" si="31"/>
        <v>192800</v>
      </c>
      <c r="P76" s="797">
        <f t="shared" si="31"/>
        <v>192800</v>
      </c>
      <c r="Q76" s="797">
        <f t="shared" si="31"/>
        <v>192800</v>
      </c>
      <c r="R76" s="797">
        <f t="shared" si="31"/>
        <v>192800</v>
      </c>
      <c r="S76" s="797">
        <f t="shared" si="31"/>
        <v>192800</v>
      </c>
      <c r="T76" s="797">
        <f t="shared" si="31"/>
        <v>192800</v>
      </c>
      <c r="U76" s="797">
        <f t="shared" si="31"/>
        <v>192800</v>
      </c>
      <c r="V76" s="797">
        <f t="shared" si="31"/>
        <v>83868</v>
      </c>
      <c r="W76" s="797">
        <f t="shared" si="31"/>
        <v>83868</v>
      </c>
      <c r="X76" s="797">
        <f t="shared" si="31"/>
        <v>83868</v>
      </c>
    </row>
    <row r="77" spans="1:24" x14ac:dyDescent="0.25">
      <c r="A77" s="791">
        <v>12</v>
      </c>
      <c r="B77" s="796" t="s">
        <v>42</v>
      </c>
      <c r="C77" s="800">
        <v>0.25</v>
      </c>
      <c r="D77" s="800">
        <v>0.25</v>
      </c>
      <c r="E77" s="800">
        <v>0.25</v>
      </c>
      <c r="F77" s="800">
        <v>0.25</v>
      </c>
      <c r="G77" s="800">
        <v>0.25</v>
      </c>
      <c r="H77" s="800">
        <v>0.25</v>
      </c>
      <c r="I77" s="800">
        <v>0.25</v>
      </c>
      <c r="J77" s="800">
        <v>0.25</v>
      </c>
      <c r="K77" s="800">
        <v>0.25</v>
      </c>
      <c r="L77" s="800">
        <v>0.25</v>
      </c>
      <c r="M77" s="800">
        <v>0.25</v>
      </c>
      <c r="N77" s="800">
        <v>0.4</v>
      </c>
      <c r="O77" s="800">
        <v>0.4</v>
      </c>
      <c r="P77" s="800">
        <v>0.4</v>
      </c>
      <c r="Q77" s="800">
        <v>0.4</v>
      </c>
      <c r="R77" s="800">
        <v>0.4</v>
      </c>
      <c r="S77" s="800">
        <v>0.4</v>
      </c>
      <c r="T77" s="800">
        <v>0.4</v>
      </c>
      <c r="U77" s="800">
        <v>0.4</v>
      </c>
      <c r="V77" s="800">
        <v>0.4</v>
      </c>
      <c r="W77" s="800">
        <v>0.4</v>
      </c>
      <c r="X77" s="800">
        <v>0.4</v>
      </c>
    </row>
    <row r="78" spans="1:24" x14ac:dyDescent="0.25">
      <c r="A78" s="791">
        <v>13</v>
      </c>
      <c r="B78" s="796" t="s">
        <v>43</v>
      </c>
      <c r="C78" s="797">
        <f t="shared" ref="C78:X78" si="32">C75*C77</f>
        <v>3749839.5</v>
      </c>
      <c r="D78" s="797">
        <f t="shared" si="32"/>
        <v>1941255</v>
      </c>
      <c r="E78" s="797">
        <f t="shared" si="32"/>
        <v>2107725.75</v>
      </c>
      <c r="F78" s="797">
        <f t="shared" si="32"/>
        <v>2290283.25</v>
      </c>
      <c r="G78" s="797">
        <f t="shared" si="32"/>
        <v>3240666.75</v>
      </c>
      <c r="H78" s="797">
        <f t="shared" si="32"/>
        <v>2281968.75</v>
      </c>
      <c r="I78" s="797">
        <f t="shared" si="32"/>
        <v>3630183</v>
      </c>
      <c r="J78" s="797">
        <f t="shared" si="32"/>
        <v>2526523.5000000005</v>
      </c>
      <c r="K78" s="797">
        <f t="shared" si="32"/>
        <v>2523993</v>
      </c>
      <c r="L78" s="797">
        <f t="shared" si="32"/>
        <v>3343152</v>
      </c>
      <c r="M78" s="797">
        <f t="shared" si="32"/>
        <v>2010663</v>
      </c>
      <c r="N78" s="797">
        <f t="shared" si="32"/>
        <v>3427212.8000000003</v>
      </c>
      <c r="O78" s="797">
        <f t="shared" si="32"/>
        <v>3426441.6</v>
      </c>
      <c r="P78" s="797">
        <f t="shared" si="32"/>
        <v>2803312</v>
      </c>
      <c r="Q78" s="797">
        <f t="shared" si="32"/>
        <v>6116387.2000000002</v>
      </c>
      <c r="R78" s="797">
        <f t="shared" si="32"/>
        <v>3572198.4000000004</v>
      </c>
      <c r="S78" s="797">
        <f t="shared" si="32"/>
        <v>3908441.6</v>
      </c>
      <c r="T78" s="797">
        <f t="shared" si="32"/>
        <v>4270134.4000000004</v>
      </c>
      <c r="U78" s="797">
        <f t="shared" si="32"/>
        <v>6326924.8000000007</v>
      </c>
      <c r="V78" s="797">
        <f t="shared" si="32"/>
        <v>419340</v>
      </c>
      <c r="W78" s="797">
        <f t="shared" si="32"/>
        <v>402566.40000000002</v>
      </c>
      <c r="X78" s="797">
        <f t="shared" si="32"/>
        <v>360632.4</v>
      </c>
    </row>
    <row r="79" spans="1:24" x14ac:dyDescent="0.25">
      <c r="A79" s="791">
        <v>14</v>
      </c>
      <c r="B79" s="796" t="s">
        <v>44</v>
      </c>
      <c r="C79" s="797">
        <v>50000</v>
      </c>
      <c r="D79" s="797">
        <v>50000</v>
      </c>
      <c r="E79" s="797">
        <v>50000</v>
      </c>
      <c r="F79" s="797">
        <v>50000</v>
      </c>
      <c r="G79" s="797">
        <v>50000</v>
      </c>
      <c r="H79" s="797">
        <v>50000</v>
      </c>
      <c r="I79" s="797">
        <v>50000</v>
      </c>
      <c r="J79" s="797">
        <v>50000</v>
      </c>
      <c r="K79" s="797">
        <v>50000</v>
      </c>
      <c r="L79" s="797">
        <v>50001</v>
      </c>
      <c r="M79" s="797">
        <v>50000</v>
      </c>
      <c r="N79" s="797">
        <f>'[16]Project Data'!$E$113</f>
        <v>100000</v>
      </c>
      <c r="O79" s="797">
        <f>'[16]Project Data'!$E$113</f>
        <v>100000</v>
      </c>
      <c r="P79" s="797">
        <f>'[16]Project Data'!$E$113</f>
        <v>100000</v>
      </c>
      <c r="Q79" s="797">
        <f>'[16]Project Data'!$E$113</f>
        <v>100000</v>
      </c>
      <c r="R79" s="797">
        <f>'[16]Project Data'!$E$113</f>
        <v>100000</v>
      </c>
      <c r="S79" s="797">
        <f>'[16]Project Data'!$E$113</f>
        <v>100000</v>
      </c>
      <c r="T79" s="797">
        <f>'[16]Project Data'!$E$113</f>
        <v>100000</v>
      </c>
      <c r="U79" s="797">
        <f>'[16]Project Data'!$E$113</f>
        <v>100000</v>
      </c>
      <c r="V79" s="797">
        <f>'[16]Project Data'!$E$113</f>
        <v>100000</v>
      </c>
      <c r="W79" s="797">
        <f>'[16]Project Data'!$E$113</f>
        <v>100000</v>
      </c>
      <c r="X79" s="797">
        <f>'[16]Project Data'!$E$113</f>
        <v>100000</v>
      </c>
    </row>
    <row r="80" spans="1:24" x14ac:dyDescent="0.25">
      <c r="A80" s="791">
        <v>15</v>
      </c>
      <c r="B80" s="796" t="s">
        <v>45</v>
      </c>
      <c r="C80" s="797">
        <f t="shared" ref="C80:X80" si="33">C78-C79</f>
        <v>3699839.5</v>
      </c>
      <c r="D80" s="797">
        <f t="shared" si="33"/>
        <v>1891255</v>
      </c>
      <c r="E80" s="797">
        <f t="shared" si="33"/>
        <v>2057725.75</v>
      </c>
      <c r="F80" s="797">
        <f t="shared" si="33"/>
        <v>2240283.25</v>
      </c>
      <c r="G80" s="797">
        <f t="shared" si="33"/>
        <v>3190666.75</v>
      </c>
      <c r="H80" s="797">
        <f t="shared" si="33"/>
        <v>2231968.75</v>
      </c>
      <c r="I80" s="797">
        <f t="shared" si="33"/>
        <v>3580183</v>
      </c>
      <c r="J80" s="797">
        <f t="shared" si="33"/>
        <v>2476523.5000000005</v>
      </c>
      <c r="K80" s="797">
        <f t="shared" si="33"/>
        <v>2473993</v>
      </c>
      <c r="L80" s="797">
        <f t="shared" si="33"/>
        <v>3293151</v>
      </c>
      <c r="M80" s="797">
        <f t="shared" si="33"/>
        <v>1960663</v>
      </c>
      <c r="N80" s="797">
        <f t="shared" si="33"/>
        <v>3327212.8000000003</v>
      </c>
      <c r="O80" s="797">
        <f t="shared" si="33"/>
        <v>3326441.6</v>
      </c>
      <c r="P80" s="797">
        <f t="shared" si="33"/>
        <v>2703312</v>
      </c>
      <c r="Q80" s="797">
        <f t="shared" si="33"/>
        <v>6016387.2000000002</v>
      </c>
      <c r="R80" s="797">
        <f t="shared" si="33"/>
        <v>3472198.4000000004</v>
      </c>
      <c r="S80" s="797">
        <f t="shared" si="33"/>
        <v>3808441.6</v>
      </c>
      <c r="T80" s="797">
        <f t="shared" si="33"/>
        <v>4170134.4000000004</v>
      </c>
      <c r="U80" s="797">
        <f t="shared" si="33"/>
        <v>6226924.8000000007</v>
      </c>
      <c r="V80" s="797">
        <f t="shared" si="33"/>
        <v>319340</v>
      </c>
      <c r="W80" s="797">
        <f t="shared" si="33"/>
        <v>302566.40000000002</v>
      </c>
      <c r="X80" s="797">
        <f t="shared" si="33"/>
        <v>260632.40000000002</v>
      </c>
    </row>
    <row r="81" spans="1:24" hidden="1" x14ac:dyDescent="0.25">
      <c r="A81" s="791">
        <v>18</v>
      </c>
      <c r="B81" s="796" t="s">
        <v>46</v>
      </c>
      <c r="C81" s="797">
        <f>'[16]Project Data'!$E$115</f>
        <v>34</v>
      </c>
      <c r="D81" s="797"/>
      <c r="E81" s="797"/>
      <c r="F81" s="797"/>
      <c r="G81" s="797"/>
      <c r="H81" s="797"/>
      <c r="I81" s="797"/>
      <c r="J81" s="797"/>
      <c r="K81" s="797"/>
      <c r="L81" s="797"/>
      <c r="M81" s="797"/>
      <c r="N81" s="797"/>
      <c r="O81" s="797"/>
      <c r="P81" s="797"/>
      <c r="Q81" s="797"/>
      <c r="R81" s="797"/>
      <c r="S81" s="797"/>
      <c r="T81" s="797"/>
      <c r="U81" s="797"/>
      <c r="V81" s="797"/>
      <c r="W81" s="797"/>
      <c r="X81" s="798">
        <f>'[16]Project Data'!$E$115</f>
        <v>34</v>
      </c>
    </row>
    <row r="82" spans="1:24" hidden="1" x14ac:dyDescent="0.25">
      <c r="A82" s="791">
        <v>19</v>
      </c>
      <c r="B82" s="796" t="s">
        <v>47</v>
      </c>
      <c r="C82" s="797">
        <f>C80/C81</f>
        <v>108818.80882352941</v>
      </c>
      <c r="D82" s="797"/>
      <c r="E82" s="797"/>
      <c r="F82" s="797"/>
      <c r="G82" s="797"/>
      <c r="H82" s="797"/>
      <c r="I82" s="797"/>
      <c r="J82" s="797"/>
      <c r="K82" s="797"/>
      <c r="L82" s="797"/>
      <c r="M82" s="797"/>
      <c r="N82" s="797"/>
      <c r="O82" s="797"/>
      <c r="P82" s="797"/>
      <c r="Q82" s="797"/>
      <c r="R82" s="797"/>
      <c r="S82" s="797"/>
      <c r="T82" s="797"/>
      <c r="U82" s="797"/>
      <c r="V82" s="797"/>
      <c r="W82" s="797"/>
      <c r="X82" s="798">
        <f>X80/X81</f>
        <v>7665.6588235294121</v>
      </c>
    </row>
    <row r="83" spans="1:24" hidden="1" x14ac:dyDescent="0.25">
      <c r="A83" s="791"/>
      <c r="B83" s="796"/>
      <c r="C83" s="797"/>
      <c r="D83" s="797"/>
      <c r="E83" s="797"/>
      <c r="F83" s="797"/>
      <c r="G83" s="797"/>
      <c r="H83" s="797"/>
      <c r="I83" s="797"/>
      <c r="J83" s="797"/>
      <c r="K83" s="797"/>
      <c r="L83" s="797"/>
      <c r="M83" s="797"/>
      <c r="N83" s="797"/>
      <c r="O83" s="797"/>
      <c r="P83" s="797"/>
      <c r="Q83" s="797"/>
      <c r="R83" s="797"/>
      <c r="S83" s="797"/>
      <c r="T83" s="797"/>
      <c r="U83" s="797"/>
      <c r="V83" s="797"/>
      <c r="W83" s="797"/>
      <c r="X83" s="798"/>
    </row>
    <row r="84" spans="1:24" hidden="1" x14ac:dyDescent="0.25">
      <c r="A84" s="791">
        <v>20</v>
      </c>
      <c r="B84" s="796" t="s">
        <v>48</v>
      </c>
      <c r="C84" s="797">
        <f>C75-C78</f>
        <v>11249518.5</v>
      </c>
      <c r="D84" s="797"/>
      <c r="E84" s="797"/>
      <c r="F84" s="797"/>
      <c r="G84" s="797"/>
      <c r="H84" s="797"/>
      <c r="I84" s="797"/>
      <c r="J84" s="797"/>
      <c r="K84" s="797"/>
      <c r="L84" s="797"/>
      <c r="M84" s="797"/>
      <c r="N84" s="797"/>
      <c r="O84" s="797"/>
      <c r="P84" s="797"/>
      <c r="Q84" s="797"/>
      <c r="R84" s="797"/>
      <c r="S84" s="797"/>
      <c r="T84" s="797"/>
      <c r="U84" s="797"/>
      <c r="V84" s="797"/>
      <c r="W84" s="797"/>
      <c r="X84" s="798">
        <f>X75-X78</f>
        <v>540948.6</v>
      </c>
    </row>
    <row r="85" spans="1:24" hidden="1" x14ac:dyDescent="0.25">
      <c r="A85" s="791">
        <v>21</v>
      </c>
      <c r="B85" s="796" t="s">
        <v>49</v>
      </c>
      <c r="C85" s="797">
        <f>C84*$AA$7</f>
        <v>0</v>
      </c>
      <c r="D85" s="797"/>
      <c r="E85" s="797"/>
      <c r="F85" s="797"/>
      <c r="G85" s="797"/>
      <c r="H85" s="797"/>
      <c r="I85" s="797"/>
      <c r="J85" s="797"/>
      <c r="K85" s="797"/>
      <c r="L85" s="797"/>
      <c r="M85" s="797"/>
      <c r="N85" s="797"/>
      <c r="O85" s="797"/>
      <c r="P85" s="797"/>
      <c r="Q85" s="797"/>
      <c r="R85" s="797"/>
      <c r="S85" s="797"/>
      <c r="T85" s="797"/>
      <c r="U85" s="797"/>
      <c r="V85" s="797"/>
      <c r="W85" s="797"/>
      <c r="X85" s="798">
        <f>X84*$AA$7</f>
        <v>0</v>
      </c>
    </row>
    <row r="86" spans="1:24" hidden="1" x14ac:dyDescent="0.25">
      <c r="A86" s="791">
        <v>22</v>
      </c>
      <c r="B86" s="796" t="s">
        <v>50</v>
      </c>
      <c r="C86" s="797">
        <f>C84*$AA$9</f>
        <v>0</v>
      </c>
      <c r="D86" s="797"/>
      <c r="E86" s="797"/>
      <c r="F86" s="797"/>
      <c r="G86" s="797"/>
      <c r="H86" s="797"/>
      <c r="I86" s="797"/>
      <c r="J86" s="797"/>
      <c r="K86" s="797"/>
      <c r="L86" s="797"/>
      <c r="M86" s="797"/>
      <c r="N86" s="797"/>
      <c r="O86" s="797"/>
      <c r="P86" s="797"/>
      <c r="Q86" s="797"/>
      <c r="R86" s="797"/>
      <c r="S86" s="797"/>
      <c r="T86" s="797"/>
      <c r="U86" s="797"/>
      <c r="V86" s="797"/>
      <c r="W86" s="797"/>
      <c r="X86" s="798">
        <f>X84*$AA$9</f>
        <v>0</v>
      </c>
    </row>
    <row r="87" spans="1:24" hidden="1" x14ac:dyDescent="0.25">
      <c r="A87" s="791">
        <v>23</v>
      </c>
      <c r="B87" s="796" t="s">
        <v>51</v>
      </c>
      <c r="C87" s="801">
        <f>C84*$AA$10</f>
        <v>0</v>
      </c>
      <c r="D87" s="801"/>
      <c r="E87" s="801"/>
      <c r="F87" s="801"/>
      <c r="G87" s="801"/>
      <c r="H87" s="801"/>
      <c r="I87" s="801"/>
      <c r="J87" s="801"/>
      <c r="K87" s="801"/>
      <c r="L87" s="801"/>
      <c r="M87" s="801"/>
      <c r="N87" s="801"/>
      <c r="O87" s="801"/>
      <c r="P87" s="801"/>
      <c r="Q87" s="801"/>
      <c r="R87" s="801"/>
      <c r="S87" s="801"/>
      <c r="T87" s="801"/>
      <c r="U87" s="801"/>
      <c r="V87" s="801"/>
      <c r="W87" s="801"/>
      <c r="X87" s="802">
        <f>X84*$AA$10</f>
        <v>0</v>
      </c>
    </row>
    <row r="88" spans="1:24" hidden="1" x14ac:dyDescent="0.25">
      <c r="A88" s="803">
        <f>A87+1</f>
        <v>24</v>
      </c>
      <c r="B88" s="804" t="s">
        <v>52</v>
      </c>
      <c r="C88" s="804" t="e">
        <f>'[17]Project Data'!E177*'[17]Project Data'!E171</f>
        <v>#REF!</v>
      </c>
      <c r="D88" s="804"/>
      <c r="E88" s="804"/>
      <c r="F88" s="804"/>
      <c r="G88" s="804"/>
      <c r="H88" s="804"/>
      <c r="I88" s="804"/>
      <c r="J88" s="804"/>
      <c r="K88" s="804"/>
      <c r="L88" s="804"/>
      <c r="M88" s="804"/>
      <c r="N88" s="804"/>
      <c r="O88" s="804"/>
      <c r="P88" s="804"/>
      <c r="Q88" s="804"/>
      <c r="R88" s="804"/>
      <c r="S88" s="804"/>
      <c r="T88" s="804"/>
      <c r="U88" s="804"/>
      <c r="V88" s="804"/>
      <c r="W88" s="804"/>
      <c r="X88" s="805"/>
    </row>
    <row r="89" spans="1:24" hidden="1" x14ac:dyDescent="0.25">
      <c r="A89" s="803">
        <f>A88+1</f>
        <v>25</v>
      </c>
      <c r="B89" s="804" t="s">
        <v>53</v>
      </c>
      <c r="C89" s="804" t="e">
        <f>C83+C87+C88</f>
        <v>#REF!</v>
      </c>
      <c r="D89" s="804"/>
      <c r="E89" s="804"/>
      <c r="F89" s="804"/>
      <c r="G89" s="804"/>
      <c r="H89" s="804"/>
      <c r="I89" s="804"/>
      <c r="J89" s="804"/>
      <c r="K89" s="804"/>
      <c r="L89" s="804"/>
      <c r="M89" s="804"/>
      <c r="N89" s="804"/>
      <c r="O89" s="804"/>
      <c r="P89" s="804"/>
      <c r="Q89" s="804"/>
      <c r="R89" s="804"/>
      <c r="S89" s="804"/>
      <c r="T89" s="804"/>
      <c r="U89" s="804"/>
      <c r="V89" s="804"/>
      <c r="W89" s="804"/>
      <c r="X89" s="805"/>
    </row>
    <row r="90" spans="1:24" hidden="1" x14ac:dyDescent="0.25">
      <c r="A90" s="803"/>
      <c r="B90" s="804"/>
      <c r="C90" s="804"/>
      <c r="D90" s="804"/>
      <c r="E90" s="804"/>
      <c r="F90" s="804"/>
      <c r="G90" s="804"/>
      <c r="H90" s="804"/>
      <c r="I90" s="804"/>
      <c r="J90" s="804"/>
      <c r="K90" s="804"/>
      <c r="L90" s="804"/>
      <c r="M90" s="804"/>
      <c r="N90" s="804"/>
      <c r="O90" s="804"/>
      <c r="P90" s="804"/>
      <c r="Q90" s="804"/>
      <c r="R90" s="804"/>
      <c r="S90" s="804"/>
      <c r="T90" s="804"/>
      <c r="U90" s="804"/>
      <c r="V90" s="804"/>
      <c r="W90" s="804"/>
      <c r="X90" s="805"/>
    </row>
    <row r="91" spans="1:24" hidden="1" x14ac:dyDescent="0.25">
      <c r="A91" s="803" t="s">
        <v>54</v>
      </c>
      <c r="B91" s="804"/>
      <c r="C91" s="806"/>
      <c r="D91" s="806"/>
      <c r="E91" s="806"/>
      <c r="F91" s="806"/>
      <c r="G91" s="806"/>
      <c r="H91" s="806"/>
      <c r="I91" s="806"/>
      <c r="J91" s="806"/>
      <c r="K91" s="806"/>
      <c r="L91" s="806"/>
      <c r="M91" s="806"/>
      <c r="N91" s="804"/>
      <c r="O91" s="804"/>
      <c r="P91" s="804"/>
      <c r="Q91" s="804"/>
      <c r="R91" s="804"/>
      <c r="S91" s="804"/>
      <c r="T91" s="804"/>
      <c r="U91" s="804"/>
      <c r="V91" s="804"/>
      <c r="W91" s="804"/>
      <c r="X91" s="805"/>
    </row>
    <row r="92" spans="1:24" hidden="1" x14ac:dyDescent="0.25">
      <c r="A92" s="803">
        <v>1</v>
      </c>
      <c r="B92" s="804" t="s">
        <v>55</v>
      </c>
      <c r="C92" s="804" t="e">
        <f>'[17]Project Data'!E139</f>
        <v>#REF!</v>
      </c>
      <c r="D92" s="804"/>
      <c r="E92" s="804"/>
      <c r="F92" s="804"/>
      <c r="G92" s="804"/>
      <c r="H92" s="804"/>
      <c r="I92" s="804"/>
      <c r="J92" s="804"/>
      <c r="K92" s="804"/>
      <c r="L92" s="804"/>
      <c r="M92" s="804"/>
      <c r="N92" s="804"/>
      <c r="O92" s="804"/>
      <c r="P92" s="804"/>
      <c r="Q92" s="804"/>
      <c r="R92" s="804"/>
      <c r="S92" s="804"/>
      <c r="T92" s="804"/>
      <c r="U92" s="804"/>
      <c r="V92" s="804"/>
      <c r="W92" s="804"/>
      <c r="X92" s="805"/>
    </row>
    <row r="93" spans="1:24" hidden="1" x14ac:dyDescent="0.25">
      <c r="A93" s="803">
        <f>A92+1</f>
        <v>2</v>
      </c>
      <c r="B93" s="804" t="s">
        <v>56</v>
      </c>
      <c r="C93" s="804" t="e">
        <f>'[17]Project Data'!E138</f>
        <v>#REF!</v>
      </c>
      <c r="D93" s="804"/>
      <c r="E93" s="804"/>
      <c r="F93" s="804"/>
      <c r="G93" s="804"/>
      <c r="H93" s="804"/>
      <c r="I93" s="804"/>
      <c r="J93" s="804"/>
      <c r="K93" s="804"/>
      <c r="L93" s="804"/>
      <c r="M93" s="804"/>
      <c r="N93" s="804"/>
      <c r="O93" s="804"/>
      <c r="P93" s="804"/>
      <c r="Q93" s="804"/>
      <c r="R93" s="804"/>
      <c r="S93" s="804"/>
      <c r="T93" s="804"/>
      <c r="U93" s="804"/>
      <c r="V93" s="804"/>
      <c r="W93" s="804"/>
      <c r="X93" s="805"/>
    </row>
    <row r="94" spans="1:24" hidden="1" x14ac:dyDescent="0.25">
      <c r="A94" s="803">
        <f t="shared" ref="A94:A100" si="34">A93+1</f>
        <v>3</v>
      </c>
      <c r="B94" s="804" t="s">
        <v>57</v>
      </c>
      <c r="C94" s="804" t="e">
        <f>C92*C95</f>
        <v>#REF!</v>
      </c>
      <c r="D94" s="804"/>
      <c r="E94" s="804"/>
      <c r="F94" s="804"/>
      <c r="G94" s="804"/>
      <c r="H94" s="804"/>
      <c r="I94" s="804"/>
      <c r="J94" s="804"/>
      <c r="K94" s="804"/>
      <c r="L94" s="804"/>
      <c r="M94" s="804"/>
      <c r="N94" s="804"/>
      <c r="O94" s="804"/>
      <c r="P94" s="804"/>
      <c r="Q94" s="804"/>
      <c r="R94" s="804"/>
      <c r="S94" s="804"/>
      <c r="T94" s="804"/>
      <c r="U94" s="804"/>
      <c r="V94" s="804"/>
      <c r="W94" s="804"/>
      <c r="X94" s="805"/>
    </row>
    <row r="95" spans="1:24" hidden="1" x14ac:dyDescent="0.25">
      <c r="A95" s="803">
        <f t="shared" si="34"/>
        <v>4</v>
      </c>
      <c r="B95" s="804" t="s">
        <v>58</v>
      </c>
      <c r="C95" s="804" t="e">
        <f>'[17]Project Data'!E142</f>
        <v>#REF!</v>
      </c>
      <c r="D95" s="804"/>
      <c r="E95" s="804"/>
      <c r="F95" s="804"/>
      <c r="G95" s="804"/>
      <c r="H95" s="804"/>
      <c r="I95" s="804"/>
      <c r="J95" s="804"/>
      <c r="K95" s="804"/>
      <c r="L95" s="804"/>
      <c r="M95" s="804"/>
      <c r="N95" s="804"/>
      <c r="O95" s="804"/>
      <c r="P95" s="804"/>
      <c r="Q95" s="804"/>
      <c r="R95" s="804"/>
      <c r="S95" s="804"/>
      <c r="T95" s="804"/>
      <c r="U95" s="804"/>
      <c r="V95" s="804"/>
      <c r="W95" s="804"/>
      <c r="X95" s="805"/>
    </row>
    <row r="96" spans="1:24" hidden="1" x14ac:dyDescent="0.25">
      <c r="A96" s="803">
        <f t="shared" si="34"/>
        <v>5</v>
      </c>
      <c r="B96" s="804" t="s">
        <v>59</v>
      </c>
      <c r="C96" s="804" t="e">
        <f>'[17]Project Data'!E174</f>
        <v>#REF!</v>
      </c>
      <c r="D96" s="804"/>
      <c r="E96" s="804"/>
      <c r="F96" s="804"/>
      <c r="G96" s="804"/>
      <c r="H96" s="804"/>
      <c r="I96" s="804"/>
      <c r="J96" s="804"/>
      <c r="K96" s="804"/>
      <c r="L96" s="804"/>
      <c r="M96" s="804"/>
      <c r="N96" s="804"/>
      <c r="O96" s="804"/>
      <c r="P96" s="804"/>
      <c r="Q96" s="804"/>
      <c r="R96" s="804"/>
      <c r="S96" s="804"/>
      <c r="T96" s="804"/>
      <c r="U96" s="804"/>
      <c r="V96" s="804"/>
      <c r="W96" s="804"/>
      <c r="X96" s="805"/>
    </row>
    <row r="97" spans="1:25" hidden="1" x14ac:dyDescent="0.25">
      <c r="A97" s="803">
        <f t="shared" si="34"/>
        <v>6</v>
      </c>
      <c r="B97" s="804" t="s">
        <v>60</v>
      </c>
      <c r="C97" s="804" t="e">
        <f>C96/C93</f>
        <v>#REF!</v>
      </c>
      <c r="D97" s="804"/>
      <c r="E97" s="804"/>
      <c r="F97" s="804"/>
      <c r="G97" s="804"/>
      <c r="H97" s="804"/>
      <c r="I97" s="804"/>
      <c r="J97" s="804"/>
      <c r="K97" s="804"/>
      <c r="L97" s="804"/>
      <c r="M97" s="804"/>
      <c r="N97" s="804"/>
      <c r="O97" s="804"/>
      <c r="P97" s="804"/>
      <c r="Q97" s="804"/>
      <c r="R97" s="804"/>
      <c r="S97" s="804"/>
      <c r="T97" s="804"/>
      <c r="U97" s="804"/>
      <c r="V97" s="804"/>
      <c r="W97" s="804"/>
      <c r="X97" s="805"/>
    </row>
    <row r="98" spans="1:25" hidden="1" x14ac:dyDescent="0.25">
      <c r="A98" s="803">
        <f t="shared" si="34"/>
        <v>7</v>
      </c>
      <c r="B98" s="804" t="s">
        <v>61</v>
      </c>
      <c r="C98" s="804" t="e">
        <f>C96*2</f>
        <v>#REF!</v>
      </c>
      <c r="D98" s="804"/>
      <c r="E98" s="804"/>
      <c r="F98" s="804"/>
      <c r="G98" s="804"/>
      <c r="H98" s="804"/>
      <c r="I98" s="804"/>
      <c r="J98" s="804"/>
      <c r="K98" s="804"/>
      <c r="L98" s="804"/>
      <c r="M98" s="804"/>
      <c r="N98" s="804"/>
      <c r="O98" s="804"/>
      <c r="P98" s="804"/>
      <c r="Q98" s="804"/>
      <c r="R98" s="804"/>
      <c r="S98" s="804"/>
      <c r="T98" s="804"/>
      <c r="U98" s="804"/>
      <c r="V98" s="804"/>
      <c r="W98" s="804"/>
      <c r="X98" s="805"/>
    </row>
    <row r="99" spans="1:25" hidden="1" x14ac:dyDescent="0.25">
      <c r="A99" s="803">
        <f t="shared" si="34"/>
        <v>8</v>
      </c>
      <c r="B99" s="804" t="s">
        <v>52</v>
      </c>
      <c r="C99" s="804" t="e">
        <f>'[17]Project Data'!E177*'[17]Project Data'!E174</f>
        <v>#REF!</v>
      </c>
      <c r="D99" s="804"/>
      <c r="E99" s="804"/>
      <c r="F99" s="804"/>
      <c r="G99" s="804"/>
      <c r="H99" s="804"/>
      <c r="I99" s="804"/>
      <c r="J99" s="804"/>
      <c r="K99" s="804"/>
      <c r="L99" s="804"/>
      <c r="M99" s="804"/>
      <c r="N99" s="804"/>
      <c r="O99" s="804"/>
      <c r="P99" s="804"/>
      <c r="Q99" s="804"/>
      <c r="R99" s="804"/>
      <c r="S99" s="804"/>
      <c r="T99" s="804"/>
      <c r="U99" s="804"/>
      <c r="V99" s="804"/>
      <c r="W99" s="804"/>
      <c r="X99" s="805"/>
    </row>
    <row r="100" spans="1:25" hidden="1" x14ac:dyDescent="0.25">
      <c r="A100" s="803">
        <f t="shared" si="34"/>
        <v>9</v>
      </c>
      <c r="B100" s="804" t="s">
        <v>53</v>
      </c>
      <c r="C100" s="804" t="e">
        <f>C94+C98+C99</f>
        <v>#REF!</v>
      </c>
      <c r="D100" s="804"/>
      <c r="E100" s="804"/>
      <c r="F100" s="804"/>
      <c r="G100" s="804"/>
      <c r="H100" s="804"/>
      <c r="I100" s="804"/>
      <c r="J100" s="804"/>
      <c r="K100" s="804"/>
      <c r="L100" s="804"/>
      <c r="M100" s="804"/>
      <c r="N100" s="804"/>
      <c r="O100" s="804"/>
      <c r="P100" s="804"/>
      <c r="Q100" s="804"/>
      <c r="R100" s="804"/>
      <c r="S100" s="804"/>
      <c r="T100" s="804"/>
      <c r="U100" s="804"/>
      <c r="V100" s="804"/>
      <c r="W100" s="804"/>
      <c r="X100" s="805"/>
    </row>
    <row r="101" spans="1:25" hidden="1" x14ac:dyDescent="0.25">
      <c r="A101" s="803"/>
      <c r="B101" s="804"/>
      <c r="C101" s="804"/>
      <c r="D101" s="804"/>
      <c r="E101" s="804"/>
      <c r="F101" s="804"/>
      <c r="G101" s="804"/>
      <c r="H101" s="804"/>
      <c r="I101" s="804"/>
      <c r="J101" s="804"/>
      <c r="K101" s="804"/>
      <c r="L101" s="804"/>
      <c r="M101" s="804"/>
      <c r="N101" s="804"/>
      <c r="O101" s="804"/>
      <c r="P101" s="804"/>
      <c r="Q101" s="804"/>
      <c r="R101" s="804"/>
      <c r="S101" s="804"/>
      <c r="T101" s="804"/>
      <c r="U101" s="804"/>
      <c r="V101" s="804"/>
      <c r="W101" s="804"/>
      <c r="X101" s="805"/>
    </row>
    <row r="102" spans="1:25" hidden="1" x14ac:dyDescent="0.25">
      <c r="A102" s="803"/>
      <c r="B102" s="804"/>
      <c r="C102" s="804"/>
      <c r="D102" s="804"/>
      <c r="E102" s="804"/>
      <c r="F102" s="804"/>
      <c r="G102" s="804"/>
      <c r="H102" s="804"/>
      <c r="I102" s="804"/>
      <c r="J102" s="804"/>
      <c r="K102" s="804"/>
      <c r="L102" s="804"/>
      <c r="M102" s="804"/>
      <c r="N102" s="804"/>
      <c r="O102" s="804"/>
      <c r="P102" s="804"/>
      <c r="Q102" s="804"/>
      <c r="R102" s="804"/>
      <c r="S102" s="804"/>
      <c r="T102" s="804"/>
      <c r="U102" s="804"/>
      <c r="V102" s="804"/>
      <c r="W102" s="804"/>
      <c r="X102" s="805"/>
    </row>
    <row r="103" spans="1:25" s="789" customFormat="1" x14ac:dyDescent="0.25">
      <c r="A103" s="803">
        <v>16</v>
      </c>
      <c r="B103" s="804" t="s">
        <v>62</v>
      </c>
      <c r="C103" s="804">
        <f>C80/43</f>
        <v>86042.779069767435</v>
      </c>
      <c r="D103" s="804">
        <f t="shared" ref="D103:X103" si="35">D80/43</f>
        <v>43982.674418604649</v>
      </c>
      <c r="E103" s="804">
        <f t="shared" si="35"/>
        <v>47854.087209302328</v>
      </c>
      <c r="F103" s="804">
        <f t="shared" si="35"/>
        <v>52099.610465116282</v>
      </c>
      <c r="G103" s="804">
        <f t="shared" si="35"/>
        <v>74201.55232558139</v>
      </c>
      <c r="H103" s="804">
        <f t="shared" si="35"/>
        <v>51906.25</v>
      </c>
      <c r="I103" s="804">
        <f t="shared" si="35"/>
        <v>83260.069767441862</v>
      </c>
      <c r="J103" s="804">
        <f t="shared" si="35"/>
        <v>57593.56976744187</v>
      </c>
      <c r="K103" s="804">
        <f t="shared" si="35"/>
        <v>57534.720930232557</v>
      </c>
      <c r="L103" s="804">
        <f t="shared" si="35"/>
        <v>76584.906976744183</v>
      </c>
      <c r="M103" s="804">
        <f t="shared" si="35"/>
        <v>45596.813953488374</v>
      </c>
      <c r="N103" s="804">
        <f t="shared" si="35"/>
        <v>77377.04186046512</v>
      </c>
      <c r="O103" s="804">
        <f t="shared" si="35"/>
        <v>77359.106976744195</v>
      </c>
      <c r="P103" s="804">
        <f t="shared" si="35"/>
        <v>62867.720930232557</v>
      </c>
      <c r="Q103" s="804">
        <f t="shared" si="35"/>
        <v>139915.98139534885</v>
      </c>
      <c r="R103" s="804">
        <f t="shared" si="35"/>
        <v>80748.800000000003</v>
      </c>
      <c r="S103" s="804">
        <f t="shared" si="35"/>
        <v>88568.409302325585</v>
      </c>
      <c r="T103" s="804">
        <f t="shared" si="35"/>
        <v>96979.869767441865</v>
      </c>
      <c r="U103" s="804">
        <f t="shared" si="35"/>
        <v>144812.20465116281</v>
      </c>
      <c r="V103" s="804">
        <f t="shared" si="35"/>
        <v>7426.5116279069771</v>
      </c>
      <c r="W103" s="804">
        <f t="shared" si="35"/>
        <v>7036.4279069767445</v>
      </c>
      <c r="X103" s="804">
        <f t="shared" si="35"/>
        <v>6061.2186046511633</v>
      </c>
      <c r="Y103" s="804"/>
    </row>
    <row r="104" spans="1:25" x14ac:dyDescent="0.25">
      <c r="A104" s="803"/>
      <c r="B104" s="804"/>
      <c r="C104" s="804"/>
      <c r="D104" s="804"/>
      <c r="E104" s="804"/>
      <c r="F104" s="804"/>
      <c r="G104" s="804"/>
      <c r="H104" s="804"/>
      <c r="I104" s="804"/>
      <c r="J104" s="804"/>
      <c r="K104" s="804"/>
      <c r="L104" s="804"/>
      <c r="M104" s="804"/>
      <c r="N104" s="804"/>
      <c r="O104" s="804"/>
      <c r="P104" s="804"/>
      <c r="Q104" s="804"/>
      <c r="R104" s="804"/>
      <c r="S104" s="804"/>
      <c r="T104" s="804"/>
      <c r="U104" s="804"/>
      <c r="V104" s="804"/>
      <c r="W104" s="804"/>
      <c r="X104" s="805"/>
    </row>
    <row r="105" spans="1:25" x14ac:dyDescent="0.25">
      <c r="A105" s="803">
        <v>17</v>
      </c>
      <c r="B105" s="807" t="s">
        <v>63</v>
      </c>
      <c r="C105" s="804">
        <f>C75-C78</f>
        <v>11249518.5</v>
      </c>
      <c r="D105" s="804">
        <f t="shared" ref="D105:X105" si="36">D75-D78</f>
        <v>5823765</v>
      </c>
      <c r="E105" s="804">
        <f t="shared" si="36"/>
        <v>6323177.25</v>
      </c>
      <c r="F105" s="804">
        <f t="shared" si="36"/>
        <v>6870849.75</v>
      </c>
      <c r="G105" s="804">
        <f t="shared" si="36"/>
        <v>9722000.25</v>
      </c>
      <c r="H105" s="804">
        <f t="shared" si="36"/>
        <v>6845906.25</v>
      </c>
      <c r="I105" s="804">
        <f t="shared" si="36"/>
        <v>10890549</v>
      </c>
      <c r="J105" s="804">
        <f t="shared" si="36"/>
        <v>7579570.5000000019</v>
      </c>
      <c r="K105" s="804">
        <f t="shared" si="36"/>
        <v>7571979</v>
      </c>
      <c r="L105" s="804">
        <f t="shared" si="36"/>
        <v>10029456</v>
      </c>
      <c r="M105" s="804">
        <f t="shared" si="36"/>
        <v>6031989</v>
      </c>
      <c r="N105" s="804">
        <f t="shared" si="36"/>
        <v>5140819.1999999993</v>
      </c>
      <c r="O105" s="804">
        <f t="shared" si="36"/>
        <v>5139662.4000000004</v>
      </c>
      <c r="P105" s="804">
        <f t="shared" si="36"/>
        <v>4204968</v>
      </c>
      <c r="Q105" s="804">
        <f t="shared" si="36"/>
        <v>9174580.8000000007</v>
      </c>
      <c r="R105" s="804">
        <f t="shared" si="36"/>
        <v>5358297.5999999996</v>
      </c>
      <c r="S105" s="804">
        <f t="shared" si="36"/>
        <v>5862662.4000000004</v>
      </c>
      <c r="T105" s="804">
        <f t="shared" si="36"/>
        <v>6405201.5999999996</v>
      </c>
      <c r="U105" s="804">
        <f t="shared" si="36"/>
        <v>9490387.2000000011</v>
      </c>
      <c r="V105" s="804">
        <f t="shared" si="36"/>
        <v>629010</v>
      </c>
      <c r="W105" s="804">
        <f t="shared" si="36"/>
        <v>603849.6</v>
      </c>
      <c r="X105" s="804">
        <f t="shared" si="36"/>
        <v>540948.6</v>
      </c>
    </row>
    <row r="106" spans="1:25" hidden="1" x14ac:dyDescent="0.25">
      <c r="A106" s="803">
        <v>18</v>
      </c>
      <c r="B106" s="804" t="s">
        <v>64</v>
      </c>
      <c r="C106" s="804">
        <v>69820.214423232668</v>
      </c>
      <c r="D106" s="804">
        <v>73795.417969823291</v>
      </c>
      <c r="E106" s="804">
        <v>78474.428045974215</v>
      </c>
      <c r="F106" s="804">
        <v>78852.398219256604</v>
      </c>
      <c r="G106" s="804"/>
      <c r="H106" s="804"/>
      <c r="I106" s="804"/>
      <c r="J106" s="804"/>
      <c r="K106" s="804"/>
      <c r="L106" s="804"/>
      <c r="M106" s="804"/>
      <c r="N106" s="804">
        <v>127975.48729171579</v>
      </c>
      <c r="O106" s="804">
        <v>69820.214423232668</v>
      </c>
      <c r="P106" s="804">
        <v>73795.417969823291</v>
      </c>
      <c r="Q106" s="804">
        <v>78852.398219256604</v>
      </c>
      <c r="R106" s="804">
        <v>143016.09349750457</v>
      </c>
      <c r="S106" s="804"/>
      <c r="T106" s="804"/>
      <c r="U106" s="804"/>
      <c r="V106" s="804">
        <v>10861.211875930661</v>
      </c>
      <c r="W106" s="804"/>
      <c r="X106" s="805">
        <v>11730.108826005115</v>
      </c>
    </row>
    <row r="107" spans="1:25" ht="15.75" thickBot="1" x14ac:dyDescent="0.3">
      <c r="A107" s="808">
        <v>19</v>
      </c>
      <c r="B107" s="809" t="s">
        <v>65</v>
      </c>
      <c r="C107" s="809">
        <f>C105*B108</f>
        <v>101113.82214317999</v>
      </c>
      <c r="D107" s="809">
        <v>57631.20892604383</v>
      </c>
      <c r="E107" s="809">
        <v>61285.324786949823</v>
      </c>
      <c r="F107" s="809">
        <f>F105*$B108</f>
        <v>61757.121390929999</v>
      </c>
      <c r="G107" s="809">
        <f t="shared" ref="G107:X107" si="37">G105*$B108</f>
        <v>87384.060407069992</v>
      </c>
      <c r="H107" s="809">
        <f t="shared" si="37"/>
        <v>61532.922228749994</v>
      </c>
      <c r="I107" s="809">
        <f t="shared" si="37"/>
        <v>97887.303765719989</v>
      </c>
      <c r="J107" s="809">
        <f t="shared" si="37"/>
        <v>68127.301933740018</v>
      </c>
      <c r="K107" s="809">
        <f t="shared" si="37"/>
        <v>68059.067406119997</v>
      </c>
      <c r="L107" s="809">
        <f t="shared" si="37"/>
        <v>90147.558775679994</v>
      </c>
      <c r="M107" s="809">
        <f t="shared" si="37"/>
        <v>54217.20608892</v>
      </c>
      <c r="N107" s="809">
        <f t="shared" si="37"/>
        <v>46207.122398975989</v>
      </c>
      <c r="O107" s="809">
        <f t="shared" si="37"/>
        <v>46196.724756672003</v>
      </c>
      <c r="P107" s="809">
        <f t="shared" si="37"/>
        <v>37795.42977504</v>
      </c>
      <c r="Q107" s="809">
        <f t="shared" si="37"/>
        <v>82463.701113023999</v>
      </c>
      <c r="R107" s="809">
        <f t="shared" si="37"/>
        <v>48161.879152127993</v>
      </c>
      <c r="S107" s="809">
        <f t="shared" si="37"/>
        <v>52695.251196671998</v>
      </c>
      <c r="T107" s="809">
        <f t="shared" si="37"/>
        <v>57571.745437247992</v>
      </c>
      <c r="U107" s="809">
        <f t="shared" si="37"/>
        <v>85302.257462016001</v>
      </c>
      <c r="V107" s="809">
        <f t="shared" si="37"/>
        <v>5653.7180027999993</v>
      </c>
      <c r="W107" s="809">
        <f t="shared" si="37"/>
        <v>5427.5692826879995</v>
      </c>
      <c r="X107" s="809">
        <f t="shared" si="37"/>
        <v>4862.1974824079998</v>
      </c>
    </row>
    <row r="108" spans="1:25" x14ac:dyDescent="0.25">
      <c r="B108" s="810">
        <v>8.9882799999999995E-3</v>
      </c>
      <c r="C108" s="789">
        <f>C105*B108</f>
        <v>101113.82214317999</v>
      </c>
    </row>
    <row r="110" spans="1:25" x14ac:dyDescent="0.25">
      <c r="A110" s="990" t="s">
        <v>67</v>
      </c>
      <c r="B110" s="991"/>
      <c r="C110" s="991"/>
      <c r="D110" s="991"/>
      <c r="E110" s="991"/>
      <c r="F110" s="991"/>
      <c r="G110" s="991"/>
      <c r="H110" s="991"/>
      <c r="I110" s="991"/>
      <c r="J110" s="991"/>
      <c r="K110" s="991"/>
      <c r="L110" s="991"/>
      <c r="M110" s="991"/>
      <c r="N110" s="991"/>
      <c r="O110" s="991"/>
      <c r="P110" s="991"/>
      <c r="Q110" s="991"/>
      <c r="R110" s="991"/>
      <c r="S110" s="991"/>
      <c r="T110" s="991"/>
      <c r="U110" s="991"/>
      <c r="V110" s="991"/>
      <c r="W110" s="991"/>
      <c r="X110" s="992"/>
    </row>
    <row r="111" spans="1:25" x14ac:dyDescent="0.25">
      <c r="A111" s="791"/>
      <c r="B111" s="792" t="s">
        <v>6</v>
      </c>
      <c r="C111" s="793" t="str">
        <f t="shared" ref="C111:X115" si="38">C7</f>
        <v>1BR, Fully Fitted</v>
      </c>
      <c r="D111" s="794" t="str">
        <f t="shared" si="38"/>
        <v>1BR, Fully Fitted</v>
      </c>
      <c r="E111" s="794" t="str">
        <f t="shared" si="38"/>
        <v>1BR, Fully Fitted</v>
      </c>
      <c r="F111" s="794" t="str">
        <f t="shared" si="38"/>
        <v>1BR, Fully Fitted</v>
      </c>
      <c r="G111" s="794" t="str">
        <f t="shared" si="38"/>
        <v>1BR, Fully Fitted</v>
      </c>
      <c r="H111" s="794" t="str">
        <f t="shared" si="38"/>
        <v>1BR, Fully Fitted</v>
      </c>
      <c r="I111" s="794" t="str">
        <f t="shared" si="38"/>
        <v>1BR, Fully Fitted</v>
      </c>
      <c r="J111" s="794" t="str">
        <f t="shared" si="38"/>
        <v>1BR, Fully Fitted</v>
      </c>
      <c r="K111" s="794" t="str">
        <f t="shared" si="38"/>
        <v>1BR, Fully Fitted</v>
      </c>
      <c r="L111" s="794" t="str">
        <f t="shared" si="38"/>
        <v>1BR, Fully Fitted</v>
      </c>
      <c r="M111" s="794" t="str">
        <f t="shared" si="38"/>
        <v>1BR, Fully Fitted</v>
      </c>
      <c r="N111" s="794" t="str">
        <f t="shared" si="38"/>
        <v>Commercial Unit 1</v>
      </c>
      <c r="O111" s="794" t="str">
        <f t="shared" si="38"/>
        <v>Commercial Unit 2</v>
      </c>
      <c r="P111" s="794" t="str">
        <f t="shared" si="38"/>
        <v>Commercial Unit 3</v>
      </c>
      <c r="Q111" s="794" t="str">
        <f t="shared" si="38"/>
        <v>Commercial Unit 4</v>
      </c>
      <c r="R111" s="794" t="str">
        <f t="shared" si="38"/>
        <v>Commercial Unit 5</v>
      </c>
      <c r="S111" s="794" t="str">
        <f t="shared" si="38"/>
        <v>Commercial Unit 6</v>
      </c>
      <c r="T111" s="794" t="str">
        <f t="shared" si="38"/>
        <v>Commercial Unit 7</v>
      </c>
      <c r="U111" s="794" t="str">
        <f t="shared" si="38"/>
        <v>Commercial Unit 8</v>
      </c>
      <c r="V111" s="794" t="str">
        <f t="shared" si="38"/>
        <v>Parking Slot - Regular</v>
      </c>
      <c r="W111" s="794" t="str">
        <f t="shared" si="38"/>
        <v>Parking Slot - Parallel</v>
      </c>
      <c r="X111" s="795" t="str">
        <f t="shared" si="38"/>
        <v>Parking Slot - Small</v>
      </c>
    </row>
    <row r="112" spans="1:25" x14ac:dyDescent="0.25">
      <c r="A112" s="791"/>
      <c r="B112" s="792"/>
      <c r="C112" s="793" t="str">
        <f t="shared" si="38"/>
        <v>Unit A</v>
      </c>
      <c r="D112" s="794" t="str">
        <f t="shared" si="38"/>
        <v>Unit  B</v>
      </c>
      <c r="E112" s="794" t="str">
        <f t="shared" si="38"/>
        <v>Unit C</v>
      </c>
      <c r="F112" s="794" t="str">
        <f t="shared" si="38"/>
        <v>Unit D</v>
      </c>
      <c r="G112" s="794" t="str">
        <f t="shared" si="38"/>
        <v>Unit E</v>
      </c>
      <c r="H112" s="794" t="str">
        <f t="shared" si="38"/>
        <v>Unit F</v>
      </c>
      <c r="I112" s="794" t="str">
        <f t="shared" si="38"/>
        <v>Unit G</v>
      </c>
      <c r="J112" s="794" t="str">
        <f t="shared" si="38"/>
        <v>Unit H</v>
      </c>
      <c r="K112" s="794" t="str">
        <f t="shared" si="38"/>
        <v>Unit I to K</v>
      </c>
      <c r="L112" s="794" t="str">
        <f t="shared" si="38"/>
        <v>Unit L</v>
      </c>
      <c r="M112" s="794" t="str">
        <f t="shared" si="38"/>
        <v>Unit M</v>
      </c>
      <c r="N112" s="794">
        <f t="shared" si="38"/>
        <v>0</v>
      </c>
      <c r="O112" s="794">
        <f t="shared" si="38"/>
        <v>0</v>
      </c>
      <c r="P112" s="794">
        <f t="shared" si="38"/>
        <v>0</v>
      </c>
      <c r="Q112" s="794">
        <f t="shared" si="38"/>
        <v>0</v>
      </c>
      <c r="R112" s="794">
        <f t="shared" si="38"/>
        <v>0</v>
      </c>
      <c r="S112" s="794">
        <f t="shared" si="38"/>
        <v>0</v>
      </c>
      <c r="T112" s="794">
        <f t="shared" si="38"/>
        <v>0</v>
      </c>
      <c r="U112" s="794">
        <f t="shared" si="38"/>
        <v>0</v>
      </c>
      <c r="V112" s="794">
        <f t="shared" si="38"/>
        <v>0</v>
      </c>
      <c r="W112" s="794">
        <f t="shared" si="38"/>
        <v>0</v>
      </c>
      <c r="X112" s="795">
        <f t="shared" si="38"/>
        <v>0</v>
      </c>
    </row>
    <row r="113" spans="1:24" x14ac:dyDescent="0.25">
      <c r="A113" s="791">
        <v>1</v>
      </c>
      <c r="B113" s="796" t="s">
        <v>30</v>
      </c>
      <c r="C113" s="797">
        <f t="shared" si="38"/>
        <v>98.5</v>
      </c>
      <c r="D113" s="797">
        <f t="shared" si="38"/>
        <v>51.02</v>
      </c>
      <c r="E113" s="797">
        <f t="shared" si="38"/>
        <v>55.62</v>
      </c>
      <c r="F113" s="797">
        <f t="shared" si="38"/>
        <v>60.78</v>
      </c>
      <c r="G113" s="797">
        <f t="shared" si="38"/>
        <v>83.49</v>
      </c>
      <c r="H113" s="797">
        <f t="shared" si="38"/>
        <v>61.03</v>
      </c>
      <c r="I113" s="797">
        <f t="shared" si="38"/>
        <v>94.79</v>
      </c>
      <c r="J113" s="797">
        <f t="shared" si="38"/>
        <v>67.790000000000006</v>
      </c>
      <c r="K113" s="797">
        <f t="shared" si="38"/>
        <v>67.72</v>
      </c>
      <c r="L113" s="797">
        <f t="shared" si="38"/>
        <v>86.15</v>
      </c>
      <c r="M113" s="797">
        <f t="shared" si="38"/>
        <v>53.53</v>
      </c>
      <c r="N113" s="797">
        <f t="shared" si="38"/>
        <v>44.44</v>
      </c>
      <c r="O113" s="797">
        <f t="shared" si="38"/>
        <v>44.43</v>
      </c>
      <c r="P113" s="797">
        <f t="shared" si="38"/>
        <v>36.35</v>
      </c>
      <c r="Q113" s="797">
        <f t="shared" si="38"/>
        <v>79.31</v>
      </c>
      <c r="R113" s="797">
        <f t="shared" si="38"/>
        <v>46.32</v>
      </c>
      <c r="S113" s="797">
        <f t="shared" si="38"/>
        <v>50.68</v>
      </c>
      <c r="T113" s="797">
        <f t="shared" si="38"/>
        <v>55.37</v>
      </c>
      <c r="U113" s="797">
        <f t="shared" si="38"/>
        <v>82.04</v>
      </c>
      <c r="V113" s="797">
        <f t="shared" si="38"/>
        <v>12.5</v>
      </c>
      <c r="W113" s="797">
        <f t="shared" si="38"/>
        <v>12</v>
      </c>
      <c r="X113" s="798">
        <f t="shared" si="38"/>
        <v>10.75</v>
      </c>
    </row>
    <row r="114" spans="1:24" x14ac:dyDescent="0.25">
      <c r="A114" s="791">
        <v>2</v>
      </c>
      <c r="B114" s="796" t="s">
        <v>31</v>
      </c>
      <c r="C114" s="797">
        <f t="shared" si="38"/>
        <v>10.46</v>
      </c>
      <c r="D114" s="797">
        <f t="shared" si="38"/>
        <v>5.36</v>
      </c>
      <c r="E114" s="797">
        <f t="shared" si="38"/>
        <v>5.37</v>
      </c>
      <c r="F114" s="797">
        <f t="shared" si="38"/>
        <v>5.15</v>
      </c>
      <c r="G114" s="797">
        <f t="shared" si="38"/>
        <v>12.309999999999999</v>
      </c>
      <c r="H114" s="797">
        <f t="shared" si="38"/>
        <v>4.1900000000000004</v>
      </c>
      <c r="I114" s="797">
        <f t="shared" si="38"/>
        <v>11.260000000000002</v>
      </c>
      <c r="J114" s="797">
        <f t="shared" si="38"/>
        <v>4.2</v>
      </c>
      <c r="K114" s="797">
        <f t="shared" si="38"/>
        <v>4.2</v>
      </c>
      <c r="L114" s="797">
        <f t="shared" si="38"/>
        <v>12.66</v>
      </c>
      <c r="M114" s="797">
        <f t="shared" si="38"/>
        <v>4.18</v>
      </c>
      <c r="N114" s="797">
        <f t="shared" si="38"/>
        <v>0</v>
      </c>
      <c r="O114" s="797">
        <f t="shared" si="38"/>
        <v>0</v>
      </c>
      <c r="P114" s="797">
        <f t="shared" si="38"/>
        <v>0</v>
      </c>
      <c r="Q114" s="797">
        <f t="shared" si="38"/>
        <v>0</v>
      </c>
      <c r="R114" s="797">
        <f t="shared" si="38"/>
        <v>0</v>
      </c>
      <c r="S114" s="797">
        <f t="shared" si="38"/>
        <v>0</v>
      </c>
      <c r="T114" s="797">
        <f t="shared" si="38"/>
        <v>0</v>
      </c>
      <c r="U114" s="797">
        <f t="shared" si="38"/>
        <v>0</v>
      </c>
      <c r="V114" s="797">
        <f t="shared" si="38"/>
        <v>0</v>
      </c>
      <c r="W114" s="797">
        <f t="shared" si="38"/>
        <v>0</v>
      </c>
      <c r="X114" s="798">
        <f t="shared" si="38"/>
        <v>0</v>
      </c>
    </row>
    <row r="115" spans="1:24" x14ac:dyDescent="0.25">
      <c r="A115" s="791">
        <v>3</v>
      </c>
      <c r="B115" s="796" t="s">
        <v>32</v>
      </c>
      <c r="C115" s="797">
        <f t="shared" si="38"/>
        <v>108.96000000000001</v>
      </c>
      <c r="D115" s="797">
        <f t="shared" si="38"/>
        <v>56.38</v>
      </c>
      <c r="E115" s="797">
        <f t="shared" si="38"/>
        <v>60.989999999999995</v>
      </c>
      <c r="F115" s="797">
        <f t="shared" si="38"/>
        <v>65.930000000000007</v>
      </c>
      <c r="G115" s="797">
        <f t="shared" si="38"/>
        <v>95.8</v>
      </c>
      <c r="H115" s="797">
        <f t="shared" si="38"/>
        <v>65.22</v>
      </c>
      <c r="I115" s="797">
        <f t="shared" si="38"/>
        <v>106.05000000000001</v>
      </c>
      <c r="J115" s="797">
        <f t="shared" si="38"/>
        <v>71.990000000000009</v>
      </c>
      <c r="K115" s="797">
        <f t="shared" si="38"/>
        <v>71.92</v>
      </c>
      <c r="L115" s="797">
        <f t="shared" si="38"/>
        <v>98.81</v>
      </c>
      <c r="M115" s="797">
        <f t="shared" si="38"/>
        <v>57.71</v>
      </c>
      <c r="N115" s="797">
        <f t="shared" si="38"/>
        <v>44.44</v>
      </c>
      <c r="O115" s="797">
        <f t="shared" si="38"/>
        <v>44.43</v>
      </c>
      <c r="P115" s="797">
        <f t="shared" si="38"/>
        <v>36.35</v>
      </c>
      <c r="Q115" s="797">
        <f t="shared" si="38"/>
        <v>79.31</v>
      </c>
      <c r="R115" s="797">
        <f t="shared" si="38"/>
        <v>46.32</v>
      </c>
      <c r="S115" s="797">
        <f t="shared" si="38"/>
        <v>50.68</v>
      </c>
      <c r="T115" s="797">
        <f t="shared" si="38"/>
        <v>55.37</v>
      </c>
      <c r="U115" s="797">
        <f t="shared" si="38"/>
        <v>82.04</v>
      </c>
      <c r="V115" s="797">
        <f t="shared" si="38"/>
        <v>12.5</v>
      </c>
      <c r="W115" s="797">
        <f t="shared" si="38"/>
        <v>12</v>
      </c>
      <c r="X115" s="798">
        <f t="shared" si="38"/>
        <v>10.75</v>
      </c>
    </row>
    <row r="116" spans="1:24" x14ac:dyDescent="0.25">
      <c r="A116" s="791"/>
      <c r="B116" s="796"/>
      <c r="C116" s="797"/>
      <c r="D116" s="797"/>
      <c r="E116" s="797"/>
      <c r="F116" s="797"/>
      <c r="G116" s="797"/>
      <c r="H116" s="797"/>
      <c r="I116" s="797"/>
      <c r="J116" s="797"/>
      <c r="K116" s="797"/>
      <c r="L116" s="797"/>
      <c r="M116" s="797"/>
      <c r="N116" s="797"/>
      <c r="O116" s="797"/>
      <c r="P116" s="797"/>
      <c r="Q116" s="797"/>
      <c r="R116" s="797"/>
      <c r="S116" s="797"/>
      <c r="T116" s="797"/>
      <c r="U116" s="797"/>
      <c r="V116" s="797"/>
      <c r="W116" s="797"/>
      <c r="X116" s="798"/>
    </row>
    <row r="117" spans="1:24" x14ac:dyDescent="0.25">
      <c r="A117" s="791">
        <v>4</v>
      </c>
      <c r="B117" s="796" t="s">
        <v>33</v>
      </c>
      <c r="C117" s="797">
        <f>'[15]IS Comparison 07142021 - DR2'!CC4</f>
        <v>122999.99999999999</v>
      </c>
      <c r="D117" s="797">
        <f t="shared" ref="D117:M117" si="39">$C$117</f>
        <v>122999.99999999999</v>
      </c>
      <c r="E117" s="797">
        <f t="shared" si="39"/>
        <v>122999.99999999999</v>
      </c>
      <c r="F117" s="797">
        <f t="shared" si="39"/>
        <v>122999.99999999999</v>
      </c>
      <c r="G117" s="797">
        <f t="shared" si="39"/>
        <v>122999.99999999999</v>
      </c>
      <c r="H117" s="797">
        <f t="shared" si="39"/>
        <v>122999.99999999999</v>
      </c>
      <c r="I117" s="797">
        <f t="shared" si="39"/>
        <v>122999.99999999999</v>
      </c>
      <c r="J117" s="797">
        <f t="shared" si="39"/>
        <v>122999.99999999999</v>
      </c>
      <c r="K117" s="797">
        <f t="shared" si="39"/>
        <v>122999.99999999999</v>
      </c>
      <c r="L117" s="797">
        <f t="shared" si="39"/>
        <v>122999.99999999999</v>
      </c>
      <c r="M117" s="797">
        <f t="shared" si="39"/>
        <v>122999.99999999999</v>
      </c>
      <c r="N117" s="797">
        <v>160000</v>
      </c>
      <c r="O117" s="797">
        <v>160000</v>
      </c>
      <c r="P117" s="797">
        <v>160000</v>
      </c>
      <c r="Q117" s="797">
        <v>160000</v>
      </c>
      <c r="R117" s="797">
        <v>160000</v>
      </c>
      <c r="S117" s="797">
        <v>160000</v>
      </c>
      <c r="T117" s="797">
        <v>160000</v>
      </c>
      <c r="U117" s="797">
        <v>160000</v>
      </c>
      <c r="V117" s="797">
        <f t="shared" ref="V117:X117" si="40">V65</f>
        <v>69600</v>
      </c>
      <c r="W117" s="797">
        <f t="shared" si="40"/>
        <v>69600</v>
      </c>
      <c r="X117" s="798">
        <f t="shared" si="40"/>
        <v>69600</v>
      </c>
    </row>
    <row r="118" spans="1:24" x14ac:dyDescent="0.25">
      <c r="A118" s="791">
        <v>5</v>
      </c>
      <c r="B118" s="796" t="s">
        <v>34</v>
      </c>
      <c r="C118" s="797">
        <f>C113*C117</f>
        <v>12115499.999999998</v>
      </c>
      <c r="D118" s="797">
        <f t="shared" ref="D118:G118" si="41">D113*D117</f>
        <v>6275460</v>
      </c>
      <c r="E118" s="797">
        <f t="shared" si="41"/>
        <v>6841259.9999999991</v>
      </c>
      <c r="F118" s="797">
        <f t="shared" si="41"/>
        <v>7475939.9999999991</v>
      </c>
      <c r="G118" s="797">
        <f t="shared" si="41"/>
        <v>10269269.999999998</v>
      </c>
      <c r="H118" s="797">
        <f>H117*H113</f>
        <v>7506689.9999999991</v>
      </c>
      <c r="I118" s="797">
        <f t="shared" ref="I118:M118" si="42">I117*I113</f>
        <v>11659170</v>
      </c>
      <c r="J118" s="797">
        <f t="shared" si="42"/>
        <v>8338170</v>
      </c>
      <c r="K118" s="797">
        <f t="shared" si="42"/>
        <v>8329559.9999999991</v>
      </c>
      <c r="L118" s="797">
        <f t="shared" si="42"/>
        <v>10596450</v>
      </c>
      <c r="M118" s="797">
        <f t="shared" si="42"/>
        <v>6584189.9999999991</v>
      </c>
      <c r="N118" s="797">
        <f>N117*N115</f>
        <v>7110400</v>
      </c>
      <c r="O118" s="797">
        <f>O117*O115</f>
        <v>7108800</v>
      </c>
      <c r="P118" s="797">
        <f>P117*P115</f>
        <v>5816000</v>
      </c>
      <c r="Q118" s="797">
        <f>Q117*Q115</f>
        <v>12689600</v>
      </c>
      <c r="R118" s="797">
        <f>R117*R115</f>
        <v>7411200</v>
      </c>
      <c r="S118" s="797">
        <f t="shared" ref="S118:X118" si="43">S117*S115</f>
        <v>8108800</v>
      </c>
      <c r="T118" s="797">
        <f t="shared" si="43"/>
        <v>8859200</v>
      </c>
      <c r="U118" s="797">
        <f t="shared" si="43"/>
        <v>13126400.000000002</v>
      </c>
      <c r="V118" s="797">
        <f t="shared" si="43"/>
        <v>870000</v>
      </c>
      <c r="W118" s="797">
        <f t="shared" si="43"/>
        <v>835200</v>
      </c>
      <c r="X118" s="797">
        <f t="shared" si="43"/>
        <v>748200</v>
      </c>
    </row>
    <row r="119" spans="1:24" x14ac:dyDescent="0.25">
      <c r="A119" s="791">
        <v>6</v>
      </c>
      <c r="B119" s="796" t="s">
        <v>35</v>
      </c>
      <c r="C119" s="797">
        <f>60000</f>
        <v>60000</v>
      </c>
      <c r="D119" s="797">
        <f>60000</f>
        <v>60000</v>
      </c>
      <c r="E119" s="797">
        <f>60000</f>
        <v>60000</v>
      </c>
      <c r="F119" s="797">
        <f>60000</f>
        <v>60000</v>
      </c>
      <c r="G119" s="797">
        <f>60000</f>
        <v>60000</v>
      </c>
      <c r="H119" s="797">
        <f>60000</f>
        <v>60000</v>
      </c>
      <c r="I119" s="797">
        <f>60000</f>
        <v>60000</v>
      </c>
      <c r="J119" s="797">
        <f>60000</f>
        <v>60000</v>
      </c>
      <c r="K119" s="797">
        <f>60000</f>
        <v>60000</v>
      </c>
      <c r="L119" s="797">
        <f>60000</f>
        <v>60000</v>
      </c>
      <c r="M119" s="797">
        <f>60000</f>
        <v>60000</v>
      </c>
      <c r="N119" s="797"/>
      <c r="O119" s="797"/>
      <c r="P119" s="797"/>
      <c r="Q119" s="797"/>
      <c r="R119" s="797"/>
      <c r="S119" s="797"/>
      <c r="T119" s="797"/>
      <c r="U119" s="797"/>
      <c r="V119" s="797"/>
      <c r="W119" s="797"/>
      <c r="X119" s="798"/>
    </row>
    <row r="120" spans="1:24" x14ac:dyDescent="0.25">
      <c r="A120" s="791">
        <v>7</v>
      </c>
      <c r="B120" s="796" t="s">
        <v>36</v>
      </c>
      <c r="C120" s="797">
        <f>C119*C114</f>
        <v>627600</v>
      </c>
      <c r="D120" s="797">
        <f t="shared" ref="D120:M120" si="44">D119*D114</f>
        <v>321600</v>
      </c>
      <c r="E120" s="797">
        <f t="shared" si="44"/>
        <v>322200</v>
      </c>
      <c r="F120" s="797">
        <f t="shared" si="44"/>
        <v>309000</v>
      </c>
      <c r="G120" s="797">
        <f t="shared" si="44"/>
        <v>738599.99999999988</v>
      </c>
      <c r="H120" s="797">
        <f t="shared" si="44"/>
        <v>251400.00000000003</v>
      </c>
      <c r="I120" s="797">
        <f t="shared" si="44"/>
        <v>675600.00000000012</v>
      </c>
      <c r="J120" s="797">
        <f t="shared" si="44"/>
        <v>252000</v>
      </c>
      <c r="K120" s="797">
        <f t="shared" si="44"/>
        <v>252000</v>
      </c>
      <c r="L120" s="797">
        <f t="shared" si="44"/>
        <v>759600</v>
      </c>
      <c r="M120" s="797">
        <f t="shared" si="44"/>
        <v>250799.99999999997</v>
      </c>
      <c r="N120" s="797"/>
      <c r="O120" s="797"/>
      <c r="P120" s="797"/>
      <c r="Q120" s="797"/>
      <c r="R120" s="797"/>
      <c r="S120" s="797"/>
      <c r="T120" s="797"/>
      <c r="U120" s="797"/>
      <c r="V120" s="797"/>
      <c r="W120" s="797"/>
      <c r="X120" s="798"/>
    </row>
    <row r="121" spans="1:24" x14ac:dyDescent="0.25">
      <c r="A121" s="791"/>
      <c r="B121" s="792" t="s">
        <v>37</v>
      </c>
      <c r="C121" s="799">
        <f t="shared" ref="C121:M121" si="45">C118+C120</f>
        <v>12743099.999999998</v>
      </c>
      <c r="D121" s="799">
        <f t="shared" si="45"/>
        <v>6597060</v>
      </c>
      <c r="E121" s="799">
        <f t="shared" si="45"/>
        <v>7163459.9999999991</v>
      </c>
      <c r="F121" s="799">
        <f t="shared" si="45"/>
        <v>7784939.9999999991</v>
      </c>
      <c r="G121" s="799">
        <f t="shared" si="45"/>
        <v>11007869.999999998</v>
      </c>
      <c r="H121" s="799">
        <f t="shared" si="45"/>
        <v>7758089.9999999991</v>
      </c>
      <c r="I121" s="799">
        <f t="shared" si="45"/>
        <v>12334770</v>
      </c>
      <c r="J121" s="799">
        <f t="shared" si="45"/>
        <v>8590170</v>
      </c>
      <c r="K121" s="799">
        <f t="shared" si="45"/>
        <v>8581560</v>
      </c>
      <c r="L121" s="799">
        <f t="shared" si="45"/>
        <v>11356050</v>
      </c>
      <c r="M121" s="799">
        <f t="shared" si="45"/>
        <v>6834989.9999999991</v>
      </c>
      <c r="N121" s="799">
        <f>N118</f>
        <v>7110400</v>
      </c>
      <c r="O121" s="799">
        <f>O118</f>
        <v>7108800</v>
      </c>
      <c r="P121" s="799">
        <f>P118</f>
        <v>5816000</v>
      </c>
      <c r="Q121" s="799">
        <f>Q118</f>
        <v>12689600</v>
      </c>
      <c r="R121" s="799">
        <f>R118</f>
        <v>7411200</v>
      </c>
      <c r="S121" s="799">
        <f t="shared" ref="S121:U121" si="46">S118</f>
        <v>8108800</v>
      </c>
      <c r="T121" s="799">
        <f t="shared" si="46"/>
        <v>8859200</v>
      </c>
      <c r="U121" s="799">
        <f t="shared" si="46"/>
        <v>13126400.000000002</v>
      </c>
      <c r="V121" s="799">
        <f>V118</f>
        <v>870000</v>
      </c>
      <c r="W121" s="799">
        <f t="shared" ref="W121:X121" si="47">W118</f>
        <v>835200</v>
      </c>
      <c r="X121" s="799">
        <f t="shared" si="47"/>
        <v>748200</v>
      </c>
    </row>
    <row r="122" spans="1:24" x14ac:dyDescent="0.25">
      <c r="A122" s="791"/>
      <c r="B122" s="796"/>
      <c r="C122" s="797"/>
      <c r="D122" s="797"/>
      <c r="E122" s="797"/>
      <c r="F122" s="797"/>
      <c r="G122" s="797"/>
      <c r="H122" s="797"/>
      <c r="I122" s="797"/>
      <c r="J122" s="797"/>
      <c r="K122" s="797"/>
      <c r="L122" s="797"/>
      <c r="M122" s="797"/>
      <c r="N122" s="797"/>
      <c r="O122" s="797"/>
      <c r="P122" s="797"/>
      <c r="Q122" s="797"/>
      <c r="R122" s="797"/>
      <c r="S122" s="797"/>
      <c r="T122" s="797"/>
      <c r="U122" s="797"/>
      <c r="V122" s="797"/>
      <c r="W122" s="797"/>
      <c r="X122" s="798"/>
    </row>
    <row r="123" spans="1:24" x14ac:dyDescent="0.25">
      <c r="A123" s="791">
        <v>8</v>
      </c>
      <c r="B123" s="796" t="s">
        <v>38</v>
      </c>
      <c r="C123" s="797">
        <f t="shared" ref="C123:X123" si="48">C121*12%</f>
        <v>1529171.9999999998</v>
      </c>
      <c r="D123" s="797">
        <f t="shared" si="48"/>
        <v>791647.2</v>
      </c>
      <c r="E123" s="797">
        <f t="shared" si="48"/>
        <v>859615.19999999984</v>
      </c>
      <c r="F123" s="797">
        <f t="shared" si="48"/>
        <v>934192.79999999981</v>
      </c>
      <c r="G123" s="797">
        <f t="shared" si="48"/>
        <v>1320944.3999999997</v>
      </c>
      <c r="H123" s="797">
        <f t="shared" si="48"/>
        <v>930970.79999999981</v>
      </c>
      <c r="I123" s="797">
        <f t="shared" si="48"/>
        <v>1480172.4</v>
      </c>
      <c r="J123" s="797">
        <f t="shared" si="48"/>
        <v>1030820.3999999999</v>
      </c>
      <c r="K123" s="797">
        <f t="shared" si="48"/>
        <v>1029787.2</v>
      </c>
      <c r="L123" s="797">
        <f t="shared" si="48"/>
        <v>1362726</v>
      </c>
      <c r="M123" s="797">
        <f t="shared" si="48"/>
        <v>820198.79999999981</v>
      </c>
      <c r="N123" s="797">
        <f t="shared" si="48"/>
        <v>853248</v>
      </c>
      <c r="O123" s="797">
        <f t="shared" si="48"/>
        <v>853056</v>
      </c>
      <c r="P123" s="797">
        <f t="shared" si="48"/>
        <v>697920</v>
      </c>
      <c r="Q123" s="797">
        <f t="shared" si="48"/>
        <v>1522752</v>
      </c>
      <c r="R123" s="797">
        <f t="shared" si="48"/>
        <v>889344</v>
      </c>
      <c r="S123" s="797">
        <f t="shared" si="48"/>
        <v>973056</v>
      </c>
      <c r="T123" s="797">
        <f t="shared" si="48"/>
        <v>1063104</v>
      </c>
      <c r="U123" s="797">
        <f t="shared" si="48"/>
        <v>1575168.0000000002</v>
      </c>
      <c r="V123" s="797">
        <f t="shared" si="48"/>
        <v>104400</v>
      </c>
      <c r="W123" s="797">
        <f t="shared" si="48"/>
        <v>100224</v>
      </c>
      <c r="X123" s="797">
        <f t="shared" si="48"/>
        <v>89784</v>
      </c>
    </row>
    <row r="124" spans="1:24" x14ac:dyDescent="0.25">
      <c r="A124" s="791">
        <v>9</v>
      </c>
      <c r="B124" s="796" t="s">
        <v>39</v>
      </c>
      <c r="C124" s="797">
        <f>C121*6%</f>
        <v>764585.99999999988</v>
      </c>
      <c r="D124" s="797">
        <f t="shared" ref="D124:X124" si="49">D121*6%</f>
        <v>395823.6</v>
      </c>
      <c r="E124" s="797">
        <f t="shared" si="49"/>
        <v>429807.59999999992</v>
      </c>
      <c r="F124" s="797">
        <f t="shared" si="49"/>
        <v>467096.39999999991</v>
      </c>
      <c r="G124" s="797">
        <f t="shared" si="49"/>
        <v>660472.19999999984</v>
      </c>
      <c r="H124" s="797">
        <f t="shared" si="49"/>
        <v>465485.39999999991</v>
      </c>
      <c r="I124" s="797">
        <f t="shared" si="49"/>
        <v>740086.2</v>
      </c>
      <c r="J124" s="797">
        <f t="shared" si="49"/>
        <v>515410.19999999995</v>
      </c>
      <c r="K124" s="797">
        <f t="shared" si="49"/>
        <v>514893.6</v>
      </c>
      <c r="L124" s="797">
        <f t="shared" si="49"/>
        <v>681363</v>
      </c>
      <c r="M124" s="797">
        <f t="shared" si="49"/>
        <v>410099.39999999991</v>
      </c>
      <c r="N124" s="797">
        <f t="shared" si="49"/>
        <v>426624</v>
      </c>
      <c r="O124" s="797">
        <f t="shared" si="49"/>
        <v>426528</v>
      </c>
      <c r="P124" s="797">
        <f t="shared" si="49"/>
        <v>348960</v>
      </c>
      <c r="Q124" s="797">
        <f t="shared" si="49"/>
        <v>761376</v>
      </c>
      <c r="R124" s="797">
        <f t="shared" si="49"/>
        <v>444672</v>
      </c>
      <c r="S124" s="797">
        <f t="shared" si="49"/>
        <v>486528</v>
      </c>
      <c r="T124" s="797">
        <f t="shared" si="49"/>
        <v>531552</v>
      </c>
      <c r="U124" s="797">
        <f t="shared" si="49"/>
        <v>787584.00000000012</v>
      </c>
      <c r="V124" s="797">
        <f t="shared" si="49"/>
        <v>52200</v>
      </c>
      <c r="W124" s="797">
        <f t="shared" si="49"/>
        <v>50112</v>
      </c>
      <c r="X124" s="797">
        <f t="shared" si="49"/>
        <v>44892</v>
      </c>
    </row>
    <row r="125" spans="1:24" x14ac:dyDescent="0.25">
      <c r="A125" s="791">
        <v>10</v>
      </c>
      <c r="B125" s="796" t="s">
        <v>40</v>
      </c>
      <c r="C125" s="797">
        <f>C121*2.5%</f>
        <v>318577.5</v>
      </c>
      <c r="D125" s="797">
        <f t="shared" ref="D125:X125" si="50">D121*2.5%</f>
        <v>164926.5</v>
      </c>
      <c r="E125" s="797">
        <f t="shared" si="50"/>
        <v>179086.5</v>
      </c>
      <c r="F125" s="797">
        <f t="shared" si="50"/>
        <v>194623.5</v>
      </c>
      <c r="G125" s="797">
        <f t="shared" si="50"/>
        <v>275196.74999999994</v>
      </c>
      <c r="H125" s="797">
        <f t="shared" si="50"/>
        <v>193952.25</v>
      </c>
      <c r="I125" s="797">
        <f t="shared" si="50"/>
        <v>308369.25</v>
      </c>
      <c r="J125" s="797">
        <f t="shared" si="50"/>
        <v>214754.25</v>
      </c>
      <c r="K125" s="797">
        <f t="shared" si="50"/>
        <v>214539</v>
      </c>
      <c r="L125" s="797">
        <f t="shared" si="50"/>
        <v>283901.25</v>
      </c>
      <c r="M125" s="797">
        <f t="shared" si="50"/>
        <v>170874.75</v>
      </c>
      <c r="N125" s="797">
        <f t="shared" si="50"/>
        <v>177760</v>
      </c>
      <c r="O125" s="797">
        <f t="shared" si="50"/>
        <v>177720</v>
      </c>
      <c r="P125" s="797">
        <f t="shared" si="50"/>
        <v>145400</v>
      </c>
      <c r="Q125" s="797">
        <f t="shared" si="50"/>
        <v>317240</v>
      </c>
      <c r="R125" s="797">
        <f t="shared" si="50"/>
        <v>185280</v>
      </c>
      <c r="S125" s="797">
        <f t="shared" si="50"/>
        <v>202720</v>
      </c>
      <c r="T125" s="797">
        <f t="shared" si="50"/>
        <v>221480</v>
      </c>
      <c r="U125" s="797">
        <f t="shared" si="50"/>
        <v>328160.00000000006</v>
      </c>
      <c r="V125" s="797">
        <f t="shared" si="50"/>
        <v>21750</v>
      </c>
      <c r="W125" s="797">
        <f t="shared" si="50"/>
        <v>20880</v>
      </c>
      <c r="X125" s="797">
        <f t="shared" si="50"/>
        <v>18705</v>
      </c>
    </row>
    <row r="126" spans="1:24" x14ac:dyDescent="0.25">
      <c r="A126" s="791"/>
      <c r="B126" s="796"/>
      <c r="C126" s="797"/>
      <c r="D126" s="797"/>
      <c r="E126" s="797"/>
      <c r="F126" s="797"/>
      <c r="G126" s="797"/>
      <c r="H126" s="797"/>
      <c r="I126" s="797"/>
      <c r="J126" s="797"/>
      <c r="K126" s="797"/>
      <c r="L126" s="797"/>
      <c r="M126" s="797"/>
      <c r="N126" s="797"/>
      <c r="O126" s="797"/>
      <c r="P126" s="797"/>
      <c r="Q126" s="797"/>
      <c r="R126" s="797"/>
      <c r="S126" s="797"/>
      <c r="T126" s="797"/>
      <c r="U126" s="797"/>
      <c r="V126" s="797"/>
      <c r="W126" s="797"/>
      <c r="X126" s="798"/>
    </row>
    <row r="127" spans="1:24" x14ac:dyDescent="0.25">
      <c r="A127" s="791"/>
      <c r="B127" s="792" t="s">
        <v>41</v>
      </c>
      <c r="C127" s="799">
        <f t="shared" ref="C127:X127" si="51">C121+C123+C124+C125</f>
        <v>15355435.499999998</v>
      </c>
      <c r="D127" s="799">
        <f t="shared" si="51"/>
        <v>7949457.2999999998</v>
      </c>
      <c r="E127" s="799">
        <f t="shared" si="51"/>
        <v>8631969.2999999989</v>
      </c>
      <c r="F127" s="799">
        <f t="shared" si="51"/>
        <v>9380852.6999999993</v>
      </c>
      <c r="G127" s="799">
        <f t="shared" si="51"/>
        <v>13264483.349999998</v>
      </c>
      <c r="H127" s="799">
        <f t="shared" si="51"/>
        <v>9348498.4499999993</v>
      </c>
      <c r="I127" s="799">
        <f t="shared" si="51"/>
        <v>14863397.85</v>
      </c>
      <c r="J127" s="799">
        <f t="shared" si="51"/>
        <v>10351154.85</v>
      </c>
      <c r="K127" s="799">
        <f t="shared" si="51"/>
        <v>10340779.799999999</v>
      </c>
      <c r="L127" s="799">
        <f t="shared" si="51"/>
        <v>13684040.25</v>
      </c>
      <c r="M127" s="799">
        <f t="shared" si="51"/>
        <v>8236162.9499999993</v>
      </c>
      <c r="N127" s="799">
        <f t="shared" si="51"/>
        <v>8568032</v>
      </c>
      <c r="O127" s="799">
        <f t="shared" si="51"/>
        <v>8566104</v>
      </c>
      <c r="P127" s="799">
        <f t="shared" si="51"/>
        <v>7008280</v>
      </c>
      <c r="Q127" s="799">
        <f t="shared" si="51"/>
        <v>15290968</v>
      </c>
      <c r="R127" s="799">
        <f t="shared" si="51"/>
        <v>8930496</v>
      </c>
      <c r="S127" s="799">
        <f t="shared" si="51"/>
        <v>9771104</v>
      </c>
      <c r="T127" s="799">
        <f t="shared" si="51"/>
        <v>10675336</v>
      </c>
      <c r="U127" s="799">
        <f t="shared" si="51"/>
        <v>15817312.000000002</v>
      </c>
      <c r="V127" s="799">
        <f t="shared" si="51"/>
        <v>1048350</v>
      </c>
      <c r="W127" s="799">
        <f t="shared" si="51"/>
        <v>1006416</v>
      </c>
      <c r="X127" s="799">
        <f t="shared" si="51"/>
        <v>901581</v>
      </c>
    </row>
    <row r="128" spans="1:24" x14ac:dyDescent="0.25">
      <c r="A128" s="791">
        <v>11</v>
      </c>
      <c r="B128" s="796" t="s">
        <v>33</v>
      </c>
      <c r="C128" s="797">
        <f t="shared" ref="C128:X128" si="52">C127/C115</f>
        <v>140927.27147577089</v>
      </c>
      <c r="D128" s="797">
        <f t="shared" si="52"/>
        <v>140997.82369634623</v>
      </c>
      <c r="E128" s="797">
        <f t="shared" si="52"/>
        <v>141530.895228726</v>
      </c>
      <c r="F128" s="797">
        <f t="shared" si="52"/>
        <v>142285.04019414529</v>
      </c>
      <c r="G128" s="797">
        <f t="shared" si="52"/>
        <v>138460.16022964509</v>
      </c>
      <c r="H128" s="797">
        <f t="shared" si="52"/>
        <v>143337.90938362465</v>
      </c>
      <c r="I128" s="797">
        <f t="shared" si="52"/>
        <v>140154.62376237623</v>
      </c>
      <c r="J128" s="797">
        <f t="shared" si="52"/>
        <v>143786.00986248089</v>
      </c>
      <c r="K128" s="797">
        <f t="shared" si="52"/>
        <v>143781.69911012234</v>
      </c>
      <c r="L128" s="797">
        <f t="shared" si="52"/>
        <v>138488.41463414635</v>
      </c>
      <c r="M128" s="797">
        <f t="shared" si="52"/>
        <v>142716.39143995839</v>
      </c>
      <c r="N128" s="797">
        <f t="shared" si="52"/>
        <v>192800</v>
      </c>
      <c r="O128" s="797">
        <f t="shared" si="52"/>
        <v>192800</v>
      </c>
      <c r="P128" s="797">
        <f t="shared" si="52"/>
        <v>192800</v>
      </c>
      <c r="Q128" s="797">
        <f t="shared" si="52"/>
        <v>192800</v>
      </c>
      <c r="R128" s="797">
        <f t="shared" si="52"/>
        <v>192800</v>
      </c>
      <c r="S128" s="797">
        <f t="shared" si="52"/>
        <v>192800</v>
      </c>
      <c r="T128" s="797">
        <f t="shared" si="52"/>
        <v>192800</v>
      </c>
      <c r="U128" s="797">
        <f t="shared" si="52"/>
        <v>192800</v>
      </c>
      <c r="V128" s="797">
        <f t="shared" si="52"/>
        <v>83868</v>
      </c>
      <c r="W128" s="797">
        <f t="shared" si="52"/>
        <v>83868</v>
      </c>
      <c r="X128" s="797">
        <f t="shared" si="52"/>
        <v>83868</v>
      </c>
    </row>
    <row r="129" spans="1:24" x14ac:dyDescent="0.25">
      <c r="A129" s="791">
        <v>12</v>
      </c>
      <c r="B129" s="796" t="s">
        <v>42</v>
      </c>
      <c r="C129" s="800">
        <v>0.25</v>
      </c>
      <c r="D129" s="800">
        <v>0.25</v>
      </c>
      <c r="E129" s="800">
        <v>0.25</v>
      </c>
      <c r="F129" s="800">
        <v>0.25</v>
      </c>
      <c r="G129" s="800">
        <v>0.25</v>
      </c>
      <c r="H129" s="800">
        <v>0.25</v>
      </c>
      <c r="I129" s="800">
        <v>0.25</v>
      </c>
      <c r="J129" s="800">
        <v>0.25</v>
      </c>
      <c r="K129" s="800">
        <v>0.25</v>
      </c>
      <c r="L129" s="800">
        <v>0.25</v>
      </c>
      <c r="M129" s="800">
        <v>0.25</v>
      </c>
      <c r="N129" s="800">
        <v>0.4</v>
      </c>
      <c r="O129" s="800">
        <v>0.4</v>
      </c>
      <c r="P129" s="800">
        <v>0.4</v>
      </c>
      <c r="Q129" s="800">
        <v>0.4</v>
      </c>
      <c r="R129" s="800">
        <v>0.4</v>
      </c>
      <c r="S129" s="800">
        <v>0.4</v>
      </c>
      <c r="T129" s="800">
        <v>0.4</v>
      </c>
      <c r="U129" s="800">
        <v>0.4</v>
      </c>
      <c r="V129" s="800">
        <v>0.25</v>
      </c>
      <c r="W129" s="800">
        <v>0.25</v>
      </c>
      <c r="X129" s="800">
        <v>0.25</v>
      </c>
    </row>
    <row r="130" spans="1:24" x14ac:dyDescent="0.25">
      <c r="A130" s="791">
        <v>13</v>
      </c>
      <c r="B130" s="796" t="s">
        <v>43</v>
      </c>
      <c r="C130" s="797">
        <f t="shared" ref="C130:X130" si="53">C127*C129</f>
        <v>3838858.8749999995</v>
      </c>
      <c r="D130" s="797">
        <f t="shared" si="53"/>
        <v>1987364.325</v>
      </c>
      <c r="E130" s="797">
        <f t="shared" si="53"/>
        <v>2157992.3249999997</v>
      </c>
      <c r="F130" s="797">
        <f t="shared" si="53"/>
        <v>2345213.1749999998</v>
      </c>
      <c r="G130" s="797">
        <f t="shared" si="53"/>
        <v>3316120.8374999994</v>
      </c>
      <c r="H130" s="797">
        <f t="shared" si="53"/>
        <v>2337124.6124999998</v>
      </c>
      <c r="I130" s="797">
        <f t="shared" si="53"/>
        <v>3715849.4624999999</v>
      </c>
      <c r="J130" s="797">
        <f t="shared" si="53"/>
        <v>2587788.7124999999</v>
      </c>
      <c r="K130" s="797">
        <f t="shared" si="53"/>
        <v>2585194.9499999997</v>
      </c>
      <c r="L130" s="797">
        <f t="shared" si="53"/>
        <v>3421010.0625</v>
      </c>
      <c r="M130" s="797">
        <f t="shared" si="53"/>
        <v>2059040.7374999998</v>
      </c>
      <c r="N130" s="797">
        <f t="shared" si="53"/>
        <v>3427212.8000000003</v>
      </c>
      <c r="O130" s="797">
        <f t="shared" si="53"/>
        <v>3426441.6</v>
      </c>
      <c r="P130" s="797">
        <f t="shared" si="53"/>
        <v>2803312</v>
      </c>
      <c r="Q130" s="797">
        <f t="shared" si="53"/>
        <v>6116387.2000000002</v>
      </c>
      <c r="R130" s="797">
        <f t="shared" si="53"/>
        <v>3572198.4000000004</v>
      </c>
      <c r="S130" s="797">
        <f t="shared" si="53"/>
        <v>3908441.6</v>
      </c>
      <c r="T130" s="797">
        <f t="shared" si="53"/>
        <v>4270134.4000000004</v>
      </c>
      <c r="U130" s="797">
        <f t="shared" si="53"/>
        <v>6326924.8000000007</v>
      </c>
      <c r="V130" s="797">
        <f t="shared" si="53"/>
        <v>262087.5</v>
      </c>
      <c r="W130" s="797">
        <f t="shared" si="53"/>
        <v>251604</v>
      </c>
      <c r="X130" s="797">
        <f t="shared" si="53"/>
        <v>225395.25</v>
      </c>
    </row>
    <row r="131" spans="1:24" x14ac:dyDescent="0.25">
      <c r="A131" s="791">
        <v>14</v>
      </c>
      <c r="B131" s="796" t="s">
        <v>44</v>
      </c>
      <c r="C131" s="797">
        <v>50000</v>
      </c>
      <c r="D131" s="797">
        <v>50000</v>
      </c>
      <c r="E131" s="797">
        <v>50000</v>
      </c>
      <c r="F131" s="797">
        <v>50000</v>
      </c>
      <c r="G131" s="797">
        <v>50000</v>
      </c>
      <c r="H131" s="797">
        <v>50000</v>
      </c>
      <c r="I131" s="797">
        <v>50000</v>
      </c>
      <c r="J131" s="797">
        <v>50000</v>
      </c>
      <c r="K131" s="797">
        <v>50000</v>
      </c>
      <c r="L131" s="797">
        <v>50001</v>
      </c>
      <c r="M131" s="797">
        <v>50000</v>
      </c>
      <c r="N131" s="797">
        <f>'[16]Project Data'!$E$113</f>
        <v>100000</v>
      </c>
      <c r="O131" s="797">
        <f>'[16]Project Data'!$E$113</f>
        <v>100000</v>
      </c>
      <c r="P131" s="797">
        <f>'[16]Project Data'!$E$113</f>
        <v>100000</v>
      </c>
      <c r="Q131" s="797">
        <f>'[16]Project Data'!$E$113</f>
        <v>100000</v>
      </c>
      <c r="R131" s="797">
        <f>'[16]Project Data'!$E$113</f>
        <v>100000</v>
      </c>
      <c r="S131" s="797">
        <f>'[16]Project Data'!$E$113</f>
        <v>100000</v>
      </c>
      <c r="T131" s="797">
        <f>'[16]Project Data'!$E$113</f>
        <v>100000</v>
      </c>
      <c r="U131" s="797">
        <f>'[16]Project Data'!$E$113</f>
        <v>100000</v>
      </c>
      <c r="V131" s="797">
        <v>30000</v>
      </c>
      <c r="W131" s="797">
        <v>30000</v>
      </c>
      <c r="X131" s="797">
        <v>30000</v>
      </c>
    </row>
    <row r="132" spans="1:24" x14ac:dyDescent="0.25">
      <c r="A132" s="791">
        <v>15</v>
      </c>
      <c r="B132" s="796" t="s">
        <v>45</v>
      </c>
      <c r="C132" s="797">
        <f t="shared" ref="C132:X132" si="54">C130-C131</f>
        <v>3788858.8749999995</v>
      </c>
      <c r="D132" s="797">
        <f t="shared" si="54"/>
        <v>1937364.325</v>
      </c>
      <c r="E132" s="797">
        <f t="shared" si="54"/>
        <v>2107992.3249999997</v>
      </c>
      <c r="F132" s="797">
        <f t="shared" si="54"/>
        <v>2295213.1749999998</v>
      </c>
      <c r="G132" s="797">
        <f t="shared" si="54"/>
        <v>3266120.8374999994</v>
      </c>
      <c r="H132" s="797">
        <f t="shared" si="54"/>
        <v>2287124.6124999998</v>
      </c>
      <c r="I132" s="797">
        <f t="shared" si="54"/>
        <v>3665849.4624999999</v>
      </c>
      <c r="J132" s="797">
        <f t="shared" si="54"/>
        <v>2537788.7124999999</v>
      </c>
      <c r="K132" s="797">
        <f t="shared" si="54"/>
        <v>2535194.9499999997</v>
      </c>
      <c r="L132" s="797">
        <f t="shared" si="54"/>
        <v>3371009.0625</v>
      </c>
      <c r="M132" s="797">
        <f t="shared" si="54"/>
        <v>2009040.7374999998</v>
      </c>
      <c r="N132" s="797">
        <f t="shared" si="54"/>
        <v>3327212.8000000003</v>
      </c>
      <c r="O132" s="797">
        <f t="shared" si="54"/>
        <v>3326441.6</v>
      </c>
      <c r="P132" s="797">
        <f t="shared" si="54"/>
        <v>2703312</v>
      </c>
      <c r="Q132" s="797">
        <f t="shared" si="54"/>
        <v>6016387.2000000002</v>
      </c>
      <c r="R132" s="797">
        <f t="shared" si="54"/>
        <v>3472198.4000000004</v>
      </c>
      <c r="S132" s="797">
        <f t="shared" si="54"/>
        <v>3808441.6</v>
      </c>
      <c r="T132" s="797">
        <f t="shared" si="54"/>
        <v>4170134.4000000004</v>
      </c>
      <c r="U132" s="797">
        <f t="shared" si="54"/>
        <v>6226924.8000000007</v>
      </c>
      <c r="V132" s="797">
        <f t="shared" si="54"/>
        <v>232087.5</v>
      </c>
      <c r="W132" s="797">
        <f t="shared" si="54"/>
        <v>221604</v>
      </c>
      <c r="X132" s="797">
        <f t="shared" si="54"/>
        <v>195395.25</v>
      </c>
    </row>
    <row r="133" spans="1:24" hidden="1" x14ac:dyDescent="0.25">
      <c r="A133" s="791">
        <v>18</v>
      </c>
      <c r="B133" s="796" t="s">
        <v>46</v>
      </c>
      <c r="C133" s="797">
        <f>'[16]Project Data'!$E$115</f>
        <v>34</v>
      </c>
      <c r="D133" s="797"/>
      <c r="E133" s="797"/>
      <c r="F133" s="797"/>
      <c r="G133" s="797"/>
      <c r="H133" s="797"/>
      <c r="I133" s="797"/>
      <c r="J133" s="797"/>
      <c r="K133" s="797"/>
      <c r="L133" s="797"/>
      <c r="M133" s="797"/>
      <c r="N133" s="797"/>
      <c r="O133" s="797"/>
      <c r="P133" s="797"/>
      <c r="Q133" s="797"/>
      <c r="R133" s="797"/>
      <c r="S133" s="797"/>
      <c r="T133" s="797"/>
      <c r="U133" s="797"/>
      <c r="V133" s="797"/>
      <c r="W133" s="797"/>
      <c r="X133" s="798">
        <f>'[16]Project Data'!$E$115</f>
        <v>34</v>
      </c>
    </row>
    <row r="134" spans="1:24" hidden="1" x14ac:dyDescent="0.25">
      <c r="A134" s="791">
        <v>19</v>
      </c>
      <c r="B134" s="796" t="s">
        <v>47</v>
      </c>
      <c r="C134" s="797">
        <f>C132/C133</f>
        <v>111437.0257352941</v>
      </c>
      <c r="D134" s="797"/>
      <c r="E134" s="797"/>
      <c r="F134" s="797"/>
      <c r="G134" s="797"/>
      <c r="H134" s="797"/>
      <c r="I134" s="797"/>
      <c r="J134" s="797"/>
      <c r="K134" s="797"/>
      <c r="L134" s="797"/>
      <c r="M134" s="797"/>
      <c r="N134" s="797"/>
      <c r="O134" s="797"/>
      <c r="P134" s="797"/>
      <c r="Q134" s="797"/>
      <c r="R134" s="797"/>
      <c r="S134" s="797"/>
      <c r="T134" s="797"/>
      <c r="U134" s="797"/>
      <c r="V134" s="797"/>
      <c r="W134" s="797"/>
      <c r="X134" s="798">
        <f>X132/X133</f>
        <v>5746.9191176470586</v>
      </c>
    </row>
    <row r="135" spans="1:24" hidden="1" x14ac:dyDescent="0.25">
      <c r="A135" s="791"/>
      <c r="B135" s="796"/>
      <c r="C135" s="797"/>
      <c r="D135" s="797"/>
      <c r="E135" s="797"/>
      <c r="F135" s="797"/>
      <c r="G135" s="797"/>
      <c r="H135" s="797"/>
      <c r="I135" s="797"/>
      <c r="J135" s="797"/>
      <c r="K135" s="797"/>
      <c r="L135" s="797"/>
      <c r="M135" s="797"/>
      <c r="N135" s="797"/>
      <c r="O135" s="797"/>
      <c r="P135" s="797"/>
      <c r="Q135" s="797"/>
      <c r="R135" s="797"/>
      <c r="S135" s="797"/>
      <c r="T135" s="797"/>
      <c r="U135" s="797"/>
      <c r="V135" s="797"/>
      <c r="W135" s="797"/>
      <c r="X135" s="798"/>
    </row>
    <row r="136" spans="1:24" hidden="1" x14ac:dyDescent="0.25">
      <c r="A136" s="791">
        <v>20</v>
      </c>
      <c r="B136" s="796" t="s">
        <v>48</v>
      </c>
      <c r="C136" s="797">
        <f>C127-C130</f>
        <v>11516576.624999998</v>
      </c>
      <c r="D136" s="797"/>
      <c r="E136" s="797"/>
      <c r="F136" s="797"/>
      <c r="G136" s="797"/>
      <c r="H136" s="797"/>
      <c r="I136" s="797"/>
      <c r="J136" s="797"/>
      <c r="K136" s="797"/>
      <c r="L136" s="797"/>
      <c r="M136" s="797"/>
      <c r="N136" s="797"/>
      <c r="O136" s="797"/>
      <c r="P136" s="797"/>
      <c r="Q136" s="797"/>
      <c r="R136" s="797"/>
      <c r="S136" s="797"/>
      <c r="T136" s="797"/>
      <c r="U136" s="797"/>
      <c r="V136" s="797"/>
      <c r="W136" s="797"/>
      <c r="X136" s="798">
        <f>X127-X130</f>
        <v>676185.75</v>
      </c>
    </row>
    <row r="137" spans="1:24" hidden="1" x14ac:dyDescent="0.25">
      <c r="A137" s="791">
        <v>21</v>
      </c>
      <c r="B137" s="796" t="s">
        <v>49</v>
      </c>
      <c r="C137" s="797">
        <f>C136*$AA$7</f>
        <v>0</v>
      </c>
      <c r="D137" s="797"/>
      <c r="E137" s="797"/>
      <c r="F137" s="797"/>
      <c r="G137" s="797"/>
      <c r="H137" s="797"/>
      <c r="I137" s="797"/>
      <c r="J137" s="797"/>
      <c r="K137" s="797"/>
      <c r="L137" s="797"/>
      <c r="M137" s="797"/>
      <c r="N137" s="797"/>
      <c r="O137" s="797"/>
      <c r="P137" s="797"/>
      <c r="Q137" s="797"/>
      <c r="R137" s="797"/>
      <c r="S137" s="797"/>
      <c r="T137" s="797"/>
      <c r="U137" s="797"/>
      <c r="V137" s="797"/>
      <c r="W137" s="797"/>
      <c r="X137" s="798">
        <f>X136*$AA$7</f>
        <v>0</v>
      </c>
    </row>
    <row r="138" spans="1:24" hidden="1" x14ac:dyDescent="0.25">
      <c r="A138" s="791">
        <v>22</v>
      </c>
      <c r="B138" s="796" t="s">
        <v>50</v>
      </c>
      <c r="C138" s="797">
        <f>C136*$AA$9</f>
        <v>0</v>
      </c>
      <c r="D138" s="797"/>
      <c r="E138" s="797"/>
      <c r="F138" s="797"/>
      <c r="G138" s="797"/>
      <c r="H138" s="797"/>
      <c r="I138" s="797"/>
      <c r="J138" s="797"/>
      <c r="K138" s="797"/>
      <c r="L138" s="797"/>
      <c r="M138" s="797"/>
      <c r="N138" s="797"/>
      <c r="O138" s="797"/>
      <c r="P138" s="797"/>
      <c r="Q138" s="797"/>
      <c r="R138" s="797"/>
      <c r="S138" s="797"/>
      <c r="T138" s="797"/>
      <c r="U138" s="797"/>
      <c r="V138" s="797"/>
      <c r="W138" s="797"/>
      <c r="X138" s="798">
        <f>X136*$AA$9</f>
        <v>0</v>
      </c>
    </row>
    <row r="139" spans="1:24" hidden="1" x14ac:dyDescent="0.25">
      <c r="A139" s="791">
        <v>23</v>
      </c>
      <c r="B139" s="796" t="s">
        <v>51</v>
      </c>
      <c r="C139" s="801">
        <f>C136*$AA$10</f>
        <v>0</v>
      </c>
      <c r="D139" s="801"/>
      <c r="E139" s="801"/>
      <c r="F139" s="801"/>
      <c r="G139" s="801"/>
      <c r="H139" s="801"/>
      <c r="I139" s="801"/>
      <c r="J139" s="801"/>
      <c r="K139" s="801"/>
      <c r="L139" s="801"/>
      <c r="M139" s="801"/>
      <c r="N139" s="801"/>
      <c r="O139" s="801"/>
      <c r="P139" s="801"/>
      <c r="Q139" s="801"/>
      <c r="R139" s="801"/>
      <c r="S139" s="801"/>
      <c r="T139" s="801"/>
      <c r="U139" s="801"/>
      <c r="V139" s="801"/>
      <c r="W139" s="801"/>
      <c r="X139" s="802">
        <f>X136*$AA$10</f>
        <v>0</v>
      </c>
    </row>
    <row r="140" spans="1:24" hidden="1" x14ac:dyDescent="0.25">
      <c r="A140" s="803">
        <f>A139+1</f>
        <v>24</v>
      </c>
      <c r="B140" s="804" t="s">
        <v>52</v>
      </c>
      <c r="C140" s="804" t="e">
        <f>'[17]Project Data'!E229*'[17]Project Data'!E223</f>
        <v>#REF!</v>
      </c>
      <c r="D140" s="804"/>
      <c r="E140" s="804"/>
      <c r="F140" s="804"/>
      <c r="G140" s="804"/>
      <c r="H140" s="804"/>
      <c r="I140" s="804"/>
      <c r="J140" s="804"/>
      <c r="K140" s="804"/>
      <c r="L140" s="804"/>
      <c r="M140" s="804"/>
      <c r="N140" s="804"/>
      <c r="O140" s="804"/>
      <c r="P140" s="804"/>
      <c r="Q140" s="804"/>
      <c r="R140" s="804"/>
      <c r="S140" s="804"/>
      <c r="T140" s="804"/>
      <c r="U140" s="804"/>
      <c r="V140" s="804"/>
      <c r="W140" s="804"/>
      <c r="X140" s="805"/>
    </row>
    <row r="141" spans="1:24" hidden="1" x14ac:dyDescent="0.25">
      <c r="A141" s="803">
        <f>A140+1</f>
        <v>25</v>
      </c>
      <c r="B141" s="804" t="s">
        <v>53</v>
      </c>
      <c r="C141" s="804" t="e">
        <f>C135+C139+C140</f>
        <v>#REF!</v>
      </c>
      <c r="D141" s="804"/>
      <c r="E141" s="804"/>
      <c r="F141" s="804"/>
      <c r="G141" s="804"/>
      <c r="H141" s="804"/>
      <c r="I141" s="804"/>
      <c r="J141" s="804"/>
      <c r="K141" s="804"/>
      <c r="L141" s="804"/>
      <c r="M141" s="804"/>
      <c r="N141" s="804"/>
      <c r="O141" s="804"/>
      <c r="P141" s="804"/>
      <c r="Q141" s="804"/>
      <c r="R141" s="804"/>
      <c r="S141" s="804"/>
      <c r="T141" s="804"/>
      <c r="U141" s="804"/>
      <c r="V141" s="804"/>
      <c r="W141" s="804"/>
      <c r="X141" s="805"/>
    </row>
    <row r="142" spans="1:24" hidden="1" x14ac:dyDescent="0.25">
      <c r="A142" s="803"/>
      <c r="B142" s="804"/>
      <c r="C142" s="804"/>
      <c r="D142" s="804"/>
      <c r="E142" s="804"/>
      <c r="F142" s="804"/>
      <c r="G142" s="804"/>
      <c r="H142" s="804"/>
      <c r="I142" s="804"/>
      <c r="J142" s="804"/>
      <c r="K142" s="804"/>
      <c r="L142" s="804"/>
      <c r="M142" s="804"/>
      <c r="N142" s="804"/>
      <c r="O142" s="804"/>
      <c r="P142" s="804"/>
      <c r="Q142" s="804"/>
      <c r="R142" s="804"/>
      <c r="S142" s="804"/>
      <c r="T142" s="804"/>
      <c r="U142" s="804"/>
      <c r="V142" s="804"/>
      <c r="W142" s="804"/>
      <c r="X142" s="805"/>
    </row>
    <row r="143" spans="1:24" hidden="1" x14ac:dyDescent="0.25">
      <c r="A143" s="803" t="s">
        <v>54</v>
      </c>
      <c r="B143" s="804"/>
      <c r="C143" s="806"/>
      <c r="D143" s="806"/>
      <c r="E143" s="806"/>
      <c r="F143" s="806"/>
      <c r="G143" s="806"/>
      <c r="H143" s="806"/>
      <c r="I143" s="806"/>
      <c r="J143" s="806"/>
      <c r="K143" s="806"/>
      <c r="L143" s="806"/>
      <c r="M143" s="806"/>
      <c r="N143" s="804"/>
      <c r="O143" s="804"/>
      <c r="P143" s="804"/>
      <c r="Q143" s="804"/>
      <c r="R143" s="804"/>
      <c r="S143" s="804"/>
      <c r="T143" s="804"/>
      <c r="U143" s="804"/>
      <c r="V143" s="804"/>
      <c r="W143" s="804"/>
      <c r="X143" s="805"/>
    </row>
    <row r="144" spans="1:24" hidden="1" x14ac:dyDescent="0.25">
      <c r="A144" s="803">
        <v>1</v>
      </c>
      <c r="B144" s="804" t="s">
        <v>55</v>
      </c>
      <c r="C144" s="804" t="e">
        <f>'[17]Project Data'!E191</f>
        <v>#REF!</v>
      </c>
      <c r="D144" s="804"/>
      <c r="E144" s="804"/>
      <c r="F144" s="804"/>
      <c r="G144" s="804"/>
      <c r="H144" s="804"/>
      <c r="I144" s="804"/>
      <c r="J144" s="804"/>
      <c r="K144" s="804"/>
      <c r="L144" s="804"/>
      <c r="M144" s="804"/>
      <c r="N144" s="804"/>
      <c r="O144" s="804"/>
      <c r="P144" s="804"/>
      <c r="Q144" s="804"/>
      <c r="R144" s="804"/>
      <c r="S144" s="804"/>
      <c r="T144" s="804"/>
      <c r="U144" s="804"/>
      <c r="V144" s="804"/>
      <c r="W144" s="804"/>
      <c r="X144" s="805"/>
    </row>
    <row r="145" spans="1:24" hidden="1" x14ac:dyDescent="0.25">
      <c r="A145" s="803">
        <f>A144+1</f>
        <v>2</v>
      </c>
      <c r="B145" s="804" t="s">
        <v>56</v>
      </c>
      <c r="C145" s="804" t="e">
        <f>'[17]Project Data'!E190</f>
        <v>#REF!</v>
      </c>
      <c r="D145" s="804"/>
      <c r="E145" s="804"/>
      <c r="F145" s="804"/>
      <c r="G145" s="804"/>
      <c r="H145" s="804"/>
      <c r="I145" s="804"/>
      <c r="J145" s="804"/>
      <c r="K145" s="804"/>
      <c r="L145" s="804"/>
      <c r="M145" s="804"/>
      <c r="N145" s="804"/>
      <c r="O145" s="804"/>
      <c r="P145" s="804"/>
      <c r="Q145" s="804"/>
      <c r="R145" s="804"/>
      <c r="S145" s="804"/>
      <c r="T145" s="804"/>
      <c r="U145" s="804"/>
      <c r="V145" s="804"/>
      <c r="W145" s="804"/>
      <c r="X145" s="805"/>
    </row>
    <row r="146" spans="1:24" hidden="1" x14ac:dyDescent="0.25">
      <c r="A146" s="803">
        <f t="shared" ref="A146:A152" si="55">A145+1</f>
        <v>3</v>
      </c>
      <c r="B146" s="804" t="s">
        <v>57</v>
      </c>
      <c r="C146" s="804" t="e">
        <f>C144*C147</f>
        <v>#REF!</v>
      </c>
      <c r="D146" s="804"/>
      <c r="E146" s="804"/>
      <c r="F146" s="804"/>
      <c r="G146" s="804"/>
      <c r="H146" s="804"/>
      <c r="I146" s="804"/>
      <c r="J146" s="804"/>
      <c r="K146" s="804"/>
      <c r="L146" s="804"/>
      <c r="M146" s="804"/>
      <c r="N146" s="804"/>
      <c r="O146" s="804"/>
      <c r="P146" s="804"/>
      <c r="Q146" s="804"/>
      <c r="R146" s="804"/>
      <c r="S146" s="804"/>
      <c r="T146" s="804"/>
      <c r="U146" s="804"/>
      <c r="V146" s="804"/>
      <c r="W146" s="804"/>
      <c r="X146" s="805"/>
    </row>
    <row r="147" spans="1:24" hidden="1" x14ac:dyDescent="0.25">
      <c r="A147" s="803">
        <f t="shared" si="55"/>
        <v>4</v>
      </c>
      <c r="B147" s="804" t="s">
        <v>58</v>
      </c>
      <c r="C147" s="804" t="e">
        <f>'[17]Project Data'!E194</f>
        <v>#REF!</v>
      </c>
      <c r="D147" s="804"/>
      <c r="E147" s="804"/>
      <c r="F147" s="804"/>
      <c r="G147" s="804"/>
      <c r="H147" s="804"/>
      <c r="I147" s="804"/>
      <c r="J147" s="804"/>
      <c r="K147" s="804"/>
      <c r="L147" s="804"/>
      <c r="M147" s="804"/>
      <c r="N147" s="804"/>
      <c r="O147" s="804"/>
      <c r="P147" s="804"/>
      <c r="Q147" s="804"/>
      <c r="R147" s="804"/>
      <c r="S147" s="804"/>
      <c r="T147" s="804"/>
      <c r="U147" s="804"/>
      <c r="V147" s="804"/>
      <c r="W147" s="804"/>
      <c r="X147" s="805"/>
    </row>
    <row r="148" spans="1:24" hidden="1" x14ac:dyDescent="0.25">
      <c r="A148" s="803">
        <f t="shared" si="55"/>
        <v>5</v>
      </c>
      <c r="B148" s="804" t="s">
        <v>59</v>
      </c>
      <c r="C148" s="804" t="e">
        <f>'[17]Project Data'!E226</f>
        <v>#REF!</v>
      </c>
      <c r="D148" s="804"/>
      <c r="E148" s="804"/>
      <c r="F148" s="804"/>
      <c r="G148" s="804"/>
      <c r="H148" s="804"/>
      <c r="I148" s="804"/>
      <c r="J148" s="804"/>
      <c r="K148" s="804"/>
      <c r="L148" s="804"/>
      <c r="M148" s="804"/>
      <c r="N148" s="804"/>
      <c r="O148" s="804"/>
      <c r="P148" s="804"/>
      <c r="Q148" s="804"/>
      <c r="R148" s="804"/>
      <c r="S148" s="804"/>
      <c r="T148" s="804"/>
      <c r="U148" s="804"/>
      <c r="V148" s="804"/>
      <c r="W148" s="804"/>
      <c r="X148" s="805"/>
    </row>
    <row r="149" spans="1:24" hidden="1" x14ac:dyDescent="0.25">
      <c r="A149" s="803">
        <f t="shared" si="55"/>
        <v>6</v>
      </c>
      <c r="B149" s="804" t="s">
        <v>60</v>
      </c>
      <c r="C149" s="804" t="e">
        <f>C148/C145</f>
        <v>#REF!</v>
      </c>
      <c r="D149" s="804"/>
      <c r="E149" s="804"/>
      <c r="F149" s="804"/>
      <c r="G149" s="804"/>
      <c r="H149" s="804"/>
      <c r="I149" s="804"/>
      <c r="J149" s="804"/>
      <c r="K149" s="804"/>
      <c r="L149" s="804"/>
      <c r="M149" s="804"/>
      <c r="N149" s="804"/>
      <c r="O149" s="804"/>
      <c r="P149" s="804"/>
      <c r="Q149" s="804"/>
      <c r="R149" s="804"/>
      <c r="S149" s="804"/>
      <c r="T149" s="804"/>
      <c r="U149" s="804"/>
      <c r="V149" s="804"/>
      <c r="W149" s="804"/>
      <c r="X149" s="805"/>
    </row>
    <row r="150" spans="1:24" hidden="1" x14ac:dyDescent="0.25">
      <c r="A150" s="803">
        <f t="shared" si="55"/>
        <v>7</v>
      </c>
      <c r="B150" s="804" t="s">
        <v>61</v>
      </c>
      <c r="C150" s="804" t="e">
        <f>C148*2</f>
        <v>#REF!</v>
      </c>
      <c r="D150" s="804"/>
      <c r="E150" s="804"/>
      <c r="F150" s="804"/>
      <c r="G150" s="804"/>
      <c r="H150" s="804"/>
      <c r="I150" s="804"/>
      <c r="J150" s="804"/>
      <c r="K150" s="804"/>
      <c r="L150" s="804"/>
      <c r="M150" s="804"/>
      <c r="N150" s="804"/>
      <c r="O150" s="804"/>
      <c r="P150" s="804"/>
      <c r="Q150" s="804"/>
      <c r="R150" s="804"/>
      <c r="S150" s="804"/>
      <c r="T150" s="804"/>
      <c r="U150" s="804"/>
      <c r="V150" s="804"/>
      <c r="W150" s="804"/>
      <c r="X150" s="805"/>
    </row>
    <row r="151" spans="1:24" hidden="1" x14ac:dyDescent="0.25">
      <c r="A151" s="803">
        <f t="shared" si="55"/>
        <v>8</v>
      </c>
      <c r="B151" s="804" t="s">
        <v>52</v>
      </c>
      <c r="C151" s="804" t="e">
        <f>'[17]Project Data'!E229*'[17]Project Data'!E226</f>
        <v>#REF!</v>
      </c>
      <c r="D151" s="804"/>
      <c r="E151" s="804"/>
      <c r="F151" s="804"/>
      <c r="G151" s="804"/>
      <c r="H151" s="804"/>
      <c r="I151" s="804"/>
      <c r="J151" s="804"/>
      <c r="K151" s="804"/>
      <c r="L151" s="804"/>
      <c r="M151" s="804"/>
      <c r="N151" s="804"/>
      <c r="O151" s="804"/>
      <c r="P151" s="804"/>
      <c r="Q151" s="804"/>
      <c r="R151" s="804"/>
      <c r="S151" s="804"/>
      <c r="T151" s="804"/>
      <c r="U151" s="804"/>
      <c r="V151" s="804"/>
      <c r="W151" s="804"/>
      <c r="X151" s="805"/>
    </row>
    <row r="152" spans="1:24" hidden="1" x14ac:dyDescent="0.25">
      <c r="A152" s="803">
        <f t="shared" si="55"/>
        <v>9</v>
      </c>
      <c r="B152" s="804" t="s">
        <v>53</v>
      </c>
      <c r="C152" s="804" t="e">
        <f>C146+C150+C151</f>
        <v>#REF!</v>
      </c>
      <c r="D152" s="804"/>
      <c r="E152" s="804"/>
      <c r="F152" s="804"/>
      <c r="G152" s="804"/>
      <c r="H152" s="804"/>
      <c r="I152" s="804"/>
      <c r="J152" s="804"/>
      <c r="K152" s="804"/>
      <c r="L152" s="804"/>
      <c r="M152" s="804"/>
      <c r="N152" s="804"/>
      <c r="O152" s="804"/>
      <c r="P152" s="804"/>
      <c r="Q152" s="804"/>
      <c r="R152" s="804"/>
      <c r="S152" s="804"/>
      <c r="T152" s="804"/>
      <c r="U152" s="804"/>
      <c r="V152" s="804"/>
      <c r="W152" s="804"/>
      <c r="X152" s="805"/>
    </row>
    <row r="153" spans="1:24" hidden="1" x14ac:dyDescent="0.25">
      <c r="A153" s="803"/>
      <c r="B153" s="804"/>
      <c r="C153" s="804"/>
      <c r="D153" s="804"/>
      <c r="E153" s="804"/>
      <c r="F153" s="804"/>
      <c r="G153" s="804"/>
      <c r="H153" s="804"/>
      <c r="I153" s="804"/>
      <c r="J153" s="804"/>
      <c r="K153" s="804"/>
      <c r="L153" s="804"/>
      <c r="M153" s="804"/>
      <c r="N153" s="804"/>
      <c r="O153" s="804"/>
      <c r="P153" s="804"/>
      <c r="Q153" s="804"/>
      <c r="R153" s="804"/>
      <c r="S153" s="804"/>
      <c r="T153" s="804"/>
      <c r="U153" s="804"/>
      <c r="V153" s="804"/>
      <c r="W153" s="804"/>
      <c r="X153" s="805"/>
    </row>
    <row r="154" spans="1:24" hidden="1" x14ac:dyDescent="0.25">
      <c r="A154" s="803"/>
      <c r="B154" s="804"/>
      <c r="C154" s="804"/>
      <c r="D154" s="804"/>
      <c r="E154" s="804"/>
      <c r="F154" s="804"/>
      <c r="G154" s="804"/>
      <c r="H154" s="804"/>
      <c r="I154" s="804"/>
      <c r="J154" s="804"/>
      <c r="K154" s="804"/>
      <c r="L154" s="804"/>
      <c r="M154" s="804"/>
      <c r="N154" s="804"/>
      <c r="O154" s="804"/>
      <c r="P154" s="804"/>
      <c r="Q154" s="804"/>
      <c r="R154" s="804"/>
      <c r="S154" s="804"/>
      <c r="T154" s="804"/>
      <c r="U154" s="804"/>
      <c r="V154" s="804"/>
      <c r="W154" s="804"/>
      <c r="X154" s="805"/>
    </row>
    <row r="155" spans="1:24" s="789" customFormat="1" x14ac:dyDescent="0.25">
      <c r="A155" s="803">
        <v>16</v>
      </c>
      <c r="B155" s="804" t="s">
        <v>62</v>
      </c>
      <c r="C155" s="804">
        <f>C132/43</f>
        <v>88112.997093023252</v>
      </c>
      <c r="D155" s="804">
        <f t="shared" ref="D155:X155" si="56">D132/43</f>
        <v>45054.984302325582</v>
      </c>
      <c r="E155" s="804">
        <f t="shared" si="56"/>
        <v>49023.077325581391</v>
      </c>
      <c r="F155" s="804">
        <f t="shared" si="56"/>
        <v>53377.050581395342</v>
      </c>
      <c r="G155" s="804">
        <f t="shared" si="56"/>
        <v>75956.298546511622</v>
      </c>
      <c r="H155" s="804">
        <f t="shared" si="56"/>
        <v>53188.944476744182</v>
      </c>
      <c r="I155" s="804">
        <f t="shared" si="56"/>
        <v>85252.313081395347</v>
      </c>
      <c r="J155" s="804">
        <f t="shared" si="56"/>
        <v>59018.342151162789</v>
      </c>
      <c r="K155" s="804">
        <f t="shared" si="56"/>
        <v>58958.022093023246</v>
      </c>
      <c r="L155" s="804">
        <f t="shared" si="56"/>
        <v>78395.559593023252</v>
      </c>
      <c r="M155" s="804">
        <f t="shared" si="56"/>
        <v>46721.877616279067</v>
      </c>
      <c r="N155" s="804">
        <f t="shared" si="56"/>
        <v>77377.04186046512</v>
      </c>
      <c r="O155" s="804">
        <f t="shared" si="56"/>
        <v>77359.106976744195</v>
      </c>
      <c r="P155" s="804">
        <f t="shared" si="56"/>
        <v>62867.720930232557</v>
      </c>
      <c r="Q155" s="804">
        <f t="shared" si="56"/>
        <v>139915.98139534885</v>
      </c>
      <c r="R155" s="804">
        <f t="shared" si="56"/>
        <v>80748.800000000003</v>
      </c>
      <c r="S155" s="804">
        <f t="shared" si="56"/>
        <v>88568.409302325585</v>
      </c>
      <c r="T155" s="804">
        <f t="shared" si="56"/>
        <v>96979.869767441865</v>
      </c>
      <c r="U155" s="804">
        <f t="shared" si="56"/>
        <v>144812.20465116281</v>
      </c>
      <c r="V155" s="804">
        <f t="shared" si="56"/>
        <v>5397.3837209302328</v>
      </c>
      <c r="W155" s="804">
        <f t="shared" si="56"/>
        <v>5153.5813953488368</v>
      </c>
      <c r="X155" s="804">
        <f t="shared" si="56"/>
        <v>4544.0755813953492</v>
      </c>
    </row>
    <row r="156" spans="1:24" x14ac:dyDescent="0.25">
      <c r="A156" s="803"/>
      <c r="B156" s="804"/>
      <c r="C156" s="804"/>
      <c r="D156" s="804"/>
      <c r="E156" s="804"/>
      <c r="F156" s="804"/>
      <c r="G156" s="804"/>
      <c r="H156" s="804"/>
      <c r="I156" s="804"/>
      <c r="J156" s="804"/>
      <c r="K156" s="804"/>
      <c r="L156" s="804"/>
      <c r="M156" s="804"/>
      <c r="N156" s="804"/>
      <c r="O156" s="804"/>
      <c r="P156" s="804"/>
      <c r="Q156" s="804"/>
      <c r="R156" s="804"/>
      <c r="S156" s="804"/>
      <c r="T156" s="804"/>
      <c r="U156" s="804"/>
      <c r="V156" s="804"/>
      <c r="W156" s="804"/>
      <c r="X156" s="805"/>
    </row>
    <row r="157" spans="1:24" x14ac:dyDescent="0.25">
      <c r="A157" s="803">
        <v>17</v>
      </c>
      <c r="B157" s="807" t="s">
        <v>63</v>
      </c>
      <c r="C157" s="804">
        <f>C127-C130</f>
        <v>11516576.624999998</v>
      </c>
      <c r="D157" s="804">
        <f t="shared" ref="D157:X157" si="57">D127-D130</f>
        <v>5962092.9749999996</v>
      </c>
      <c r="E157" s="804">
        <f t="shared" si="57"/>
        <v>6473976.9749999996</v>
      </c>
      <c r="F157" s="804">
        <f t="shared" si="57"/>
        <v>7035639.5249999994</v>
      </c>
      <c r="G157" s="804">
        <f t="shared" si="57"/>
        <v>9948362.5124999993</v>
      </c>
      <c r="H157" s="804">
        <f t="shared" si="57"/>
        <v>7011373.8374999994</v>
      </c>
      <c r="I157" s="804">
        <f t="shared" si="57"/>
        <v>11147548.387499999</v>
      </c>
      <c r="J157" s="804">
        <f t="shared" si="57"/>
        <v>7763366.1374999993</v>
      </c>
      <c r="K157" s="804">
        <f t="shared" si="57"/>
        <v>7755584.8499999996</v>
      </c>
      <c r="L157" s="804">
        <f t="shared" si="57"/>
        <v>10263030.1875</v>
      </c>
      <c r="M157" s="804">
        <f t="shared" si="57"/>
        <v>6177122.2124999994</v>
      </c>
      <c r="N157" s="804">
        <f t="shared" si="57"/>
        <v>5140819.1999999993</v>
      </c>
      <c r="O157" s="804">
        <f t="shared" si="57"/>
        <v>5139662.4000000004</v>
      </c>
      <c r="P157" s="804">
        <f t="shared" si="57"/>
        <v>4204968</v>
      </c>
      <c r="Q157" s="804">
        <f t="shared" si="57"/>
        <v>9174580.8000000007</v>
      </c>
      <c r="R157" s="804">
        <f t="shared" si="57"/>
        <v>5358297.5999999996</v>
      </c>
      <c r="S157" s="804">
        <f t="shared" si="57"/>
        <v>5862662.4000000004</v>
      </c>
      <c r="T157" s="804">
        <f t="shared" si="57"/>
        <v>6405201.5999999996</v>
      </c>
      <c r="U157" s="804">
        <f t="shared" si="57"/>
        <v>9490387.2000000011</v>
      </c>
      <c r="V157" s="804">
        <f t="shared" si="57"/>
        <v>786262.5</v>
      </c>
      <c r="W157" s="804">
        <f t="shared" si="57"/>
        <v>754812</v>
      </c>
      <c r="X157" s="804">
        <f t="shared" si="57"/>
        <v>676185.75</v>
      </c>
    </row>
    <row r="158" spans="1:24" hidden="1" x14ac:dyDescent="0.25">
      <c r="A158" s="803">
        <v>18</v>
      </c>
      <c r="B158" s="804" t="s">
        <v>64</v>
      </c>
      <c r="C158" s="804">
        <v>69820.214423232668</v>
      </c>
      <c r="D158" s="804">
        <v>73795.417969823291</v>
      </c>
      <c r="E158" s="804">
        <v>78474.428045974215</v>
      </c>
      <c r="F158" s="804">
        <v>78852.398219256604</v>
      </c>
      <c r="G158" s="804"/>
      <c r="H158" s="804"/>
      <c r="I158" s="804"/>
      <c r="J158" s="804"/>
      <c r="K158" s="804"/>
      <c r="L158" s="804"/>
      <c r="M158" s="804"/>
      <c r="N158" s="804">
        <v>127975.48729171579</v>
      </c>
      <c r="O158" s="804">
        <v>69820.214423232668</v>
      </c>
      <c r="P158" s="804">
        <v>73795.417969823291</v>
      </c>
      <c r="Q158" s="804">
        <v>78852.398219256604</v>
      </c>
      <c r="R158" s="804">
        <v>143016.09349750457</v>
      </c>
      <c r="S158" s="804"/>
      <c r="T158" s="804"/>
      <c r="U158" s="804"/>
      <c r="V158" s="804">
        <v>10861.211875930661</v>
      </c>
      <c r="W158" s="804"/>
      <c r="X158" s="805">
        <v>11730.108826005115</v>
      </c>
    </row>
    <row r="159" spans="1:24" ht="15.75" thickBot="1" x14ac:dyDescent="0.3">
      <c r="A159" s="808">
        <v>19</v>
      </c>
      <c r="B159" s="809" t="s">
        <v>65</v>
      </c>
      <c r="C159" s="809">
        <f>C157*$B160</f>
        <v>103514.21534695498</v>
      </c>
      <c r="D159" s="809">
        <f t="shared" ref="D159:X159" si="58">D157*$B160</f>
        <v>53588.961045332995</v>
      </c>
      <c r="E159" s="809">
        <f t="shared" si="58"/>
        <v>58189.917764852995</v>
      </c>
      <c r="F159" s="809">
        <f t="shared" si="58"/>
        <v>63238.298029766993</v>
      </c>
      <c r="G159" s="809">
        <f t="shared" si="58"/>
        <v>89418.667803853488</v>
      </c>
      <c r="H159" s="809">
        <f t="shared" si="58"/>
        <v>63020.19123612449</v>
      </c>
      <c r="I159" s="809">
        <f t="shared" si="58"/>
        <v>100197.28622039848</v>
      </c>
      <c r="J159" s="809">
        <f t="shared" si="58"/>
        <v>69779.308586368483</v>
      </c>
      <c r="K159" s="809">
        <f t="shared" si="58"/>
        <v>69709.368195557996</v>
      </c>
      <c r="L159" s="809">
        <f t="shared" si="58"/>
        <v>92246.988973702493</v>
      </c>
      <c r="M159" s="809">
        <f t="shared" si="58"/>
        <v>55521.70404016949</v>
      </c>
      <c r="N159" s="809">
        <f t="shared" si="58"/>
        <v>46207.122398975989</v>
      </c>
      <c r="O159" s="809">
        <f t="shared" si="58"/>
        <v>46196.724756672003</v>
      </c>
      <c r="P159" s="809">
        <f t="shared" si="58"/>
        <v>37795.42977504</v>
      </c>
      <c r="Q159" s="809">
        <f t="shared" si="58"/>
        <v>82463.701113023999</v>
      </c>
      <c r="R159" s="809">
        <f t="shared" si="58"/>
        <v>48161.879152127993</v>
      </c>
      <c r="S159" s="809">
        <f t="shared" si="58"/>
        <v>52695.251196671998</v>
      </c>
      <c r="T159" s="809">
        <f t="shared" si="58"/>
        <v>57571.745437247992</v>
      </c>
      <c r="U159" s="809">
        <f t="shared" si="58"/>
        <v>85302.257462016001</v>
      </c>
      <c r="V159" s="809">
        <f t="shared" si="58"/>
        <v>7067.1475034999994</v>
      </c>
      <c r="W159" s="809">
        <f t="shared" si="58"/>
        <v>6784.4616033599996</v>
      </c>
      <c r="X159" s="809">
        <f t="shared" si="58"/>
        <v>6077.7468530099995</v>
      </c>
    </row>
    <row r="160" spans="1:24" x14ac:dyDescent="0.25">
      <c r="B160" s="810">
        <v>8.9882799999999995E-3</v>
      </c>
      <c r="C160" s="789">
        <f>C157*B160</f>
        <v>103514.21534695498</v>
      </c>
    </row>
    <row r="162" spans="1:24" x14ac:dyDescent="0.25">
      <c r="A162" s="990" t="s">
        <v>68</v>
      </c>
      <c r="B162" s="991"/>
      <c r="C162" s="991"/>
      <c r="D162" s="991"/>
      <c r="E162" s="991"/>
      <c r="F162" s="991"/>
      <c r="G162" s="991"/>
      <c r="H162" s="991"/>
      <c r="I162" s="991"/>
      <c r="J162" s="991"/>
      <c r="K162" s="991"/>
      <c r="L162" s="991"/>
      <c r="M162" s="991"/>
      <c r="N162" s="991"/>
      <c r="O162" s="991"/>
      <c r="P162" s="991"/>
      <c r="Q162" s="991"/>
      <c r="R162" s="991"/>
      <c r="S162" s="991"/>
      <c r="T162" s="991"/>
      <c r="U162" s="991"/>
      <c r="V162" s="991"/>
      <c r="W162" s="991"/>
      <c r="X162" s="992"/>
    </row>
    <row r="163" spans="1:24" x14ac:dyDescent="0.25">
      <c r="A163" s="791"/>
      <c r="B163" s="792" t="s">
        <v>6</v>
      </c>
      <c r="C163" s="793" t="str">
        <f t="shared" ref="C163:X167" si="59">C7</f>
        <v>1BR, Fully Fitted</v>
      </c>
      <c r="D163" s="794" t="str">
        <f t="shared" si="59"/>
        <v>1BR, Fully Fitted</v>
      </c>
      <c r="E163" s="794" t="str">
        <f t="shared" si="59"/>
        <v>1BR, Fully Fitted</v>
      </c>
      <c r="F163" s="794" t="str">
        <f t="shared" si="59"/>
        <v>1BR, Fully Fitted</v>
      </c>
      <c r="G163" s="794" t="str">
        <f t="shared" si="59"/>
        <v>1BR, Fully Fitted</v>
      </c>
      <c r="H163" s="794" t="str">
        <f t="shared" si="59"/>
        <v>1BR, Fully Fitted</v>
      </c>
      <c r="I163" s="794" t="str">
        <f t="shared" si="59"/>
        <v>1BR, Fully Fitted</v>
      </c>
      <c r="J163" s="794" t="str">
        <f t="shared" si="59"/>
        <v>1BR, Fully Fitted</v>
      </c>
      <c r="K163" s="794" t="str">
        <f t="shared" si="59"/>
        <v>1BR, Fully Fitted</v>
      </c>
      <c r="L163" s="794" t="str">
        <f t="shared" si="59"/>
        <v>1BR, Fully Fitted</v>
      </c>
      <c r="M163" s="794" t="str">
        <f t="shared" si="59"/>
        <v>1BR, Fully Fitted</v>
      </c>
      <c r="N163" s="794" t="str">
        <f t="shared" si="59"/>
        <v>Commercial Unit 1</v>
      </c>
      <c r="O163" s="794" t="str">
        <f t="shared" si="59"/>
        <v>Commercial Unit 2</v>
      </c>
      <c r="P163" s="794" t="str">
        <f t="shared" si="59"/>
        <v>Commercial Unit 3</v>
      </c>
      <c r="Q163" s="794" t="str">
        <f t="shared" si="59"/>
        <v>Commercial Unit 4</v>
      </c>
      <c r="R163" s="794" t="str">
        <f t="shared" si="59"/>
        <v>Commercial Unit 5</v>
      </c>
      <c r="S163" s="794" t="str">
        <f t="shared" si="59"/>
        <v>Commercial Unit 6</v>
      </c>
      <c r="T163" s="794" t="str">
        <f t="shared" si="59"/>
        <v>Commercial Unit 7</v>
      </c>
      <c r="U163" s="794" t="str">
        <f t="shared" si="59"/>
        <v>Commercial Unit 8</v>
      </c>
      <c r="V163" s="794" t="str">
        <f t="shared" si="59"/>
        <v>Parking Slot - Regular</v>
      </c>
      <c r="W163" s="794" t="str">
        <f t="shared" si="59"/>
        <v>Parking Slot - Parallel</v>
      </c>
      <c r="X163" s="795" t="str">
        <f t="shared" si="59"/>
        <v>Parking Slot - Small</v>
      </c>
    </row>
    <row r="164" spans="1:24" x14ac:dyDescent="0.25">
      <c r="A164" s="791"/>
      <c r="B164" s="792"/>
      <c r="C164" s="793" t="str">
        <f t="shared" si="59"/>
        <v>Unit A</v>
      </c>
      <c r="D164" s="794" t="str">
        <f t="shared" si="59"/>
        <v>Unit  B</v>
      </c>
      <c r="E164" s="794" t="str">
        <f t="shared" si="59"/>
        <v>Unit C</v>
      </c>
      <c r="F164" s="794" t="str">
        <f t="shared" si="59"/>
        <v>Unit D</v>
      </c>
      <c r="G164" s="794" t="str">
        <f t="shared" si="59"/>
        <v>Unit E</v>
      </c>
      <c r="H164" s="794" t="str">
        <f t="shared" si="59"/>
        <v>Unit F</v>
      </c>
      <c r="I164" s="794" t="str">
        <f t="shared" si="59"/>
        <v>Unit G</v>
      </c>
      <c r="J164" s="794" t="str">
        <f t="shared" si="59"/>
        <v>Unit H</v>
      </c>
      <c r="K164" s="794" t="str">
        <f t="shared" si="59"/>
        <v>Unit I to K</v>
      </c>
      <c r="L164" s="794" t="str">
        <f t="shared" si="59"/>
        <v>Unit L</v>
      </c>
      <c r="M164" s="794" t="str">
        <f t="shared" si="59"/>
        <v>Unit M</v>
      </c>
      <c r="N164" s="794">
        <f t="shared" si="59"/>
        <v>0</v>
      </c>
      <c r="O164" s="794">
        <f t="shared" si="59"/>
        <v>0</v>
      </c>
      <c r="P164" s="794">
        <f t="shared" si="59"/>
        <v>0</v>
      </c>
      <c r="Q164" s="794">
        <f t="shared" si="59"/>
        <v>0</v>
      </c>
      <c r="R164" s="794">
        <f t="shared" si="59"/>
        <v>0</v>
      </c>
      <c r="S164" s="794">
        <f t="shared" si="59"/>
        <v>0</v>
      </c>
      <c r="T164" s="794">
        <f t="shared" si="59"/>
        <v>0</v>
      </c>
      <c r="U164" s="794">
        <f t="shared" si="59"/>
        <v>0</v>
      </c>
      <c r="V164" s="794">
        <f t="shared" si="59"/>
        <v>0</v>
      </c>
      <c r="W164" s="794">
        <f t="shared" si="59"/>
        <v>0</v>
      </c>
      <c r="X164" s="795">
        <f t="shared" si="59"/>
        <v>0</v>
      </c>
    </row>
    <row r="165" spans="1:24" x14ac:dyDescent="0.25">
      <c r="A165" s="791">
        <v>1</v>
      </c>
      <c r="B165" s="796" t="s">
        <v>30</v>
      </c>
      <c r="C165" s="797">
        <f t="shared" si="59"/>
        <v>98.5</v>
      </c>
      <c r="D165" s="797">
        <f t="shared" si="59"/>
        <v>51.02</v>
      </c>
      <c r="E165" s="797">
        <f t="shared" si="59"/>
        <v>55.62</v>
      </c>
      <c r="F165" s="797">
        <f t="shared" si="59"/>
        <v>60.78</v>
      </c>
      <c r="G165" s="797">
        <f t="shared" si="59"/>
        <v>83.49</v>
      </c>
      <c r="H165" s="797">
        <f t="shared" si="59"/>
        <v>61.03</v>
      </c>
      <c r="I165" s="797">
        <f t="shared" si="59"/>
        <v>94.79</v>
      </c>
      <c r="J165" s="797">
        <f t="shared" si="59"/>
        <v>67.790000000000006</v>
      </c>
      <c r="K165" s="797">
        <f t="shared" si="59"/>
        <v>67.72</v>
      </c>
      <c r="L165" s="797">
        <f t="shared" si="59"/>
        <v>86.15</v>
      </c>
      <c r="M165" s="797">
        <f t="shared" si="59"/>
        <v>53.53</v>
      </c>
      <c r="N165" s="797">
        <f t="shared" si="59"/>
        <v>44.44</v>
      </c>
      <c r="O165" s="797">
        <f t="shared" si="59"/>
        <v>44.43</v>
      </c>
      <c r="P165" s="797">
        <f t="shared" si="59"/>
        <v>36.35</v>
      </c>
      <c r="Q165" s="797">
        <f t="shared" si="59"/>
        <v>79.31</v>
      </c>
      <c r="R165" s="797">
        <f t="shared" si="59"/>
        <v>46.32</v>
      </c>
      <c r="S165" s="797">
        <f t="shared" si="59"/>
        <v>50.68</v>
      </c>
      <c r="T165" s="797">
        <f t="shared" si="59"/>
        <v>55.37</v>
      </c>
      <c r="U165" s="797">
        <f t="shared" si="59"/>
        <v>82.04</v>
      </c>
      <c r="V165" s="797">
        <f t="shared" si="59"/>
        <v>12.5</v>
      </c>
      <c r="W165" s="797">
        <f t="shared" si="59"/>
        <v>12</v>
      </c>
      <c r="X165" s="798">
        <f t="shared" si="59"/>
        <v>10.75</v>
      </c>
    </row>
    <row r="166" spans="1:24" x14ac:dyDescent="0.25">
      <c r="A166" s="791">
        <v>2</v>
      </c>
      <c r="B166" s="796" t="s">
        <v>31</v>
      </c>
      <c r="C166" s="797">
        <f t="shared" si="59"/>
        <v>10.46</v>
      </c>
      <c r="D166" s="797">
        <f t="shared" si="59"/>
        <v>5.36</v>
      </c>
      <c r="E166" s="797">
        <f t="shared" si="59"/>
        <v>5.37</v>
      </c>
      <c r="F166" s="797">
        <f t="shared" si="59"/>
        <v>5.15</v>
      </c>
      <c r="G166" s="797">
        <f t="shared" si="59"/>
        <v>12.309999999999999</v>
      </c>
      <c r="H166" s="797">
        <f t="shared" si="59"/>
        <v>4.1900000000000004</v>
      </c>
      <c r="I166" s="797">
        <f t="shared" si="59"/>
        <v>11.260000000000002</v>
      </c>
      <c r="J166" s="797">
        <f t="shared" si="59"/>
        <v>4.2</v>
      </c>
      <c r="K166" s="797">
        <f t="shared" si="59"/>
        <v>4.2</v>
      </c>
      <c r="L166" s="797">
        <f t="shared" si="59"/>
        <v>12.66</v>
      </c>
      <c r="M166" s="797">
        <f t="shared" si="59"/>
        <v>4.18</v>
      </c>
      <c r="N166" s="797">
        <f t="shared" si="59"/>
        <v>0</v>
      </c>
      <c r="O166" s="797">
        <f t="shared" si="59"/>
        <v>0</v>
      </c>
      <c r="P166" s="797">
        <f t="shared" si="59"/>
        <v>0</v>
      </c>
      <c r="Q166" s="797">
        <f t="shared" si="59"/>
        <v>0</v>
      </c>
      <c r="R166" s="797">
        <f t="shared" si="59"/>
        <v>0</v>
      </c>
      <c r="S166" s="797">
        <f t="shared" si="59"/>
        <v>0</v>
      </c>
      <c r="T166" s="797">
        <f t="shared" si="59"/>
        <v>0</v>
      </c>
      <c r="U166" s="797">
        <f t="shared" si="59"/>
        <v>0</v>
      </c>
      <c r="V166" s="797">
        <f t="shared" si="59"/>
        <v>0</v>
      </c>
      <c r="W166" s="797">
        <f t="shared" si="59"/>
        <v>0</v>
      </c>
      <c r="X166" s="798">
        <f t="shared" si="59"/>
        <v>0</v>
      </c>
    </row>
    <row r="167" spans="1:24" x14ac:dyDescent="0.25">
      <c r="A167" s="791">
        <v>3</v>
      </c>
      <c r="B167" s="796" t="s">
        <v>32</v>
      </c>
      <c r="C167" s="797">
        <f t="shared" si="59"/>
        <v>108.96000000000001</v>
      </c>
      <c r="D167" s="797">
        <f t="shared" si="59"/>
        <v>56.38</v>
      </c>
      <c r="E167" s="797">
        <f t="shared" si="59"/>
        <v>60.989999999999995</v>
      </c>
      <c r="F167" s="797">
        <f t="shared" si="59"/>
        <v>65.930000000000007</v>
      </c>
      <c r="G167" s="797">
        <f t="shared" si="59"/>
        <v>95.8</v>
      </c>
      <c r="H167" s="797">
        <f t="shared" si="59"/>
        <v>65.22</v>
      </c>
      <c r="I167" s="797">
        <f t="shared" si="59"/>
        <v>106.05000000000001</v>
      </c>
      <c r="J167" s="797">
        <f t="shared" si="59"/>
        <v>71.990000000000009</v>
      </c>
      <c r="K167" s="797">
        <f t="shared" si="59"/>
        <v>71.92</v>
      </c>
      <c r="L167" s="797">
        <f t="shared" si="59"/>
        <v>98.81</v>
      </c>
      <c r="M167" s="797">
        <f t="shared" si="59"/>
        <v>57.71</v>
      </c>
      <c r="N167" s="797">
        <f t="shared" si="59"/>
        <v>44.44</v>
      </c>
      <c r="O167" s="797">
        <f t="shared" si="59"/>
        <v>44.43</v>
      </c>
      <c r="P167" s="797">
        <f t="shared" si="59"/>
        <v>36.35</v>
      </c>
      <c r="Q167" s="797">
        <f t="shared" si="59"/>
        <v>79.31</v>
      </c>
      <c r="R167" s="797">
        <f t="shared" si="59"/>
        <v>46.32</v>
      </c>
      <c r="S167" s="797">
        <f t="shared" si="59"/>
        <v>50.68</v>
      </c>
      <c r="T167" s="797">
        <f t="shared" si="59"/>
        <v>55.37</v>
      </c>
      <c r="U167" s="797">
        <f t="shared" si="59"/>
        <v>82.04</v>
      </c>
      <c r="V167" s="797">
        <f t="shared" si="59"/>
        <v>12.5</v>
      </c>
      <c r="W167" s="797">
        <f t="shared" si="59"/>
        <v>12</v>
      </c>
      <c r="X167" s="798">
        <f t="shared" si="59"/>
        <v>10.75</v>
      </c>
    </row>
    <row r="168" spans="1:24" x14ac:dyDescent="0.25">
      <c r="A168" s="791"/>
      <c r="B168" s="796"/>
      <c r="C168" s="797"/>
      <c r="D168" s="797"/>
      <c r="E168" s="797"/>
      <c r="F168" s="797"/>
      <c r="G168" s="797"/>
      <c r="H168" s="797"/>
      <c r="I168" s="797"/>
      <c r="J168" s="797"/>
      <c r="K168" s="797"/>
      <c r="L168" s="797"/>
      <c r="M168" s="797"/>
      <c r="N168" s="797"/>
      <c r="O168" s="797"/>
      <c r="P168" s="797"/>
      <c r="Q168" s="797"/>
      <c r="R168" s="797"/>
      <c r="S168" s="797"/>
      <c r="T168" s="797"/>
      <c r="U168" s="797"/>
      <c r="V168" s="797"/>
      <c r="W168" s="797"/>
      <c r="X168" s="798"/>
    </row>
    <row r="169" spans="1:24" x14ac:dyDescent="0.25">
      <c r="A169" s="791">
        <v>4</v>
      </c>
      <c r="B169" s="796" t="s">
        <v>33</v>
      </c>
      <c r="C169" s="797">
        <f>'[15]IS Comparison 07142021 - DR2'!CC5</f>
        <v>126074.99999999997</v>
      </c>
      <c r="D169" s="797">
        <f t="shared" ref="D169:M169" si="60">$C$169</f>
        <v>126074.99999999997</v>
      </c>
      <c r="E169" s="797">
        <f t="shared" si="60"/>
        <v>126074.99999999997</v>
      </c>
      <c r="F169" s="797">
        <f t="shared" si="60"/>
        <v>126074.99999999997</v>
      </c>
      <c r="G169" s="797">
        <f t="shared" si="60"/>
        <v>126074.99999999997</v>
      </c>
      <c r="H169" s="797">
        <f t="shared" si="60"/>
        <v>126074.99999999997</v>
      </c>
      <c r="I169" s="797">
        <f t="shared" si="60"/>
        <v>126074.99999999997</v>
      </c>
      <c r="J169" s="797">
        <f t="shared" si="60"/>
        <v>126074.99999999997</v>
      </c>
      <c r="K169" s="797">
        <f t="shared" si="60"/>
        <v>126074.99999999997</v>
      </c>
      <c r="L169" s="797">
        <f t="shared" si="60"/>
        <v>126074.99999999997</v>
      </c>
      <c r="M169" s="797">
        <f t="shared" si="60"/>
        <v>126074.99999999997</v>
      </c>
      <c r="N169" s="797">
        <v>160000</v>
      </c>
      <c r="O169" s="797">
        <v>160000</v>
      </c>
      <c r="P169" s="797">
        <v>160000</v>
      </c>
      <c r="Q169" s="797">
        <v>160000</v>
      </c>
      <c r="R169" s="797">
        <v>160000</v>
      </c>
      <c r="S169" s="797">
        <v>160000</v>
      </c>
      <c r="T169" s="797">
        <v>160000</v>
      </c>
      <c r="U169" s="797">
        <v>160000</v>
      </c>
      <c r="V169" s="797">
        <f t="shared" ref="V169:X169" si="61">V117</f>
        <v>69600</v>
      </c>
      <c r="W169" s="797">
        <f t="shared" si="61"/>
        <v>69600</v>
      </c>
      <c r="X169" s="798">
        <f t="shared" si="61"/>
        <v>69600</v>
      </c>
    </row>
    <row r="170" spans="1:24" x14ac:dyDescent="0.25">
      <c r="A170" s="791">
        <v>5</v>
      </c>
      <c r="B170" s="796" t="s">
        <v>34</v>
      </c>
      <c r="C170" s="797">
        <f>C165*C169</f>
        <v>12418387.499999996</v>
      </c>
      <c r="D170" s="797">
        <f t="shared" ref="D170:G170" si="62">D165*D169</f>
        <v>6432346.4999999991</v>
      </c>
      <c r="E170" s="797">
        <f t="shared" si="62"/>
        <v>7012291.4999999981</v>
      </c>
      <c r="F170" s="797">
        <f t="shared" si="62"/>
        <v>7662838.4999999981</v>
      </c>
      <c r="G170" s="797">
        <f t="shared" si="62"/>
        <v>10526001.749999996</v>
      </c>
      <c r="H170" s="797">
        <f>H169*H165</f>
        <v>7694357.2499999981</v>
      </c>
      <c r="I170" s="797">
        <f t="shared" ref="I170:M170" si="63">I169*I165</f>
        <v>11950649.249999998</v>
      </c>
      <c r="J170" s="797">
        <f t="shared" si="63"/>
        <v>8546624.2499999981</v>
      </c>
      <c r="K170" s="797">
        <f t="shared" si="63"/>
        <v>8537798.9999999981</v>
      </c>
      <c r="L170" s="797">
        <f t="shared" si="63"/>
        <v>10861361.249999998</v>
      </c>
      <c r="M170" s="797">
        <f t="shared" si="63"/>
        <v>6748794.7499999981</v>
      </c>
      <c r="N170" s="797">
        <f>N169*N167</f>
        <v>7110400</v>
      </c>
      <c r="O170" s="797">
        <f>O169*O167</f>
        <v>7108800</v>
      </c>
      <c r="P170" s="797">
        <f>P169*P167</f>
        <v>5816000</v>
      </c>
      <c r="Q170" s="797">
        <f>Q169*Q167</f>
        <v>12689600</v>
      </c>
      <c r="R170" s="797">
        <f>R169*R167</f>
        <v>7411200</v>
      </c>
      <c r="S170" s="797">
        <f t="shared" ref="S170:X170" si="64">S169*S167</f>
        <v>8108800</v>
      </c>
      <c r="T170" s="797">
        <f t="shared" si="64"/>
        <v>8859200</v>
      </c>
      <c r="U170" s="797">
        <f t="shared" si="64"/>
        <v>13126400.000000002</v>
      </c>
      <c r="V170" s="797">
        <f t="shared" si="64"/>
        <v>870000</v>
      </c>
      <c r="W170" s="797">
        <f t="shared" si="64"/>
        <v>835200</v>
      </c>
      <c r="X170" s="797">
        <f t="shared" si="64"/>
        <v>748200</v>
      </c>
    </row>
    <row r="171" spans="1:24" x14ac:dyDescent="0.25">
      <c r="A171" s="791">
        <v>6</v>
      </c>
      <c r="B171" s="796" t="s">
        <v>35</v>
      </c>
      <c r="C171" s="797">
        <f>60000</f>
        <v>60000</v>
      </c>
      <c r="D171" s="797">
        <f>60000</f>
        <v>60000</v>
      </c>
      <c r="E171" s="797">
        <f>60000</f>
        <v>60000</v>
      </c>
      <c r="F171" s="797">
        <f>60000</f>
        <v>60000</v>
      </c>
      <c r="G171" s="797">
        <f>60000</f>
        <v>60000</v>
      </c>
      <c r="H171" s="797">
        <f>60000</f>
        <v>60000</v>
      </c>
      <c r="I171" s="797">
        <f>60000</f>
        <v>60000</v>
      </c>
      <c r="J171" s="797">
        <f>60000</f>
        <v>60000</v>
      </c>
      <c r="K171" s="797">
        <f>60000</f>
        <v>60000</v>
      </c>
      <c r="L171" s="797">
        <f>60000</f>
        <v>60000</v>
      </c>
      <c r="M171" s="797">
        <f>60000</f>
        <v>60000</v>
      </c>
      <c r="N171" s="797"/>
      <c r="O171" s="797"/>
      <c r="P171" s="797"/>
      <c r="Q171" s="797"/>
      <c r="R171" s="797"/>
      <c r="S171" s="797"/>
      <c r="T171" s="797"/>
      <c r="U171" s="797"/>
      <c r="V171" s="797"/>
      <c r="W171" s="797"/>
      <c r="X171" s="798"/>
    </row>
    <row r="172" spans="1:24" x14ac:dyDescent="0.25">
      <c r="A172" s="791">
        <v>7</v>
      </c>
      <c r="B172" s="796" t="s">
        <v>36</v>
      </c>
      <c r="C172" s="797">
        <f>C171*C166</f>
        <v>627600</v>
      </c>
      <c r="D172" s="797">
        <f t="shared" ref="D172:M172" si="65">D171*D166</f>
        <v>321600</v>
      </c>
      <c r="E172" s="797">
        <f t="shared" si="65"/>
        <v>322200</v>
      </c>
      <c r="F172" s="797">
        <f t="shared" si="65"/>
        <v>309000</v>
      </c>
      <c r="G172" s="797">
        <f t="shared" si="65"/>
        <v>738599.99999999988</v>
      </c>
      <c r="H172" s="797">
        <f t="shared" si="65"/>
        <v>251400.00000000003</v>
      </c>
      <c r="I172" s="797">
        <f t="shared" si="65"/>
        <v>675600.00000000012</v>
      </c>
      <c r="J172" s="797">
        <f t="shared" si="65"/>
        <v>252000</v>
      </c>
      <c r="K172" s="797">
        <f t="shared" si="65"/>
        <v>252000</v>
      </c>
      <c r="L172" s="797">
        <f t="shared" si="65"/>
        <v>759600</v>
      </c>
      <c r="M172" s="797">
        <f t="shared" si="65"/>
        <v>250799.99999999997</v>
      </c>
      <c r="N172" s="797"/>
      <c r="O172" s="797"/>
      <c r="P172" s="797"/>
      <c r="Q172" s="797"/>
      <c r="R172" s="797"/>
      <c r="S172" s="797"/>
      <c r="T172" s="797"/>
      <c r="U172" s="797"/>
      <c r="V172" s="797"/>
      <c r="W172" s="797"/>
      <c r="X172" s="798"/>
    </row>
    <row r="173" spans="1:24" x14ac:dyDescent="0.25">
      <c r="A173" s="791"/>
      <c r="B173" s="792" t="s">
        <v>37</v>
      </c>
      <c r="C173" s="799">
        <f t="shared" ref="C173:M173" si="66">C170+C172</f>
        <v>13045987.499999996</v>
      </c>
      <c r="D173" s="799">
        <f t="shared" si="66"/>
        <v>6753946.4999999991</v>
      </c>
      <c r="E173" s="799">
        <f t="shared" si="66"/>
        <v>7334491.4999999981</v>
      </c>
      <c r="F173" s="799">
        <f t="shared" si="66"/>
        <v>7971838.4999999981</v>
      </c>
      <c r="G173" s="799">
        <f t="shared" si="66"/>
        <v>11264601.749999996</v>
      </c>
      <c r="H173" s="799">
        <f t="shared" si="66"/>
        <v>7945757.2499999981</v>
      </c>
      <c r="I173" s="799">
        <f t="shared" si="66"/>
        <v>12626249.249999998</v>
      </c>
      <c r="J173" s="799">
        <f t="shared" si="66"/>
        <v>8798624.2499999981</v>
      </c>
      <c r="K173" s="799">
        <f t="shared" si="66"/>
        <v>8789798.9999999981</v>
      </c>
      <c r="L173" s="799">
        <f t="shared" si="66"/>
        <v>11620961.249999998</v>
      </c>
      <c r="M173" s="799">
        <f t="shared" si="66"/>
        <v>6999594.7499999981</v>
      </c>
      <c r="N173" s="799">
        <f>N170</f>
        <v>7110400</v>
      </c>
      <c r="O173" s="799">
        <f>O170</f>
        <v>7108800</v>
      </c>
      <c r="P173" s="799">
        <f>P170</f>
        <v>5816000</v>
      </c>
      <c r="Q173" s="799">
        <f>Q170</f>
        <v>12689600</v>
      </c>
      <c r="R173" s="799">
        <f>R170</f>
        <v>7411200</v>
      </c>
      <c r="S173" s="799">
        <f t="shared" ref="S173:X173" si="67">S170</f>
        <v>8108800</v>
      </c>
      <c r="T173" s="799">
        <f t="shared" si="67"/>
        <v>8859200</v>
      </c>
      <c r="U173" s="799">
        <f t="shared" si="67"/>
        <v>13126400.000000002</v>
      </c>
      <c r="V173" s="799">
        <f t="shared" si="67"/>
        <v>870000</v>
      </c>
      <c r="W173" s="799">
        <f t="shared" si="67"/>
        <v>835200</v>
      </c>
      <c r="X173" s="799">
        <f t="shared" si="67"/>
        <v>748200</v>
      </c>
    </row>
    <row r="174" spans="1:24" x14ac:dyDescent="0.25">
      <c r="A174" s="791"/>
      <c r="B174" s="796"/>
      <c r="C174" s="797"/>
      <c r="D174" s="797"/>
      <c r="E174" s="797"/>
      <c r="F174" s="797"/>
      <c r="G174" s="797"/>
      <c r="H174" s="797"/>
      <c r="I174" s="797"/>
      <c r="J174" s="797"/>
      <c r="K174" s="797"/>
      <c r="L174" s="797"/>
      <c r="M174" s="797"/>
      <c r="N174" s="797"/>
      <c r="O174" s="797"/>
      <c r="P174" s="797"/>
      <c r="Q174" s="797"/>
      <c r="R174" s="797"/>
      <c r="S174" s="797"/>
      <c r="T174" s="797"/>
      <c r="U174" s="797"/>
      <c r="V174" s="797"/>
      <c r="W174" s="797"/>
      <c r="X174" s="798"/>
    </row>
    <row r="175" spans="1:24" x14ac:dyDescent="0.25">
      <c r="A175" s="791">
        <v>8</v>
      </c>
      <c r="B175" s="796" t="s">
        <v>38</v>
      </c>
      <c r="C175" s="797">
        <f t="shared" ref="C175:X175" si="68">C173*12%</f>
        <v>1565518.4999999995</v>
      </c>
      <c r="D175" s="797">
        <f t="shared" si="68"/>
        <v>810473.57999999984</v>
      </c>
      <c r="E175" s="797">
        <f t="shared" si="68"/>
        <v>880138.97999999975</v>
      </c>
      <c r="F175" s="797">
        <f t="shared" si="68"/>
        <v>956620.61999999976</v>
      </c>
      <c r="G175" s="797">
        <f t="shared" si="68"/>
        <v>1351752.2099999995</v>
      </c>
      <c r="H175" s="797">
        <f t="shared" si="68"/>
        <v>953490.86999999976</v>
      </c>
      <c r="I175" s="797">
        <f t="shared" si="68"/>
        <v>1515149.9099999997</v>
      </c>
      <c r="J175" s="797">
        <f t="shared" si="68"/>
        <v>1055834.9099999997</v>
      </c>
      <c r="K175" s="797">
        <f t="shared" si="68"/>
        <v>1054775.8799999997</v>
      </c>
      <c r="L175" s="797">
        <f t="shared" si="68"/>
        <v>1394515.3499999996</v>
      </c>
      <c r="M175" s="797">
        <f t="shared" si="68"/>
        <v>839951.36999999976</v>
      </c>
      <c r="N175" s="797">
        <f t="shared" si="68"/>
        <v>853248</v>
      </c>
      <c r="O175" s="797">
        <f t="shared" si="68"/>
        <v>853056</v>
      </c>
      <c r="P175" s="797">
        <f t="shared" si="68"/>
        <v>697920</v>
      </c>
      <c r="Q175" s="797">
        <f t="shared" si="68"/>
        <v>1522752</v>
      </c>
      <c r="R175" s="797">
        <f t="shared" si="68"/>
        <v>889344</v>
      </c>
      <c r="S175" s="797">
        <f t="shared" si="68"/>
        <v>973056</v>
      </c>
      <c r="T175" s="797">
        <f t="shared" si="68"/>
        <v>1063104</v>
      </c>
      <c r="U175" s="797">
        <f t="shared" si="68"/>
        <v>1575168.0000000002</v>
      </c>
      <c r="V175" s="797">
        <f t="shared" si="68"/>
        <v>104400</v>
      </c>
      <c r="W175" s="797">
        <f t="shared" si="68"/>
        <v>100224</v>
      </c>
      <c r="X175" s="797">
        <f t="shared" si="68"/>
        <v>89784</v>
      </c>
    </row>
    <row r="176" spans="1:24" x14ac:dyDescent="0.25">
      <c r="A176" s="791">
        <v>9</v>
      </c>
      <c r="B176" s="796" t="s">
        <v>39</v>
      </c>
      <c r="C176" s="797">
        <f>C173*6%</f>
        <v>782759.24999999977</v>
      </c>
      <c r="D176" s="797">
        <f t="shared" ref="D176:X176" si="69">D173*6%</f>
        <v>405236.78999999992</v>
      </c>
      <c r="E176" s="797">
        <f t="shared" si="69"/>
        <v>440069.48999999987</v>
      </c>
      <c r="F176" s="797">
        <f t="shared" si="69"/>
        <v>478310.30999999988</v>
      </c>
      <c r="G176" s="797">
        <f t="shared" si="69"/>
        <v>675876.10499999975</v>
      </c>
      <c r="H176" s="797">
        <f t="shared" si="69"/>
        <v>476745.43499999988</v>
      </c>
      <c r="I176" s="797">
        <f t="shared" si="69"/>
        <v>757574.95499999984</v>
      </c>
      <c r="J176" s="797">
        <f t="shared" si="69"/>
        <v>527917.45499999984</v>
      </c>
      <c r="K176" s="797">
        <f t="shared" si="69"/>
        <v>527387.93999999983</v>
      </c>
      <c r="L176" s="797">
        <f t="shared" si="69"/>
        <v>697257.67499999981</v>
      </c>
      <c r="M176" s="797">
        <f t="shared" si="69"/>
        <v>419975.68499999988</v>
      </c>
      <c r="N176" s="797">
        <f t="shared" si="69"/>
        <v>426624</v>
      </c>
      <c r="O176" s="797">
        <f t="shared" si="69"/>
        <v>426528</v>
      </c>
      <c r="P176" s="797">
        <f t="shared" si="69"/>
        <v>348960</v>
      </c>
      <c r="Q176" s="797">
        <f t="shared" si="69"/>
        <v>761376</v>
      </c>
      <c r="R176" s="797">
        <f t="shared" si="69"/>
        <v>444672</v>
      </c>
      <c r="S176" s="797">
        <f t="shared" si="69"/>
        <v>486528</v>
      </c>
      <c r="T176" s="797">
        <f t="shared" si="69"/>
        <v>531552</v>
      </c>
      <c r="U176" s="797">
        <f t="shared" si="69"/>
        <v>787584.00000000012</v>
      </c>
      <c r="V176" s="797">
        <f t="shared" si="69"/>
        <v>52200</v>
      </c>
      <c r="W176" s="797">
        <f t="shared" si="69"/>
        <v>50112</v>
      </c>
      <c r="X176" s="797">
        <f t="shared" si="69"/>
        <v>44892</v>
      </c>
    </row>
    <row r="177" spans="1:24" x14ac:dyDescent="0.25">
      <c r="A177" s="791">
        <v>10</v>
      </c>
      <c r="B177" s="796" t="s">
        <v>40</v>
      </c>
      <c r="C177" s="797">
        <f>C173*2.5%</f>
        <v>326149.68749999994</v>
      </c>
      <c r="D177" s="797">
        <f t="shared" ref="D177:X177" si="70">D173*2.5%</f>
        <v>168848.66249999998</v>
      </c>
      <c r="E177" s="797">
        <f t="shared" si="70"/>
        <v>183362.28749999998</v>
      </c>
      <c r="F177" s="797">
        <f t="shared" si="70"/>
        <v>199295.96249999997</v>
      </c>
      <c r="G177" s="797">
        <f t="shared" si="70"/>
        <v>281615.0437499999</v>
      </c>
      <c r="H177" s="797">
        <f t="shared" si="70"/>
        <v>198643.93124999997</v>
      </c>
      <c r="I177" s="797">
        <f t="shared" si="70"/>
        <v>315656.23124999995</v>
      </c>
      <c r="J177" s="797">
        <f t="shared" si="70"/>
        <v>219965.60624999995</v>
      </c>
      <c r="K177" s="797">
        <f t="shared" si="70"/>
        <v>219744.97499999998</v>
      </c>
      <c r="L177" s="797">
        <f t="shared" si="70"/>
        <v>290524.03124999994</v>
      </c>
      <c r="M177" s="797">
        <f t="shared" si="70"/>
        <v>174989.86874999997</v>
      </c>
      <c r="N177" s="797">
        <f t="shared" si="70"/>
        <v>177760</v>
      </c>
      <c r="O177" s="797">
        <f t="shared" si="70"/>
        <v>177720</v>
      </c>
      <c r="P177" s="797">
        <f t="shared" si="70"/>
        <v>145400</v>
      </c>
      <c r="Q177" s="797">
        <f t="shared" si="70"/>
        <v>317240</v>
      </c>
      <c r="R177" s="797">
        <f t="shared" si="70"/>
        <v>185280</v>
      </c>
      <c r="S177" s="797">
        <f t="shared" si="70"/>
        <v>202720</v>
      </c>
      <c r="T177" s="797">
        <f t="shared" si="70"/>
        <v>221480</v>
      </c>
      <c r="U177" s="797">
        <f t="shared" si="70"/>
        <v>328160.00000000006</v>
      </c>
      <c r="V177" s="797">
        <f t="shared" si="70"/>
        <v>21750</v>
      </c>
      <c r="W177" s="797">
        <f t="shared" si="70"/>
        <v>20880</v>
      </c>
      <c r="X177" s="797">
        <f t="shared" si="70"/>
        <v>18705</v>
      </c>
    </row>
    <row r="178" spans="1:24" x14ac:dyDescent="0.25">
      <c r="A178" s="791"/>
      <c r="B178" s="796"/>
      <c r="C178" s="797"/>
      <c r="D178" s="797"/>
      <c r="E178" s="797"/>
      <c r="F178" s="797"/>
      <c r="G178" s="797"/>
      <c r="H178" s="797"/>
      <c r="I178" s="797"/>
      <c r="J178" s="797"/>
      <c r="K178" s="797"/>
      <c r="L178" s="797"/>
      <c r="M178" s="797"/>
      <c r="N178" s="797"/>
      <c r="O178" s="797"/>
      <c r="P178" s="797"/>
      <c r="Q178" s="797"/>
      <c r="R178" s="797"/>
      <c r="S178" s="797"/>
      <c r="T178" s="797"/>
      <c r="U178" s="797"/>
      <c r="V178" s="797"/>
      <c r="W178" s="797"/>
      <c r="X178" s="798"/>
    </row>
    <row r="179" spans="1:24" x14ac:dyDescent="0.25">
      <c r="A179" s="791"/>
      <c r="B179" s="792" t="s">
        <v>41</v>
      </c>
      <c r="C179" s="799">
        <f t="shared" ref="C179:X179" si="71">C173+C175+C176+C177</f>
        <v>15720414.937499996</v>
      </c>
      <c r="D179" s="799">
        <f t="shared" si="71"/>
        <v>8138505.5324999988</v>
      </c>
      <c r="E179" s="799">
        <f t="shared" si="71"/>
        <v>8838062.2574999966</v>
      </c>
      <c r="F179" s="799">
        <f t="shared" si="71"/>
        <v>9606065.3924999982</v>
      </c>
      <c r="G179" s="799">
        <f t="shared" si="71"/>
        <v>13573845.108749995</v>
      </c>
      <c r="H179" s="799">
        <f t="shared" si="71"/>
        <v>9574637.4862499982</v>
      </c>
      <c r="I179" s="799">
        <f t="shared" si="71"/>
        <v>15214630.346249998</v>
      </c>
      <c r="J179" s="799">
        <f t="shared" si="71"/>
        <v>10602342.221249998</v>
      </c>
      <c r="K179" s="799">
        <f t="shared" si="71"/>
        <v>10591707.794999996</v>
      </c>
      <c r="L179" s="799">
        <f t="shared" si="71"/>
        <v>14003258.306249999</v>
      </c>
      <c r="M179" s="799">
        <f t="shared" si="71"/>
        <v>8434511.6737499982</v>
      </c>
      <c r="N179" s="799">
        <f t="shared" si="71"/>
        <v>8568032</v>
      </c>
      <c r="O179" s="799">
        <f t="shared" si="71"/>
        <v>8566104</v>
      </c>
      <c r="P179" s="799">
        <f t="shared" si="71"/>
        <v>7008280</v>
      </c>
      <c r="Q179" s="799">
        <f t="shared" si="71"/>
        <v>15290968</v>
      </c>
      <c r="R179" s="799">
        <f t="shared" si="71"/>
        <v>8930496</v>
      </c>
      <c r="S179" s="799">
        <f t="shared" si="71"/>
        <v>9771104</v>
      </c>
      <c r="T179" s="799">
        <f t="shared" si="71"/>
        <v>10675336</v>
      </c>
      <c r="U179" s="799">
        <f t="shared" si="71"/>
        <v>15817312.000000002</v>
      </c>
      <c r="V179" s="799">
        <f t="shared" si="71"/>
        <v>1048350</v>
      </c>
      <c r="W179" s="799">
        <f t="shared" si="71"/>
        <v>1006416</v>
      </c>
      <c r="X179" s="799">
        <f t="shared" si="71"/>
        <v>901581</v>
      </c>
    </row>
    <row r="180" spans="1:24" x14ac:dyDescent="0.25">
      <c r="A180" s="791">
        <v>11</v>
      </c>
      <c r="B180" s="796" t="s">
        <v>33</v>
      </c>
      <c r="C180" s="797">
        <f t="shared" ref="C180:X180" si="72">C179/C167</f>
        <v>144276.93591685017</v>
      </c>
      <c r="D180" s="797">
        <f t="shared" si="72"/>
        <v>144350.93175771547</v>
      </c>
      <c r="E180" s="797">
        <f t="shared" si="72"/>
        <v>144910.02225774713</v>
      </c>
      <c r="F180" s="797">
        <f t="shared" si="72"/>
        <v>145700.97667981187</v>
      </c>
      <c r="G180" s="797">
        <f t="shared" si="72"/>
        <v>141689.40614561582</v>
      </c>
      <c r="H180" s="797">
        <f t="shared" si="72"/>
        <v>146805.23591306346</v>
      </c>
      <c r="I180" s="797">
        <f t="shared" si="72"/>
        <v>143466.57563649217</v>
      </c>
      <c r="J180" s="797">
        <f t="shared" si="72"/>
        <v>147275.20796291146</v>
      </c>
      <c r="K180" s="797">
        <f t="shared" si="72"/>
        <v>147270.68680478304</v>
      </c>
      <c r="L180" s="797">
        <f t="shared" si="72"/>
        <v>141719.03963414632</v>
      </c>
      <c r="M180" s="797">
        <f t="shared" si="72"/>
        <v>146153.38197452779</v>
      </c>
      <c r="N180" s="797">
        <f t="shared" si="72"/>
        <v>192800</v>
      </c>
      <c r="O180" s="797">
        <f t="shared" si="72"/>
        <v>192800</v>
      </c>
      <c r="P180" s="797">
        <f t="shared" si="72"/>
        <v>192800</v>
      </c>
      <c r="Q180" s="797">
        <f t="shared" si="72"/>
        <v>192800</v>
      </c>
      <c r="R180" s="797">
        <f t="shared" si="72"/>
        <v>192800</v>
      </c>
      <c r="S180" s="797">
        <f t="shared" si="72"/>
        <v>192800</v>
      </c>
      <c r="T180" s="797">
        <f t="shared" si="72"/>
        <v>192800</v>
      </c>
      <c r="U180" s="797">
        <f t="shared" si="72"/>
        <v>192800</v>
      </c>
      <c r="V180" s="797">
        <f t="shared" si="72"/>
        <v>83868</v>
      </c>
      <c r="W180" s="797">
        <f t="shared" si="72"/>
        <v>83868</v>
      </c>
      <c r="X180" s="797">
        <f t="shared" si="72"/>
        <v>83868</v>
      </c>
    </row>
    <row r="181" spans="1:24" x14ac:dyDescent="0.25">
      <c r="A181" s="791">
        <v>12</v>
      </c>
      <c r="B181" s="796" t="s">
        <v>42</v>
      </c>
      <c r="C181" s="800">
        <v>0.25</v>
      </c>
      <c r="D181" s="800">
        <v>0.25</v>
      </c>
      <c r="E181" s="800">
        <v>0.25</v>
      </c>
      <c r="F181" s="800">
        <v>0.25</v>
      </c>
      <c r="G181" s="800">
        <v>0.25</v>
      </c>
      <c r="H181" s="800">
        <v>0.25</v>
      </c>
      <c r="I181" s="800">
        <v>0.25</v>
      </c>
      <c r="J181" s="800">
        <v>0.25</v>
      </c>
      <c r="K181" s="800">
        <v>0.25</v>
      </c>
      <c r="L181" s="800">
        <v>0.25</v>
      </c>
      <c r="M181" s="800">
        <v>0.25</v>
      </c>
      <c r="N181" s="800">
        <v>0.4</v>
      </c>
      <c r="O181" s="800">
        <v>0.4</v>
      </c>
      <c r="P181" s="800">
        <v>0.4</v>
      </c>
      <c r="Q181" s="800">
        <v>0.4</v>
      </c>
      <c r="R181" s="800">
        <v>0.4</v>
      </c>
      <c r="S181" s="800">
        <v>0.4</v>
      </c>
      <c r="T181" s="800">
        <v>0.4</v>
      </c>
      <c r="U181" s="800">
        <v>0.4</v>
      </c>
      <c r="V181" s="800">
        <v>0.25</v>
      </c>
      <c r="W181" s="800">
        <v>0.25</v>
      </c>
      <c r="X181" s="800">
        <v>0.25</v>
      </c>
    </row>
    <row r="182" spans="1:24" x14ac:dyDescent="0.25">
      <c r="A182" s="791">
        <v>13</v>
      </c>
      <c r="B182" s="796" t="s">
        <v>43</v>
      </c>
      <c r="C182" s="797">
        <f t="shared" ref="C182:X182" si="73">C179*C181</f>
        <v>3930103.7343749991</v>
      </c>
      <c r="D182" s="797">
        <f t="shared" si="73"/>
        <v>2034626.3831249997</v>
      </c>
      <c r="E182" s="797">
        <f t="shared" si="73"/>
        <v>2209515.5643749991</v>
      </c>
      <c r="F182" s="797">
        <f t="shared" si="73"/>
        <v>2401516.3481249996</v>
      </c>
      <c r="G182" s="797">
        <f t="shared" si="73"/>
        <v>3393461.2771874988</v>
      </c>
      <c r="H182" s="797">
        <f t="shared" si="73"/>
        <v>2393659.3715624996</v>
      </c>
      <c r="I182" s="797">
        <f t="shared" si="73"/>
        <v>3803657.5865624994</v>
      </c>
      <c r="J182" s="797">
        <f t="shared" si="73"/>
        <v>2650585.5553124994</v>
      </c>
      <c r="K182" s="797">
        <f t="shared" si="73"/>
        <v>2647926.9487499991</v>
      </c>
      <c r="L182" s="797">
        <f t="shared" si="73"/>
        <v>3500814.5765624996</v>
      </c>
      <c r="M182" s="797">
        <f t="shared" si="73"/>
        <v>2108627.9184374996</v>
      </c>
      <c r="N182" s="797">
        <f t="shared" si="73"/>
        <v>3427212.8000000003</v>
      </c>
      <c r="O182" s="797">
        <f t="shared" si="73"/>
        <v>3426441.6</v>
      </c>
      <c r="P182" s="797">
        <f t="shared" si="73"/>
        <v>2803312</v>
      </c>
      <c r="Q182" s="797">
        <f t="shared" si="73"/>
        <v>6116387.2000000002</v>
      </c>
      <c r="R182" s="797">
        <f t="shared" si="73"/>
        <v>3572198.4000000004</v>
      </c>
      <c r="S182" s="797">
        <f t="shared" si="73"/>
        <v>3908441.6</v>
      </c>
      <c r="T182" s="797">
        <f t="shared" si="73"/>
        <v>4270134.4000000004</v>
      </c>
      <c r="U182" s="797">
        <f t="shared" si="73"/>
        <v>6326924.8000000007</v>
      </c>
      <c r="V182" s="797">
        <f t="shared" si="73"/>
        <v>262087.5</v>
      </c>
      <c r="W182" s="797">
        <f t="shared" si="73"/>
        <v>251604</v>
      </c>
      <c r="X182" s="797">
        <f t="shared" si="73"/>
        <v>225395.25</v>
      </c>
    </row>
    <row r="183" spans="1:24" x14ac:dyDescent="0.25">
      <c r="A183" s="791">
        <v>14</v>
      </c>
      <c r="B183" s="796" t="s">
        <v>44</v>
      </c>
      <c r="C183" s="797">
        <v>50000</v>
      </c>
      <c r="D183" s="797">
        <v>50000</v>
      </c>
      <c r="E183" s="797">
        <v>50000</v>
      </c>
      <c r="F183" s="797">
        <v>50000</v>
      </c>
      <c r="G183" s="797">
        <v>50000</v>
      </c>
      <c r="H183" s="797">
        <v>50000</v>
      </c>
      <c r="I183" s="797">
        <v>50000</v>
      </c>
      <c r="J183" s="797">
        <v>50000</v>
      </c>
      <c r="K183" s="797">
        <v>50000</v>
      </c>
      <c r="L183" s="797">
        <v>50001</v>
      </c>
      <c r="M183" s="797">
        <v>50000</v>
      </c>
      <c r="N183" s="797">
        <f>'[16]Project Data'!$E$113</f>
        <v>100000</v>
      </c>
      <c r="O183" s="797">
        <f>'[16]Project Data'!$E$113</f>
        <v>100000</v>
      </c>
      <c r="P183" s="797">
        <f>'[16]Project Data'!$E$113</f>
        <v>100000</v>
      </c>
      <c r="Q183" s="797">
        <f>'[16]Project Data'!$E$113</f>
        <v>100000</v>
      </c>
      <c r="R183" s="797">
        <f>'[16]Project Data'!$E$113</f>
        <v>100000</v>
      </c>
      <c r="S183" s="797">
        <f>'[16]Project Data'!$E$113</f>
        <v>100000</v>
      </c>
      <c r="T183" s="797">
        <f>'[16]Project Data'!$E$113</f>
        <v>100000</v>
      </c>
      <c r="U183" s="797">
        <f>'[16]Project Data'!$E$113</f>
        <v>100000</v>
      </c>
      <c r="V183" s="797">
        <v>30000</v>
      </c>
      <c r="W183" s="797">
        <v>30000</v>
      </c>
      <c r="X183" s="797">
        <v>30000</v>
      </c>
    </row>
    <row r="184" spans="1:24" x14ac:dyDescent="0.25">
      <c r="A184" s="791">
        <v>15</v>
      </c>
      <c r="B184" s="796" t="s">
        <v>45</v>
      </c>
      <c r="C184" s="797">
        <f t="shared" ref="C184:X184" si="74">C182-C183</f>
        <v>3880103.7343749991</v>
      </c>
      <c r="D184" s="797">
        <f t="shared" si="74"/>
        <v>1984626.3831249997</v>
      </c>
      <c r="E184" s="797">
        <f t="shared" si="74"/>
        <v>2159515.5643749991</v>
      </c>
      <c r="F184" s="797">
        <f t="shared" si="74"/>
        <v>2351516.3481249996</v>
      </c>
      <c r="G184" s="797">
        <f t="shared" si="74"/>
        <v>3343461.2771874988</v>
      </c>
      <c r="H184" s="797">
        <f t="shared" si="74"/>
        <v>2343659.3715624996</v>
      </c>
      <c r="I184" s="797">
        <f t="shared" si="74"/>
        <v>3753657.5865624994</v>
      </c>
      <c r="J184" s="797">
        <f t="shared" si="74"/>
        <v>2600585.5553124994</v>
      </c>
      <c r="K184" s="797">
        <f t="shared" si="74"/>
        <v>2597926.9487499991</v>
      </c>
      <c r="L184" s="797">
        <f t="shared" si="74"/>
        <v>3450813.5765624996</v>
      </c>
      <c r="M184" s="797">
        <f t="shared" si="74"/>
        <v>2058627.9184374996</v>
      </c>
      <c r="N184" s="797">
        <f t="shared" si="74"/>
        <v>3327212.8000000003</v>
      </c>
      <c r="O184" s="797">
        <f t="shared" si="74"/>
        <v>3326441.6</v>
      </c>
      <c r="P184" s="797">
        <f t="shared" si="74"/>
        <v>2703312</v>
      </c>
      <c r="Q184" s="797">
        <f t="shared" si="74"/>
        <v>6016387.2000000002</v>
      </c>
      <c r="R184" s="797">
        <f t="shared" si="74"/>
        <v>3472198.4000000004</v>
      </c>
      <c r="S184" s="797">
        <f t="shared" si="74"/>
        <v>3808441.6</v>
      </c>
      <c r="T184" s="797">
        <f t="shared" si="74"/>
        <v>4170134.4000000004</v>
      </c>
      <c r="U184" s="797">
        <f t="shared" si="74"/>
        <v>6226924.8000000007</v>
      </c>
      <c r="V184" s="797">
        <f t="shared" si="74"/>
        <v>232087.5</v>
      </c>
      <c r="W184" s="797">
        <f t="shared" si="74"/>
        <v>221604</v>
      </c>
      <c r="X184" s="797">
        <f t="shared" si="74"/>
        <v>195395.25</v>
      </c>
    </row>
    <row r="185" spans="1:24" hidden="1" x14ac:dyDescent="0.25">
      <c r="A185" s="791">
        <v>18</v>
      </c>
      <c r="B185" s="796" t="s">
        <v>46</v>
      </c>
      <c r="C185" s="797">
        <f>'[16]Project Data'!$E$115</f>
        <v>34</v>
      </c>
      <c r="D185" s="797"/>
      <c r="E185" s="797"/>
      <c r="F185" s="797"/>
      <c r="G185" s="797"/>
      <c r="H185" s="797"/>
      <c r="I185" s="797"/>
      <c r="J185" s="797"/>
      <c r="K185" s="797"/>
      <c r="L185" s="797"/>
      <c r="M185" s="797"/>
      <c r="N185" s="797"/>
      <c r="O185" s="797"/>
      <c r="P185" s="797"/>
      <c r="Q185" s="797"/>
      <c r="R185" s="797"/>
      <c r="S185" s="797"/>
      <c r="T185" s="797"/>
      <c r="U185" s="797"/>
      <c r="V185" s="797"/>
      <c r="W185" s="797"/>
      <c r="X185" s="798">
        <f>'[16]Project Data'!$E$115</f>
        <v>34</v>
      </c>
    </row>
    <row r="186" spans="1:24" hidden="1" x14ac:dyDescent="0.25">
      <c r="A186" s="791">
        <v>19</v>
      </c>
      <c r="B186" s="796" t="s">
        <v>47</v>
      </c>
      <c r="C186" s="797">
        <f>C184/C185</f>
        <v>114120.69806985291</v>
      </c>
      <c r="D186" s="797"/>
      <c r="E186" s="797"/>
      <c r="F186" s="797"/>
      <c r="G186" s="797"/>
      <c r="H186" s="797"/>
      <c r="I186" s="797"/>
      <c r="J186" s="797"/>
      <c r="K186" s="797"/>
      <c r="L186" s="797"/>
      <c r="M186" s="797"/>
      <c r="N186" s="797"/>
      <c r="O186" s="797"/>
      <c r="P186" s="797"/>
      <c r="Q186" s="797"/>
      <c r="R186" s="797"/>
      <c r="S186" s="797"/>
      <c r="T186" s="797"/>
      <c r="U186" s="797"/>
      <c r="V186" s="797"/>
      <c r="W186" s="797"/>
      <c r="X186" s="798">
        <f>X184/X185</f>
        <v>5746.9191176470586</v>
      </c>
    </row>
    <row r="187" spans="1:24" hidden="1" x14ac:dyDescent="0.25">
      <c r="A187" s="791"/>
      <c r="B187" s="796"/>
      <c r="C187" s="797"/>
      <c r="D187" s="797"/>
      <c r="E187" s="797"/>
      <c r="F187" s="797"/>
      <c r="G187" s="797"/>
      <c r="H187" s="797"/>
      <c r="I187" s="797"/>
      <c r="J187" s="797"/>
      <c r="K187" s="797"/>
      <c r="L187" s="797"/>
      <c r="M187" s="797"/>
      <c r="N187" s="797"/>
      <c r="O187" s="797"/>
      <c r="P187" s="797"/>
      <c r="Q187" s="797"/>
      <c r="R187" s="797"/>
      <c r="S187" s="797"/>
      <c r="T187" s="797"/>
      <c r="U187" s="797"/>
      <c r="V187" s="797"/>
      <c r="W187" s="797"/>
      <c r="X187" s="798"/>
    </row>
    <row r="188" spans="1:24" hidden="1" x14ac:dyDescent="0.25">
      <c r="A188" s="791">
        <v>20</v>
      </c>
      <c r="B188" s="796" t="s">
        <v>48</v>
      </c>
      <c r="C188" s="797">
        <f>C179-C182</f>
        <v>11790311.203124996</v>
      </c>
      <c r="D188" s="797"/>
      <c r="E188" s="797"/>
      <c r="F188" s="797"/>
      <c r="G188" s="797"/>
      <c r="H188" s="797"/>
      <c r="I188" s="797"/>
      <c r="J188" s="797"/>
      <c r="K188" s="797"/>
      <c r="L188" s="797"/>
      <c r="M188" s="797"/>
      <c r="N188" s="797"/>
      <c r="O188" s="797"/>
      <c r="P188" s="797"/>
      <c r="Q188" s="797"/>
      <c r="R188" s="797"/>
      <c r="S188" s="797"/>
      <c r="T188" s="797"/>
      <c r="U188" s="797"/>
      <c r="V188" s="797"/>
      <c r="W188" s="797"/>
      <c r="X188" s="798">
        <f>X179-X182</f>
        <v>676185.75</v>
      </c>
    </row>
    <row r="189" spans="1:24" hidden="1" x14ac:dyDescent="0.25">
      <c r="A189" s="791">
        <v>21</v>
      </c>
      <c r="B189" s="796" t="s">
        <v>49</v>
      </c>
      <c r="C189" s="797">
        <f>C188*$AA$7</f>
        <v>0</v>
      </c>
      <c r="D189" s="797"/>
      <c r="E189" s="797"/>
      <c r="F189" s="797"/>
      <c r="G189" s="797"/>
      <c r="H189" s="797"/>
      <c r="I189" s="797"/>
      <c r="J189" s="797"/>
      <c r="K189" s="797"/>
      <c r="L189" s="797"/>
      <c r="M189" s="797"/>
      <c r="N189" s="797"/>
      <c r="O189" s="797"/>
      <c r="P189" s="797"/>
      <c r="Q189" s="797"/>
      <c r="R189" s="797"/>
      <c r="S189" s="797"/>
      <c r="T189" s="797"/>
      <c r="U189" s="797"/>
      <c r="V189" s="797"/>
      <c r="W189" s="797"/>
      <c r="X189" s="798">
        <f>X188*$AA$7</f>
        <v>0</v>
      </c>
    </row>
    <row r="190" spans="1:24" hidden="1" x14ac:dyDescent="0.25">
      <c r="A190" s="791">
        <v>22</v>
      </c>
      <c r="B190" s="796" t="s">
        <v>50</v>
      </c>
      <c r="C190" s="797">
        <f>C188*$AA$9</f>
        <v>0</v>
      </c>
      <c r="D190" s="797"/>
      <c r="E190" s="797"/>
      <c r="F190" s="797"/>
      <c r="G190" s="797"/>
      <c r="H190" s="797"/>
      <c r="I190" s="797"/>
      <c r="J190" s="797"/>
      <c r="K190" s="797"/>
      <c r="L190" s="797"/>
      <c r="M190" s="797"/>
      <c r="N190" s="797"/>
      <c r="O190" s="797"/>
      <c r="P190" s="797"/>
      <c r="Q190" s="797"/>
      <c r="R190" s="797"/>
      <c r="S190" s="797"/>
      <c r="T190" s="797"/>
      <c r="U190" s="797"/>
      <c r="V190" s="797"/>
      <c r="W190" s="797"/>
      <c r="X190" s="798">
        <f>X188*$AA$9</f>
        <v>0</v>
      </c>
    </row>
    <row r="191" spans="1:24" hidden="1" x14ac:dyDescent="0.25">
      <c r="A191" s="791">
        <v>23</v>
      </c>
      <c r="B191" s="796" t="s">
        <v>51</v>
      </c>
      <c r="C191" s="801">
        <f>C188*$AA$10</f>
        <v>0</v>
      </c>
      <c r="D191" s="801"/>
      <c r="E191" s="801"/>
      <c r="F191" s="801"/>
      <c r="G191" s="801"/>
      <c r="H191" s="801"/>
      <c r="I191" s="801"/>
      <c r="J191" s="801"/>
      <c r="K191" s="801"/>
      <c r="L191" s="801"/>
      <c r="M191" s="801"/>
      <c r="N191" s="801"/>
      <c r="O191" s="801"/>
      <c r="P191" s="801"/>
      <c r="Q191" s="801"/>
      <c r="R191" s="801"/>
      <c r="S191" s="801"/>
      <c r="T191" s="801"/>
      <c r="U191" s="801"/>
      <c r="V191" s="801"/>
      <c r="W191" s="801"/>
      <c r="X191" s="802">
        <f>X188*$AA$10</f>
        <v>0</v>
      </c>
    </row>
    <row r="192" spans="1:24" hidden="1" x14ac:dyDescent="0.25">
      <c r="A192" s="803">
        <f>A191+1</f>
        <v>24</v>
      </c>
      <c r="B192" s="804" t="s">
        <v>52</v>
      </c>
      <c r="C192" s="804" t="e">
        <f>'[17]Project Data'!E281*'[17]Project Data'!E275</f>
        <v>#REF!</v>
      </c>
      <c r="D192" s="804"/>
      <c r="E192" s="804"/>
      <c r="F192" s="804"/>
      <c r="G192" s="804"/>
      <c r="H192" s="804"/>
      <c r="I192" s="804"/>
      <c r="J192" s="804"/>
      <c r="K192" s="804"/>
      <c r="L192" s="804"/>
      <c r="M192" s="804"/>
      <c r="N192" s="804"/>
      <c r="O192" s="804"/>
      <c r="P192" s="804"/>
      <c r="Q192" s="804"/>
      <c r="R192" s="804"/>
      <c r="S192" s="804"/>
      <c r="T192" s="804"/>
      <c r="U192" s="804"/>
      <c r="V192" s="804"/>
      <c r="W192" s="804"/>
      <c r="X192" s="805"/>
    </row>
    <row r="193" spans="1:24" hidden="1" x14ac:dyDescent="0.25">
      <c r="A193" s="803">
        <f>A192+1</f>
        <v>25</v>
      </c>
      <c r="B193" s="804" t="s">
        <v>53</v>
      </c>
      <c r="C193" s="804" t="e">
        <f>C187+C191+C192</f>
        <v>#REF!</v>
      </c>
      <c r="D193" s="804"/>
      <c r="E193" s="804"/>
      <c r="F193" s="804"/>
      <c r="G193" s="804"/>
      <c r="H193" s="804"/>
      <c r="I193" s="804"/>
      <c r="J193" s="804"/>
      <c r="K193" s="804"/>
      <c r="L193" s="804"/>
      <c r="M193" s="804"/>
      <c r="N193" s="804"/>
      <c r="O193" s="804"/>
      <c r="P193" s="804"/>
      <c r="Q193" s="804"/>
      <c r="R193" s="804"/>
      <c r="S193" s="804"/>
      <c r="T193" s="804"/>
      <c r="U193" s="804"/>
      <c r="V193" s="804"/>
      <c r="W193" s="804"/>
      <c r="X193" s="805"/>
    </row>
    <row r="194" spans="1:24" hidden="1" x14ac:dyDescent="0.25">
      <c r="A194" s="803"/>
      <c r="B194" s="804"/>
      <c r="C194" s="804"/>
      <c r="D194" s="804"/>
      <c r="E194" s="804"/>
      <c r="F194" s="804"/>
      <c r="G194" s="804"/>
      <c r="H194" s="804"/>
      <c r="I194" s="804"/>
      <c r="J194" s="804"/>
      <c r="K194" s="804"/>
      <c r="L194" s="804"/>
      <c r="M194" s="804"/>
      <c r="N194" s="804"/>
      <c r="O194" s="804"/>
      <c r="P194" s="804"/>
      <c r="Q194" s="804"/>
      <c r="R194" s="804"/>
      <c r="S194" s="804"/>
      <c r="T194" s="804"/>
      <c r="U194" s="804"/>
      <c r="V194" s="804"/>
      <c r="W194" s="804"/>
      <c r="X194" s="805"/>
    </row>
    <row r="195" spans="1:24" hidden="1" x14ac:dyDescent="0.25">
      <c r="A195" s="803" t="s">
        <v>54</v>
      </c>
      <c r="B195" s="804"/>
      <c r="C195" s="806"/>
      <c r="D195" s="806"/>
      <c r="E195" s="806"/>
      <c r="F195" s="806"/>
      <c r="G195" s="806"/>
      <c r="H195" s="806"/>
      <c r="I195" s="806"/>
      <c r="J195" s="806"/>
      <c r="K195" s="806"/>
      <c r="L195" s="806"/>
      <c r="M195" s="806"/>
      <c r="N195" s="804"/>
      <c r="O195" s="804"/>
      <c r="P195" s="804"/>
      <c r="Q195" s="804"/>
      <c r="R195" s="804"/>
      <c r="S195" s="804"/>
      <c r="T195" s="804"/>
      <c r="U195" s="804"/>
      <c r="V195" s="804"/>
      <c r="W195" s="804"/>
      <c r="X195" s="805"/>
    </row>
    <row r="196" spans="1:24" hidden="1" x14ac:dyDescent="0.25">
      <c r="A196" s="803">
        <v>1</v>
      </c>
      <c r="B196" s="804" t="s">
        <v>55</v>
      </c>
      <c r="C196" s="804" t="e">
        <f>'[17]Project Data'!E243</f>
        <v>#REF!</v>
      </c>
      <c r="D196" s="804"/>
      <c r="E196" s="804"/>
      <c r="F196" s="804"/>
      <c r="G196" s="804"/>
      <c r="H196" s="804"/>
      <c r="I196" s="804"/>
      <c r="J196" s="804"/>
      <c r="K196" s="804"/>
      <c r="L196" s="804"/>
      <c r="M196" s="804"/>
      <c r="N196" s="804"/>
      <c r="O196" s="804"/>
      <c r="P196" s="804"/>
      <c r="Q196" s="804"/>
      <c r="R196" s="804"/>
      <c r="S196" s="804"/>
      <c r="T196" s="804"/>
      <c r="U196" s="804"/>
      <c r="V196" s="804"/>
      <c r="W196" s="804"/>
      <c r="X196" s="805"/>
    </row>
    <row r="197" spans="1:24" hidden="1" x14ac:dyDescent="0.25">
      <c r="A197" s="803">
        <f>A196+1</f>
        <v>2</v>
      </c>
      <c r="B197" s="804" t="s">
        <v>56</v>
      </c>
      <c r="C197" s="804" t="e">
        <f>'[17]Project Data'!E242</f>
        <v>#REF!</v>
      </c>
      <c r="D197" s="804"/>
      <c r="E197" s="804"/>
      <c r="F197" s="804"/>
      <c r="G197" s="804"/>
      <c r="H197" s="804"/>
      <c r="I197" s="804"/>
      <c r="J197" s="804"/>
      <c r="K197" s="804"/>
      <c r="L197" s="804"/>
      <c r="M197" s="804"/>
      <c r="N197" s="804"/>
      <c r="O197" s="804"/>
      <c r="P197" s="804"/>
      <c r="Q197" s="804"/>
      <c r="R197" s="804"/>
      <c r="S197" s="804"/>
      <c r="T197" s="804"/>
      <c r="U197" s="804"/>
      <c r="V197" s="804"/>
      <c r="W197" s="804"/>
      <c r="X197" s="805"/>
    </row>
    <row r="198" spans="1:24" hidden="1" x14ac:dyDescent="0.25">
      <c r="A198" s="803">
        <f t="shared" ref="A198:A204" si="75">A197+1</f>
        <v>3</v>
      </c>
      <c r="B198" s="804" t="s">
        <v>57</v>
      </c>
      <c r="C198" s="804" t="e">
        <f>C196*C199</f>
        <v>#REF!</v>
      </c>
      <c r="D198" s="804"/>
      <c r="E198" s="804"/>
      <c r="F198" s="804"/>
      <c r="G198" s="804"/>
      <c r="H198" s="804"/>
      <c r="I198" s="804"/>
      <c r="J198" s="804"/>
      <c r="K198" s="804"/>
      <c r="L198" s="804"/>
      <c r="M198" s="804"/>
      <c r="N198" s="804"/>
      <c r="O198" s="804"/>
      <c r="P198" s="804"/>
      <c r="Q198" s="804"/>
      <c r="R198" s="804"/>
      <c r="S198" s="804"/>
      <c r="T198" s="804"/>
      <c r="U198" s="804"/>
      <c r="V198" s="804"/>
      <c r="W198" s="804"/>
      <c r="X198" s="805"/>
    </row>
    <row r="199" spans="1:24" hidden="1" x14ac:dyDescent="0.25">
      <c r="A199" s="803">
        <f t="shared" si="75"/>
        <v>4</v>
      </c>
      <c r="B199" s="804" t="s">
        <v>58</v>
      </c>
      <c r="C199" s="804" t="e">
        <f>'[17]Project Data'!E246</f>
        <v>#REF!</v>
      </c>
      <c r="D199" s="804"/>
      <c r="E199" s="804"/>
      <c r="F199" s="804"/>
      <c r="G199" s="804"/>
      <c r="H199" s="804"/>
      <c r="I199" s="804"/>
      <c r="J199" s="804"/>
      <c r="K199" s="804"/>
      <c r="L199" s="804"/>
      <c r="M199" s="804"/>
      <c r="N199" s="804"/>
      <c r="O199" s="804"/>
      <c r="P199" s="804"/>
      <c r="Q199" s="804"/>
      <c r="R199" s="804"/>
      <c r="S199" s="804"/>
      <c r="T199" s="804"/>
      <c r="U199" s="804"/>
      <c r="V199" s="804"/>
      <c r="W199" s="804"/>
      <c r="X199" s="805"/>
    </row>
    <row r="200" spans="1:24" hidden="1" x14ac:dyDescent="0.25">
      <c r="A200" s="803">
        <f t="shared" si="75"/>
        <v>5</v>
      </c>
      <c r="B200" s="804" t="s">
        <v>59</v>
      </c>
      <c r="C200" s="804" t="e">
        <f>'[17]Project Data'!E278</f>
        <v>#REF!</v>
      </c>
      <c r="D200" s="804"/>
      <c r="E200" s="804"/>
      <c r="F200" s="804"/>
      <c r="G200" s="804"/>
      <c r="H200" s="804"/>
      <c r="I200" s="804"/>
      <c r="J200" s="804"/>
      <c r="K200" s="804"/>
      <c r="L200" s="804"/>
      <c r="M200" s="804"/>
      <c r="N200" s="804"/>
      <c r="O200" s="804"/>
      <c r="P200" s="804"/>
      <c r="Q200" s="804"/>
      <c r="R200" s="804"/>
      <c r="S200" s="804"/>
      <c r="T200" s="804"/>
      <c r="U200" s="804"/>
      <c r="V200" s="804"/>
      <c r="W200" s="804"/>
      <c r="X200" s="805"/>
    </row>
    <row r="201" spans="1:24" hidden="1" x14ac:dyDescent="0.25">
      <c r="A201" s="803">
        <f t="shared" si="75"/>
        <v>6</v>
      </c>
      <c r="B201" s="804" t="s">
        <v>60</v>
      </c>
      <c r="C201" s="804" t="e">
        <f>C200/C197</f>
        <v>#REF!</v>
      </c>
      <c r="D201" s="804"/>
      <c r="E201" s="804"/>
      <c r="F201" s="804"/>
      <c r="G201" s="804"/>
      <c r="H201" s="804"/>
      <c r="I201" s="804"/>
      <c r="J201" s="804"/>
      <c r="K201" s="804"/>
      <c r="L201" s="804"/>
      <c r="M201" s="804"/>
      <c r="N201" s="804"/>
      <c r="O201" s="804"/>
      <c r="P201" s="804"/>
      <c r="Q201" s="804"/>
      <c r="R201" s="804"/>
      <c r="S201" s="804"/>
      <c r="T201" s="804"/>
      <c r="U201" s="804"/>
      <c r="V201" s="804"/>
      <c r="W201" s="804"/>
      <c r="X201" s="805"/>
    </row>
    <row r="202" spans="1:24" hidden="1" x14ac:dyDescent="0.25">
      <c r="A202" s="803">
        <f t="shared" si="75"/>
        <v>7</v>
      </c>
      <c r="B202" s="804" t="s">
        <v>61</v>
      </c>
      <c r="C202" s="804" t="e">
        <f>C200*2</f>
        <v>#REF!</v>
      </c>
      <c r="D202" s="804"/>
      <c r="E202" s="804"/>
      <c r="F202" s="804"/>
      <c r="G202" s="804"/>
      <c r="H202" s="804"/>
      <c r="I202" s="804"/>
      <c r="J202" s="804"/>
      <c r="K202" s="804"/>
      <c r="L202" s="804"/>
      <c r="M202" s="804"/>
      <c r="N202" s="804"/>
      <c r="O202" s="804"/>
      <c r="P202" s="804"/>
      <c r="Q202" s="804"/>
      <c r="R202" s="804"/>
      <c r="S202" s="804"/>
      <c r="T202" s="804"/>
      <c r="U202" s="804"/>
      <c r="V202" s="804"/>
      <c r="W202" s="804"/>
      <c r="X202" s="805"/>
    </row>
    <row r="203" spans="1:24" hidden="1" x14ac:dyDescent="0.25">
      <c r="A203" s="803">
        <f t="shared" si="75"/>
        <v>8</v>
      </c>
      <c r="B203" s="804" t="s">
        <v>52</v>
      </c>
      <c r="C203" s="804" t="e">
        <f>'[17]Project Data'!E281*'[17]Project Data'!E278</f>
        <v>#REF!</v>
      </c>
      <c r="D203" s="804"/>
      <c r="E203" s="804"/>
      <c r="F203" s="804"/>
      <c r="G203" s="804"/>
      <c r="H203" s="804"/>
      <c r="I203" s="804"/>
      <c r="J203" s="804"/>
      <c r="K203" s="804"/>
      <c r="L203" s="804"/>
      <c r="M203" s="804"/>
      <c r="N203" s="804"/>
      <c r="O203" s="804"/>
      <c r="P203" s="804"/>
      <c r="Q203" s="804"/>
      <c r="R203" s="804"/>
      <c r="S203" s="804"/>
      <c r="T203" s="804"/>
      <c r="U203" s="804"/>
      <c r="V203" s="804"/>
      <c r="W203" s="804"/>
      <c r="X203" s="805"/>
    </row>
    <row r="204" spans="1:24" hidden="1" x14ac:dyDescent="0.25">
      <c r="A204" s="803">
        <f t="shared" si="75"/>
        <v>9</v>
      </c>
      <c r="B204" s="804" t="s">
        <v>53</v>
      </c>
      <c r="C204" s="804" t="e">
        <f>C198+C202+C203</f>
        <v>#REF!</v>
      </c>
      <c r="D204" s="804"/>
      <c r="E204" s="804"/>
      <c r="F204" s="804"/>
      <c r="G204" s="804"/>
      <c r="H204" s="804"/>
      <c r="I204" s="804"/>
      <c r="J204" s="804"/>
      <c r="K204" s="804"/>
      <c r="L204" s="804"/>
      <c r="M204" s="804"/>
      <c r="N204" s="804"/>
      <c r="O204" s="804"/>
      <c r="P204" s="804"/>
      <c r="Q204" s="804"/>
      <c r="R204" s="804"/>
      <c r="S204" s="804"/>
      <c r="T204" s="804"/>
      <c r="U204" s="804"/>
      <c r="V204" s="804"/>
      <c r="W204" s="804"/>
      <c r="X204" s="805"/>
    </row>
    <row r="205" spans="1:24" hidden="1" x14ac:dyDescent="0.25">
      <c r="A205" s="803"/>
      <c r="B205" s="804"/>
      <c r="C205" s="804"/>
      <c r="D205" s="804"/>
      <c r="E205" s="804"/>
      <c r="F205" s="804"/>
      <c r="G205" s="804"/>
      <c r="H205" s="804"/>
      <c r="I205" s="804"/>
      <c r="J205" s="804"/>
      <c r="K205" s="804"/>
      <c r="L205" s="804"/>
      <c r="M205" s="804"/>
      <c r="N205" s="804"/>
      <c r="O205" s="804"/>
      <c r="P205" s="804"/>
      <c r="Q205" s="804"/>
      <c r="R205" s="804"/>
      <c r="S205" s="804"/>
      <c r="T205" s="804"/>
      <c r="U205" s="804"/>
      <c r="V205" s="804"/>
      <c r="W205" s="804"/>
      <c r="X205" s="805"/>
    </row>
    <row r="206" spans="1:24" hidden="1" x14ac:dyDescent="0.25">
      <c r="A206" s="803"/>
      <c r="B206" s="804"/>
      <c r="C206" s="804"/>
      <c r="D206" s="804"/>
      <c r="E206" s="804"/>
      <c r="F206" s="804"/>
      <c r="G206" s="804"/>
      <c r="H206" s="804"/>
      <c r="I206" s="804"/>
      <c r="J206" s="804"/>
      <c r="K206" s="804"/>
      <c r="L206" s="804"/>
      <c r="M206" s="804"/>
      <c r="N206" s="804"/>
      <c r="O206" s="804"/>
      <c r="P206" s="804"/>
      <c r="Q206" s="804"/>
      <c r="R206" s="804"/>
      <c r="S206" s="804"/>
      <c r="T206" s="804"/>
      <c r="U206" s="804"/>
      <c r="V206" s="804"/>
      <c r="W206" s="804"/>
      <c r="X206" s="805"/>
    </row>
    <row r="207" spans="1:24" s="789" customFormat="1" x14ac:dyDescent="0.25">
      <c r="A207" s="803">
        <v>16</v>
      </c>
      <c r="B207" s="804" t="s">
        <v>62</v>
      </c>
      <c r="C207" s="804">
        <f>C184/43</f>
        <v>90234.970566860444</v>
      </c>
      <c r="D207" s="804">
        <f t="shared" ref="D207:X207" si="76">D184/43</f>
        <v>46154.101933139529</v>
      </c>
      <c r="E207" s="804">
        <f t="shared" si="76"/>
        <v>50221.292194767419</v>
      </c>
      <c r="F207" s="804">
        <f t="shared" si="76"/>
        <v>54686.426700581382</v>
      </c>
      <c r="G207" s="804">
        <f t="shared" si="76"/>
        <v>77754.913422965081</v>
      </c>
      <c r="H207" s="804">
        <f t="shared" si="76"/>
        <v>54503.706315406969</v>
      </c>
      <c r="I207" s="804">
        <f t="shared" si="76"/>
        <v>87294.362478197654</v>
      </c>
      <c r="J207" s="804">
        <f t="shared" si="76"/>
        <v>60478.73384447673</v>
      </c>
      <c r="K207" s="804">
        <f t="shared" si="76"/>
        <v>60416.905784883696</v>
      </c>
      <c r="L207" s="804">
        <f t="shared" si="76"/>
        <v>80251.478524709295</v>
      </c>
      <c r="M207" s="804">
        <f t="shared" si="76"/>
        <v>47875.067870639527</v>
      </c>
      <c r="N207" s="804">
        <f t="shared" si="76"/>
        <v>77377.04186046512</v>
      </c>
      <c r="O207" s="804">
        <f t="shared" si="76"/>
        <v>77359.106976744195</v>
      </c>
      <c r="P207" s="804">
        <f t="shared" si="76"/>
        <v>62867.720930232557</v>
      </c>
      <c r="Q207" s="804">
        <f t="shared" si="76"/>
        <v>139915.98139534885</v>
      </c>
      <c r="R207" s="804">
        <f t="shared" si="76"/>
        <v>80748.800000000003</v>
      </c>
      <c r="S207" s="804">
        <f t="shared" si="76"/>
        <v>88568.409302325585</v>
      </c>
      <c r="T207" s="804">
        <f t="shared" si="76"/>
        <v>96979.869767441865</v>
      </c>
      <c r="U207" s="804">
        <f t="shared" si="76"/>
        <v>144812.20465116281</v>
      </c>
      <c r="V207" s="804">
        <f t="shared" si="76"/>
        <v>5397.3837209302328</v>
      </c>
      <c r="W207" s="804">
        <f t="shared" si="76"/>
        <v>5153.5813953488368</v>
      </c>
      <c r="X207" s="804">
        <f t="shared" si="76"/>
        <v>4544.0755813953492</v>
      </c>
    </row>
    <row r="208" spans="1:24" x14ac:dyDescent="0.25">
      <c r="A208" s="803"/>
      <c r="B208" s="804"/>
      <c r="C208" s="804"/>
      <c r="D208" s="804"/>
      <c r="E208" s="804"/>
      <c r="F208" s="804"/>
      <c r="G208" s="804"/>
      <c r="H208" s="804"/>
      <c r="I208" s="804"/>
      <c r="J208" s="804"/>
      <c r="K208" s="804"/>
      <c r="L208" s="804"/>
      <c r="M208" s="804"/>
      <c r="N208" s="804"/>
      <c r="O208" s="804"/>
      <c r="P208" s="804"/>
      <c r="Q208" s="804"/>
      <c r="R208" s="804"/>
      <c r="S208" s="804"/>
      <c r="T208" s="804"/>
      <c r="U208" s="804"/>
      <c r="V208" s="804"/>
      <c r="W208" s="804"/>
      <c r="X208" s="805"/>
    </row>
    <row r="209" spans="1:24" x14ac:dyDescent="0.25">
      <c r="A209" s="803">
        <v>17</v>
      </c>
      <c r="B209" s="807" t="s">
        <v>63</v>
      </c>
      <c r="C209" s="804">
        <f>C179-C182</f>
        <v>11790311.203124996</v>
      </c>
      <c r="D209" s="804">
        <f t="shared" ref="D209:X209" si="77">D179-D182</f>
        <v>6103879.1493749991</v>
      </c>
      <c r="E209" s="804">
        <f t="shared" si="77"/>
        <v>6628546.6931249974</v>
      </c>
      <c r="F209" s="804">
        <f t="shared" si="77"/>
        <v>7204549.0443749987</v>
      </c>
      <c r="G209" s="804">
        <f t="shared" si="77"/>
        <v>10180383.831562497</v>
      </c>
      <c r="H209" s="804">
        <f t="shared" si="77"/>
        <v>7180978.1146874987</v>
      </c>
      <c r="I209" s="804">
        <f t="shared" si="77"/>
        <v>11410972.759687498</v>
      </c>
      <c r="J209" s="804">
        <f t="shared" si="77"/>
        <v>7951756.6659374982</v>
      </c>
      <c r="K209" s="804">
        <f t="shared" si="77"/>
        <v>7943780.8462499976</v>
      </c>
      <c r="L209" s="804">
        <f t="shared" si="77"/>
        <v>10502443.729687499</v>
      </c>
      <c r="M209" s="804">
        <f t="shared" si="77"/>
        <v>6325883.7553124987</v>
      </c>
      <c r="N209" s="804">
        <f t="shared" si="77"/>
        <v>5140819.1999999993</v>
      </c>
      <c r="O209" s="804">
        <f t="shared" si="77"/>
        <v>5139662.4000000004</v>
      </c>
      <c r="P209" s="804">
        <f t="shared" si="77"/>
        <v>4204968</v>
      </c>
      <c r="Q209" s="804">
        <f t="shared" si="77"/>
        <v>9174580.8000000007</v>
      </c>
      <c r="R209" s="804">
        <f t="shared" si="77"/>
        <v>5358297.5999999996</v>
      </c>
      <c r="S209" s="804">
        <f t="shared" si="77"/>
        <v>5862662.4000000004</v>
      </c>
      <c r="T209" s="804">
        <f t="shared" si="77"/>
        <v>6405201.5999999996</v>
      </c>
      <c r="U209" s="804">
        <f t="shared" si="77"/>
        <v>9490387.2000000011</v>
      </c>
      <c r="V209" s="804">
        <f t="shared" si="77"/>
        <v>786262.5</v>
      </c>
      <c r="W209" s="804">
        <f t="shared" si="77"/>
        <v>754812</v>
      </c>
      <c r="X209" s="804">
        <f t="shared" si="77"/>
        <v>676185.75</v>
      </c>
    </row>
    <row r="210" spans="1:24" hidden="1" x14ac:dyDescent="0.25">
      <c r="A210" s="803">
        <v>18</v>
      </c>
      <c r="B210" s="804" t="s">
        <v>64</v>
      </c>
      <c r="C210" s="804">
        <v>69820.214423232668</v>
      </c>
      <c r="D210" s="804">
        <v>73795.417969823291</v>
      </c>
      <c r="E210" s="804">
        <v>78474.428045974215</v>
      </c>
      <c r="F210" s="804">
        <v>78852.398219256604</v>
      </c>
      <c r="G210" s="804"/>
      <c r="H210" s="804"/>
      <c r="I210" s="804"/>
      <c r="J210" s="804"/>
      <c r="K210" s="804"/>
      <c r="L210" s="804"/>
      <c r="M210" s="804"/>
      <c r="N210" s="804">
        <v>127975.48729171579</v>
      </c>
      <c r="O210" s="804">
        <v>69820.214423232668</v>
      </c>
      <c r="P210" s="804">
        <v>73795.417969823291</v>
      </c>
      <c r="Q210" s="804">
        <v>78852.398219256604</v>
      </c>
      <c r="R210" s="804">
        <v>143016.09349750457</v>
      </c>
      <c r="S210" s="804"/>
      <c r="T210" s="804"/>
      <c r="U210" s="804"/>
      <c r="V210" s="804">
        <v>10861.211875930661</v>
      </c>
      <c r="W210" s="804"/>
      <c r="X210" s="805">
        <v>11730.108826005115</v>
      </c>
    </row>
    <row r="211" spans="1:24" ht="15.75" thickBot="1" x14ac:dyDescent="0.3">
      <c r="A211" s="808">
        <v>19</v>
      </c>
      <c r="B211" s="809" t="s">
        <v>65</v>
      </c>
      <c r="C211" s="809">
        <f>C209*$B212</f>
        <v>105974.61838082434</v>
      </c>
      <c r="D211" s="809">
        <f t="shared" ref="D211:X211" si="78">D209*$B212</f>
        <v>54863.374880744312</v>
      </c>
      <c r="E211" s="809">
        <f t="shared" si="78"/>
        <v>59579.233670881549</v>
      </c>
      <c r="F211" s="809">
        <f t="shared" si="78"/>
        <v>64756.50408457491</v>
      </c>
      <c r="G211" s="809">
        <f t="shared" si="78"/>
        <v>91504.140385556559</v>
      </c>
      <c r="H211" s="809">
        <f t="shared" si="78"/>
        <v>64544.641968683347</v>
      </c>
      <c r="I211" s="809">
        <f t="shared" si="78"/>
        <v>102565.01823644394</v>
      </c>
      <c r="J211" s="809">
        <f t="shared" si="78"/>
        <v>71472.615405312696</v>
      </c>
      <c r="K211" s="809">
        <f t="shared" si="78"/>
        <v>71400.92650473192</v>
      </c>
      <c r="L211" s="809">
        <f t="shared" si="78"/>
        <v>94398.904926675546</v>
      </c>
      <c r="M211" s="809">
        <f t="shared" si="78"/>
        <v>56858.814440200222</v>
      </c>
      <c r="N211" s="809">
        <f t="shared" si="78"/>
        <v>46207.122398975989</v>
      </c>
      <c r="O211" s="809">
        <f t="shared" si="78"/>
        <v>46196.724756672003</v>
      </c>
      <c r="P211" s="809">
        <f t="shared" si="78"/>
        <v>37795.42977504</v>
      </c>
      <c r="Q211" s="809">
        <f t="shared" si="78"/>
        <v>82463.701113023999</v>
      </c>
      <c r="R211" s="809">
        <f t="shared" si="78"/>
        <v>48161.879152127993</v>
      </c>
      <c r="S211" s="809">
        <f t="shared" si="78"/>
        <v>52695.251196671998</v>
      </c>
      <c r="T211" s="809">
        <f t="shared" si="78"/>
        <v>57571.745437247992</v>
      </c>
      <c r="U211" s="809">
        <f t="shared" si="78"/>
        <v>85302.257462016001</v>
      </c>
      <c r="V211" s="809">
        <f t="shared" si="78"/>
        <v>7067.1475034999994</v>
      </c>
      <c r="W211" s="809">
        <f t="shared" si="78"/>
        <v>6784.4616033599996</v>
      </c>
      <c r="X211" s="809">
        <f t="shared" si="78"/>
        <v>6077.7468530099995</v>
      </c>
    </row>
    <row r="212" spans="1:24" x14ac:dyDescent="0.25">
      <c r="B212" s="810">
        <v>8.9882799999999995E-3</v>
      </c>
      <c r="C212" s="789">
        <f>C209*B212</f>
        <v>105974.61838082434</v>
      </c>
    </row>
    <row r="214" spans="1:24" x14ac:dyDescent="0.25">
      <c r="A214" s="990" t="s">
        <v>69</v>
      </c>
      <c r="B214" s="991"/>
      <c r="C214" s="991"/>
      <c r="D214" s="991"/>
      <c r="E214" s="991"/>
      <c r="F214" s="991"/>
      <c r="G214" s="991"/>
      <c r="H214" s="991"/>
      <c r="I214" s="991"/>
      <c r="J214" s="991"/>
      <c r="K214" s="991"/>
      <c r="L214" s="991"/>
      <c r="M214" s="991"/>
      <c r="N214" s="991"/>
      <c r="O214" s="991"/>
      <c r="P214" s="991"/>
      <c r="Q214" s="991"/>
      <c r="R214" s="991"/>
      <c r="S214" s="991"/>
      <c r="T214" s="991"/>
      <c r="U214" s="991"/>
      <c r="V214" s="991"/>
      <c r="W214" s="991"/>
      <c r="X214" s="992"/>
    </row>
    <row r="215" spans="1:24" x14ac:dyDescent="0.25">
      <c r="A215" s="791"/>
      <c r="B215" s="792" t="s">
        <v>6</v>
      </c>
      <c r="C215" s="793" t="str">
        <f t="shared" ref="C215:X219" si="79">C7</f>
        <v>1BR, Fully Fitted</v>
      </c>
      <c r="D215" s="794" t="str">
        <f t="shared" si="79"/>
        <v>1BR, Fully Fitted</v>
      </c>
      <c r="E215" s="794" t="str">
        <f t="shared" si="79"/>
        <v>1BR, Fully Fitted</v>
      </c>
      <c r="F215" s="794" t="str">
        <f t="shared" si="79"/>
        <v>1BR, Fully Fitted</v>
      </c>
      <c r="G215" s="794" t="str">
        <f t="shared" si="79"/>
        <v>1BR, Fully Fitted</v>
      </c>
      <c r="H215" s="794" t="str">
        <f t="shared" si="79"/>
        <v>1BR, Fully Fitted</v>
      </c>
      <c r="I215" s="794" t="str">
        <f t="shared" si="79"/>
        <v>1BR, Fully Fitted</v>
      </c>
      <c r="J215" s="794" t="str">
        <f t="shared" si="79"/>
        <v>1BR, Fully Fitted</v>
      </c>
      <c r="K215" s="794" t="str">
        <f t="shared" si="79"/>
        <v>1BR, Fully Fitted</v>
      </c>
      <c r="L215" s="794" t="str">
        <f t="shared" si="79"/>
        <v>1BR, Fully Fitted</v>
      </c>
      <c r="M215" s="794" t="str">
        <f t="shared" si="79"/>
        <v>1BR, Fully Fitted</v>
      </c>
      <c r="N215" s="794" t="str">
        <f t="shared" si="79"/>
        <v>Commercial Unit 1</v>
      </c>
      <c r="O215" s="794" t="str">
        <f t="shared" si="79"/>
        <v>Commercial Unit 2</v>
      </c>
      <c r="P215" s="794" t="str">
        <f t="shared" si="79"/>
        <v>Commercial Unit 3</v>
      </c>
      <c r="Q215" s="794" t="str">
        <f t="shared" si="79"/>
        <v>Commercial Unit 4</v>
      </c>
      <c r="R215" s="794" t="str">
        <f t="shared" si="79"/>
        <v>Commercial Unit 5</v>
      </c>
      <c r="S215" s="794" t="str">
        <f t="shared" si="79"/>
        <v>Commercial Unit 6</v>
      </c>
      <c r="T215" s="794" t="str">
        <f t="shared" si="79"/>
        <v>Commercial Unit 7</v>
      </c>
      <c r="U215" s="794" t="str">
        <f t="shared" si="79"/>
        <v>Commercial Unit 8</v>
      </c>
      <c r="V215" s="794" t="str">
        <f t="shared" si="79"/>
        <v>Parking Slot - Regular</v>
      </c>
      <c r="W215" s="794" t="str">
        <f t="shared" si="79"/>
        <v>Parking Slot - Parallel</v>
      </c>
      <c r="X215" s="795" t="str">
        <f t="shared" si="79"/>
        <v>Parking Slot - Small</v>
      </c>
    </row>
    <row r="216" spans="1:24" x14ac:dyDescent="0.25">
      <c r="A216" s="791"/>
      <c r="B216" s="792"/>
      <c r="C216" s="793" t="str">
        <f t="shared" si="79"/>
        <v>Unit A</v>
      </c>
      <c r="D216" s="794" t="str">
        <f t="shared" si="79"/>
        <v>Unit  B</v>
      </c>
      <c r="E216" s="794" t="str">
        <f t="shared" si="79"/>
        <v>Unit C</v>
      </c>
      <c r="F216" s="794" t="str">
        <f t="shared" si="79"/>
        <v>Unit D</v>
      </c>
      <c r="G216" s="794" t="str">
        <f t="shared" si="79"/>
        <v>Unit E</v>
      </c>
      <c r="H216" s="794" t="str">
        <f t="shared" si="79"/>
        <v>Unit F</v>
      </c>
      <c r="I216" s="794" t="str">
        <f t="shared" si="79"/>
        <v>Unit G</v>
      </c>
      <c r="J216" s="794" t="str">
        <f t="shared" si="79"/>
        <v>Unit H</v>
      </c>
      <c r="K216" s="794" t="str">
        <f t="shared" si="79"/>
        <v>Unit I to K</v>
      </c>
      <c r="L216" s="794" t="str">
        <f t="shared" si="79"/>
        <v>Unit L</v>
      </c>
      <c r="M216" s="794" t="str">
        <f t="shared" si="79"/>
        <v>Unit M</v>
      </c>
      <c r="N216" s="794">
        <f t="shared" si="79"/>
        <v>0</v>
      </c>
      <c r="O216" s="794">
        <f t="shared" si="79"/>
        <v>0</v>
      </c>
      <c r="P216" s="794">
        <f t="shared" si="79"/>
        <v>0</v>
      </c>
      <c r="Q216" s="794">
        <f t="shared" si="79"/>
        <v>0</v>
      </c>
      <c r="R216" s="794">
        <f t="shared" si="79"/>
        <v>0</v>
      </c>
      <c r="S216" s="794">
        <f t="shared" si="79"/>
        <v>0</v>
      </c>
      <c r="T216" s="794">
        <f t="shared" si="79"/>
        <v>0</v>
      </c>
      <c r="U216" s="794">
        <f t="shared" si="79"/>
        <v>0</v>
      </c>
      <c r="V216" s="794">
        <f t="shared" si="79"/>
        <v>0</v>
      </c>
      <c r="W216" s="794">
        <f t="shared" si="79"/>
        <v>0</v>
      </c>
      <c r="X216" s="795">
        <f t="shared" si="79"/>
        <v>0</v>
      </c>
    </row>
    <row r="217" spans="1:24" x14ac:dyDescent="0.25">
      <c r="A217" s="791">
        <v>1</v>
      </c>
      <c r="B217" s="796" t="s">
        <v>30</v>
      </c>
      <c r="C217" s="797">
        <f t="shared" si="79"/>
        <v>98.5</v>
      </c>
      <c r="D217" s="797">
        <f t="shared" si="79"/>
        <v>51.02</v>
      </c>
      <c r="E217" s="797">
        <f t="shared" si="79"/>
        <v>55.62</v>
      </c>
      <c r="F217" s="797">
        <f t="shared" si="79"/>
        <v>60.78</v>
      </c>
      <c r="G217" s="797">
        <f t="shared" si="79"/>
        <v>83.49</v>
      </c>
      <c r="H217" s="797">
        <f t="shared" si="79"/>
        <v>61.03</v>
      </c>
      <c r="I217" s="797">
        <f t="shared" si="79"/>
        <v>94.79</v>
      </c>
      <c r="J217" s="797">
        <f t="shared" si="79"/>
        <v>67.790000000000006</v>
      </c>
      <c r="K217" s="797">
        <f t="shared" si="79"/>
        <v>67.72</v>
      </c>
      <c r="L217" s="797">
        <f t="shared" si="79"/>
        <v>86.15</v>
      </c>
      <c r="M217" s="797">
        <f t="shared" si="79"/>
        <v>53.53</v>
      </c>
      <c r="N217" s="797">
        <f t="shared" si="79"/>
        <v>44.44</v>
      </c>
      <c r="O217" s="797">
        <f t="shared" si="79"/>
        <v>44.43</v>
      </c>
      <c r="P217" s="797">
        <f t="shared" si="79"/>
        <v>36.35</v>
      </c>
      <c r="Q217" s="797">
        <f t="shared" si="79"/>
        <v>79.31</v>
      </c>
      <c r="R217" s="797">
        <f t="shared" si="79"/>
        <v>46.32</v>
      </c>
      <c r="S217" s="797">
        <f t="shared" si="79"/>
        <v>50.68</v>
      </c>
      <c r="T217" s="797">
        <f t="shared" si="79"/>
        <v>55.37</v>
      </c>
      <c r="U217" s="797">
        <f t="shared" si="79"/>
        <v>82.04</v>
      </c>
      <c r="V217" s="797">
        <f t="shared" si="79"/>
        <v>12.5</v>
      </c>
      <c r="W217" s="797">
        <f t="shared" si="79"/>
        <v>12</v>
      </c>
      <c r="X217" s="798">
        <f t="shared" si="79"/>
        <v>10.75</v>
      </c>
    </row>
    <row r="218" spans="1:24" x14ac:dyDescent="0.25">
      <c r="A218" s="791">
        <v>2</v>
      </c>
      <c r="B218" s="796" t="s">
        <v>31</v>
      </c>
      <c r="C218" s="797">
        <f t="shared" si="79"/>
        <v>10.46</v>
      </c>
      <c r="D218" s="797">
        <f t="shared" si="79"/>
        <v>5.36</v>
      </c>
      <c r="E218" s="797">
        <f t="shared" si="79"/>
        <v>5.37</v>
      </c>
      <c r="F218" s="797">
        <f t="shared" si="79"/>
        <v>5.15</v>
      </c>
      <c r="G218" s="797">
        <f t="shared" si="79"/>
        <v>12.309999999999999</v>
      </c>
      <c r="H218" s="797">
        <f t="shared" si="79"/>
        <v>4.1900000000000004</v>
      </c>
      <c r="I218" s="797">
        <f t="shared" si="79"/>
        <v>11.260000000000002</v>
      </c>
      <c r="J218" s="797">
        <f t="shared" si="79"/>
        <v>4.2</v>
      </c>
      <c r="K218" s="797">
        <f t="shared" si="79"/>
        <v>4.2</v>
      </c>
      <c r="L218" s="797">
        <f t="shared" si="79"/>
        <v>12.66</v>
      </c>
      <c r="M218" s="797">
        <f t="shared" si="79"/>
        <v>4.18</v>
      </c>
      <c r="N218" s="797">
        <f t="shared" si="79"/>
        <v>0</v>
      </c>
      <c r="O218" s="797">
        <f t="shared" si="79"/>
        <v>0</v>
      </c>
      <c r="P218" s="797">
        <f t="shared" si="79"/>
        <v>0</v>
      </c>
      <c r="Q218" s="797">
        <f t="shared" si="79"/>
        <v>0</v>
      </c>
      <c r="R218" s="797">
        <f t="shared" si="79"/>
        <v>0</v>
      </c>
      <c r="S218" s="797">
        <f t="shared" si="79"/>
        <v>0</v>
      </c>
      <c r="T218" s="797">
        <f t="shared" si="79"/>
        <v>0</v>
      </c>
      <c r="U218" s="797">
        <f t="shared" si="79"/>
        <v>0</v>
      </c>
      <c r="V218" s="797">
        <f t="shared" si="79"/>
        <v>0</v>
      </c>
      <c r="W218" s="797">
        <f t="shared" si="79"/>
        <v>0</v>
      </c>
      <c r="X218" s="798">
        <f t="shared" si="79"/>
        <v>0</v>
      </c>
    </row>
    <row r="219" spans="1:24" x14ac:dyDescent="0.25">
      <c r="A219" s="791">
        <v>3</v>
      </c>
      <c r="B219" s="796" t="s">
        <v>32</v>
      </c>
      <c r="C219" s="797">
        <f t="shared" si="79"/>
        <v>108.96000000000001</v>
      </c>
      <c r="D219" s="797">
        <f t="shared" si="79"/>
        <v>56.38</v>
      </c>
      <c r="E219" s="797">
        <f t="shared" si="79"/>
        <v>60.989999999999995</v>
      </c>
      <c r="F219" s="797">
        <f t="shared" si="79"/>
        <v>65.930000000000007</v>
      </c>
      <c r="G219" s="797">
        <f t="shared" si="79"/>
        <v>95.8</v>
      </c>
      <c r="H219" s="797">
        <f t="shared" si="79"/>
        <v>65.22</v>
      </c>
      <c r="I219" s="797">
        <f t="shared" si="79"/>
        <v>106.05000000000001</v>
      </c>
      <c r="J219" s="797">
        <f t="shared" si="79"/>
        <v>71.990000000000009</v>
      </c>
      <c r="K219" s="797">
        <f t="shared" si="79"/>
        <v>71.92</v>
      </c>
      <c r="L219" s="797">
        <f t="shared" si="79"/>
        <v>98.81</v>
      </c>
      <c r="M219" s="797">
        <f t="shared" si="79"/>
        <v>57.71</v>
      </c>
      <c r="N219" s="797">
        <f t="shared" si="79"/>
        <v>44.44</v>
      </c>
      <c r="O219" s="797">
        <f t="shared" si="79"/>
        <v>44.43</v>
      </c>
      <c r="P219" s="797">
        <f t="shared" si="79"/>
        <v>36.35</v>
      </c>
      <c r="Q219" s="797">
        <f t="shared" si="79"/>
        <v>79.31</v>
      </c>
      <c r="R219" s="797">
        <f t="shared" si="79"/>
        <v>46.32</v>
      </c>
      <c r="S219" s="797">
        <f t="shared" si="79"/>
        <v>50.68</v>
      </c>
      <c r="T219" s="797">
        <f t="shared" si="79"/>
        <v>55.37</v>
      </c>
      <c r="U219" s="797">
        <f t="shared" si="79"/>
        <v>82.04</v>
      </c>
      <c r="V219" s="797">
        <f t="shared" si="79"/>
        <v>12.5</v>
      </c>
      <c r="W219" s="797">
        <f t="shared" si="79"/>
        <v>12</v>
      </c>
      <c r="X219" s="798">
        <f t="shared" si="79"/>
        <v>10.75</v>
      </c>
    </row>
    <row r="220" spans="1:24" x14ac:dyDescent="0.25">
      <c r="A220" s="791"/>
      <c r="B220" s="796"/>
      <c r="C220" s="797"/>
      <c r="D220" s="797"/>
      <c r="E220" s="797"/>
      <c r="F220" s="797"/>
      <c r="G220" s="797"/>
      <c r="H220" s="797"/>
      <c r="I220" s="797"/>
      <c r="J220" s="797"/>
      <c r="K220" s="797"/>
      <c r="L220" s="797"/>
      <c r="M220" s="797"/>
      <c r="N220" s="797"/>
      <c r="O220" s="797"/>
      <c r="P220" s="797"/>
      <c r="Q220" s="797"/>
      <c r="R220" s="797"/>
      <c r="S220" s="797"/>
      <c r="T220" s="797"/>
      <c r="U220" s="797"/>
      <c r="V220" s="797"/>
      <c r="W220" s="797"/>
      <c r="X220" s="798"/>
    </row>
    <row r="221" spans="1:24" x14ac:dyDescent="0.25">
      <c r="A221" s="791">
        <v>4</v>
      </c>
      <c r="B221" s="796" t="s">
        <v>33</v>
      </c>
      <c r="C221" s="797">
        <f>'[15]IS Comparison 07142021 - DR2'!CC6</f>
        <v>129226.87499999996</v>
      </c>
      <c r="D221" s="797">
        <f t="shared" ref="D221:M221" si="80">$C$221</f>
        <v>129226.87499999996</v>
      </c>
      <c r="E221" s="797">
        <f t="shared" si="80"/>
        <v>129226.87499999996</v>
      </c>
      <c r="F221" s="797">
        <f t="shared" si="80"/>
        <v>129226.87499999996</v>
      </c>
      <c r="G221" s="797">
        <f t="shared" si="80"/>
        <v>129226.87499999996</v>
      </c>
      <c r="H221" s="797">
        <f t="shared" si="80"/>
        <v>129226.87499999996</v>
      </c>
      <c r="I221" s="797">
        <f t="shared" si="80"/>
        <v>129226.87499999996</v>
      </c>
      <c r="J221" s="797">
        <f t="shared" si="80"/>
        <v>129226.87499999996</v>
      </c>
      <c r="K221" s="797">
        <f t="shared" si="80"/>
        <v>129226.87499999996</v>
      </c>
      <c r="L221" s="797">
        <f t="shared" si="80"/>
        <v>129226.87499999996</v>
      </c>
      <c r="M221" s="797">
        <f t="shared" si="80"/>
        <v>129226.87499999996</v>
      </c>
      <c r="N221" s="797">
        <v>160000</v>
      </c>
      <c r="O221" s="797">
        <v>160000</v>
      </c>
      <c r="P221" s="797">
        <v>160000</v>
      </c>
      <c r="Q221" s="797">
        <v>160000</v>
      </c>
      <c r="R221" s="797">
        <v>160000</v>
      </c>
      <c r="S221" s="797">
        <v>160000</v>
      </c>
      <c r="T221" s="797">
        <v>160000</v>
      </c>
      <c r="U221" s="797">
        <v>160000</v>
      </c>
      <c r="V221" s="797">
        <f t="shared" ref="V221:X221" si="81">V169</f>
        <v>69600</v>
      </c>
      <c r="W221" s="797">
        <f t="shared" si="81"/>
        <v>69600</v>
      </c>
      <c r="X221" s="798">
        <f t="shared" si="81"/>
        <v>69600</v>
      </c>
    </row>
    <row r="222" spans="1:24" x14ac:dyDescent="0.25">
      <c r="A222" s="791">
        <v>5</v>
      </c>
      <c r="B222" s="796" t="s">
        <v>34</v>
      </c>
      <c r="C222" s="797">
        <f>C217*C221</f>
        <v>12728847.187499996</v>
      </c>
      <c r="D222" s="797">
        <f t="shared" ref="D222:G222" si="82">D217*D221</f>
        <v>6593155.1624999978</v>
      </c>
      <c r="E222" s="797">
        <f t="shared" si="82"/>
        <v>7187598.7874999968</v>
      </c>
      <c r="F222" s="797">
        <f t="shared" si="82"/>
        <v>7854409.4624999976</v>
      </c>
      <c r="G222" s="797">
        <f t="shared" si="82"/>
        <v>10789151.793749996</v>
      </c>
      <c r="H222" s="797">
        <f>H221*H217</f>
        <v>7886716.1812499976</v>
      </c>
      <c r="I222" s="797">
        <f t="shared" ref="I222:M222" si="83">I221*I217</f>
        <v>12249415.481249997</v>
      </c>
      <c r="J222" s="797">
        <f t="shared" si="83"/>
        <v>8760289.8562499974</v>
      </c>
      <c r="K222" s="797">
        <f t="shared" si="83"/>
        <v>8751243.9749999978</v>
      </c>
      <c r="L222" s="797">
        <f t="shared" si="83"/>
        <v>11132895.281249996</v>
      </c>
      <c r="M222" s="797">
        <f t="shared" si="83"/>
        <v>6917514.6187499976</v>
      </c>
      <c r="N222" s="797">
        <f>N221*N219</f>
        <v>7110400</v>
      </c>
      <c r="O222" s="797">
        <f>O221*O219</f>
        <v>7108800</v>
      </c>
      <c r="P222" s="797">
        <f>P221*P219</f>
        <v>5816000</v>
      </c>
      <c r="Q222" s="797">
        <f>Q221*Q219</f>
        <v>12689600</v>
      </c>
      <c r="R222" s="797">
        <f>R221*R219</f>
        <v>7411200</v>
      </c>
      <c r="S222" s="797">
        <f t="shared" ref="S222:X222" si="84">S221*S219</f>
        <v>8108800</v>
      </c>
      <c r="T222" s="797">
        <f t="shared" si="84"/>
        <v>8859200</v>
      </c>
      <c r="U222" s="797">
        <f t="shared" si="84"/>
        <v>13126400.000000002</v>
      </c>
      <c r="V222" s="797">
        <f t="shared" si="84"/>
        <v>870000</v>
      </c>
      <c r="W222" s="797">
        <f t="shared" si="84"/>
        <v>835200</v>
      </c>
      <c r="X222" s="797">
        <f t="shared" si="84"/>
        <v>748200</v>
      </c>
    </row>
    <row r="223" spans="1:24" x14ac:dyDescent="0.25">
      <c r="A223" s="791">
        <v>6</v>
      </c>
      <c r="B223" s="796" t="s">
        <v>35</v>
      </c>
      <c r="C223" s="797">
        <f>60000</f>
        <v>60000</v>
      </c>
      <c r="D223" s="797">
        <f>60000</f>
        <v>60000</v>
      </c>
      <c r="E223" s="797">
        <f>60000</f>
        <v>60000</v>
      </c>
      <c r="F223" s="797">
        <f>60000</f>
        <v>60000</v>
      </c>
      <c r="G223" s="797">
        <f>60000</f>
        <v>60000</v>
      </c>
      <c r="H223" s="797">
        <f>60000</f>
        <v>60000</v>
      </c>
      <c r="I223" s="797">
        <f>60000</f>
        <v>60000</v>
      </c>
      <c r="J223" s="797">
        <f>60000</f>
        <v>60000</v>
      </c>
      <c r="K223" s="797">
        <f>60000</f>
        <v>60000</v>
      </c>
      <c r="L223" s="797">
        <f>60000</f>
        <v>60000</v>
      </c>
      <c r="M223" s="797">
        <f>60000</f>
        <v>60000</v>
      </c>
      <c r="N223" s="797"/>
      <c r="O223" s="797"/>
      <c r="P223" s="797"/>
      <c r="Q223" s="797"/>
      <c r="R223" s="797"/>
      <c r="S223" s="797"/>
      <c r="T223" s="797"/>
      <c r="U223" s="797"/>
      <c r="V223" s="797"/>
      <c r="W223" s="797"/>
      <c r="X223" s="798"/>
    </row>
    <row r="224" spans="1:24" x14ac:dyDescent="0.25">
      <c r="A224" s="791">
        <v>7</v>
      </c>
      <c r="B224" s="796" t="s">
        <v>36</v>
      </c>
      <c r="C224" s="797">
        <f>C223*C218</f>
        <v>627600</v>
      </c>
      <c r="D224" s="797">
        <f t="shared" ref="D224:M224" si="85">D223*D218</f>
        <v>321600</v>
      </c>
      <c r="E224" s="797">
        <f t="shared" si="85"/>
        <v>322200</v>
      </c>
      <c r="F224" s="797">
        <f t="shared" si="85"/>
        <v>309000</v>
      </c>
      <c r="G224" s="797">
        <f t="shared" si="85"/>
        <v>738599.99999999988</v>
      </c>
      <c r="H224" s="797">
        <f t="shared" si="85"/>
        <v>251400.00000000003</v>
      </c>
      <c r="I224" s="797">
        <f t="shared" si="85"/>
        <v>675600.00000000012</v>
      </c>
      <c r="J224" s="797">
        <f t="shared" si="85"/>
        <v>252000</v>
      </c>
      <c r="K224" s="797">
        <f t="shared" si="85"/>
        <v>252000</v>
      </c>
      <c r="L224" s="797">
        <f t="shared" si="85"/>
        <v>759600</v>
      </c>
      <c r="M224" s="797">
        <f t="shared" si="85"/>
        <v>250799.99999999997</v>
      </c>
      <c r="N224" s="797"/>
      <c r="O224" s="797"/>
      <c r="P224" s="797"/>
      <c r="Q224" s="797"/>
      <c r="R224" s="797"/>
      <c r="S224" s="797"/>
      <c r="T224" s="797"/>
      <c r="U224" s="797"/>
      <c r="V224" s="797"/>
      <c r="W224" s="797"/>
      <c r="X224" s="798"/>
    </row>
    <row r="225" spans="1:24" x14ac:dyDescent="0.25">
      <c r="A225" s="791"/>
      <c r="B225" s="792" t="s">
        <v>37</v>
      </c>
      <c r="C225" s="799">
        <f t="shared" ref="C225:M225" si="86">C222+C224</f>
        <v>13356447.187499996</v>
      </c>
      <c r="D225" s="799">
        <f t="shared" si="86"/>
        <v>6914755.1624999978</v>
      </c>
      <c r="E225" s="799">
        <f t="shared" si="86"/>
        <v>7509798.7874999968</v>
      </c>
      <c r="F225" s="799">
        <f t="shared" si="86"/>
        <v>8163409.4624999976</v>
      </c>
      <c r="G225" s="799">
        <f t="shared" si="86"/>
        <v>11527751.793749996</v>
      </c>
      <c r="H225" s="799">
        <f t="shared" si="86"/>
        <v>8138116.1812499976</v>
      </c>
      <c r="I225" s="799">
        <f t="shared" si="86"/>
        <v>12925015.481249997</v>
      </c>
      <c r="J225" s="799">
        <f t="shared" si="86"/>
        <v>9012289.8562499974</v>
      </c>
      <c r="K225" s="799">
        <f t="shared" si="86"/>
        <v>9003243.9749999978</v>
      </c>
      <c r="L225" s="799">
        <f t="shared" si="86"/>
        <v>11892495.281249996</v>
      </c>
      <c r="M225" s="799">
        <f t="shared" si="86"/>
        <v>7168314.6187499976</v>
      </c>
      <c r="N225" s="799">
        <f>N222</f>
        <v>7110400</v>
      </c>
      <c r="O225" s="799">
        <f>O222</f>
        <v>7108800</v>
      </c>
      <c r="P225" s="799">
        <f>P222</f>
        <v>5816000</v>
      </c>
      <c r="Q225" s="799">
        <f>Q222</f>
        <v>12689600</v>
      </c>
      <c r="R225" s="799">
        <f>R222</f>
        <v>7411200</v>
      </c>
      <c r="S225" s="799">
        <f t="shared" ref="S225:X225" si="87">S222</f>
        <v>8108800</v>
      </c>
      <c r="T225" s="799">
        <f t="shared" si="87"/>
        <v>8859200</v>
      </c>
      <c r="U225" s="799">
        <f t="shared" si="87"/>
        <v>13126400.000000002</v>
      </c>
      <c r="V225" s="799">
        <f t="shared" si="87"/>
        <v>870000</v>
      </c>
      <c r="W225" s="799">
        <f t="shared" si="87"/>
        <v>835200</v>
      </c>
      <c r="X225" s="799">
        <f t="shared" si="87"/>
        <v>748200</v>
      </c>
    </row>
    <row r="226" spans="1:24" x14ac:dyDescent="0.25">
      <c r="A226" s="791"/>
      <c r="B226" s="796"/>
      <c r="C226" s="797"/>
      <c r="D226" s="797"/>
      <c r="E226" s="797"/>
      <c r="F226" s="797"/>
      <c r="G226" s="797"/>
      <c r="H226" s="797"/>
      <c r="I226" s="797"/>
      <c r="J226" s="797"/>
      <c r="K226" s="797"/>
      <c r="L226" s="797"/>
      <c r="M226" s="797"/>
      <c r="N226" s="797"/>
      <c r="O226" s="797"/>
      <c r="P226" s="797"/>
      <c r="Q226" s="797"/>
      <c r="R226" s="797"/>
      <c r="S226" s="797"/>
      <c r="T226" s="797"/>
      <c r="U226" s="797"/>
      <c r="V226" s="797"/>
      <c r="W226" s="797"/>
      <c r="X226" s="798"/>
    </row>
    <row r="227" spans="1:24" x14ac:dyDescent="0.25">
      <c r="A227" s="791">
        <v>8</v>
      </c>
      <c r="B227" s="796" t="s">
        <v>38</v>
      </c>
      <c r="C227" s="797">
        <f t="shared" ref="C227:X227" si="88">C225*12%</f>
        <v>1602773.6624999994</v>
      </c>
      <c r="D227" s="797">
        <f t="shared" si="88"/>
        <v>829770.61949999968</v>
      </c>
      <c r="E227" s="797">
        <f t="shared" si="88"/>
        <v>901175.85449999955</v>
      </c>
      <c r="F227" s="797">
        <f t="shared" si="88"/>
        <v>979609.13549999963</v>
      </c>
      <c r="G227" s="797">
        <f t="shared" si="88"/>
        <v>1383330.2152499994</v>
      </c>
      <c r="H227" s="797">
        <f t="shared" si="88"/>
        <v>976573.94174999965</v>
      </c>
      <c r="I227" s="797">
        <f t="shared" si="88"/>
        <v>1551001.8577499997</v>
      </c>
      <c r="J227" s="797">
        <f t="shared" si="88"/>
        <v>1081474.7827499995</v>
      </c>
      <c r="K227" s="797">
        <f t="shared" si="88"/>
        <v>1080389.2769999998</v>
      </c>
      <c r="L227" s="797">
        <f t="shared" si="88"/>
        <v>1427099.4337499994</v>
      </c>
      <c r="M227" s="797">
        <f t="shared" si="88"/>
        <v>860197.75424999965</v>
      </c>
      <c r="N227" s="797">
        <f t="shared" si="88"/>
        <v>853248</v>
      </c>
      <c r="O227" s="797">
        <f t="shared" si="88"/>
        <v>853056</v>
      </c>
      <c r="P227" s="797">
        <f t="shared" si="88"/>
        <v>697920</v>
      </c>
      <c r="Q227" s="797">
        <f t="shared" si="88"/>
        <v>1522752</v>
      </c>
      <c r="R227" s="797">
        <f t="shared" si="88"/>
        <v>889344</v>
      </c>
      <c r="S227" s="797">
        <f t="shared" si="88"/>
        <v>973056</v>
      </c>
      <c r="T227" s="797">
        <f t="shared" si="88"/>
        <v>1063104</v>
      </c>
      <c r="U227" s="797">
        <f t="shared" si="88"/>
        <v>1575168.0000000002</v>
      </c>
      <c r="V227" s="797">
        <f t="shared" si="88"/>
        <v>104400</v>
      </c>
      <c r="W227" s="797">
        <f t="shared" si="88"/>
        <v>100224</v>
      </c>
      <c r="X227" s="797">
        <f t="shared" si="88"/>
        <v>89784</v>
      </c>
    </row>
    <row r="228" spans="1:24" x14ac:dyDescent="0.25">
      <c r="A228" s="791">
        <v>9</v>
      </c>
      <c r="B228" s="796" t="s">
        <v>39</v>
      </c>
      <c r="C228" s="797">
        <f>C225*6%</f>
        <v>801386.8312499997</v>
      </c>
      <c r="D228" s="797">
        <f t="shared" ref="D228:X228" si="89">D225*6%</f>
        <v>414885.30974999984</v>
      </c>
      <c r="E228" s="797">
        <f t="shared" si="89"/>
        <v>450587.92724999978</v>
      </c>
      <c r="F228" s="797">
        <f t="shared" si="89"/>
        <v>489804.56774999981</v>
      </c>
      <c r="G228" s="797">
        <f t="shared" si="89"/>
        <v>691665.10762499971</v>
      </c>
      <c r="H228" s="797">
        <f t="shared" si="89"/>
        <v>488286.97087499982</v>
      </c>
      <c r="I228" s="797">
        <f t="shared" si="89"/>
        <v>775500.92887499987</v>
      </c>
      <c r="J228" s="797">
        <f t="shared" si="89"/>
        <v>540737.39137499977</v>
      </c>
      <c r="K228" s="797">
        <f t="shared" si="89"/>
        <v>540194.63849999988</v>
      </c>
      <c r="L228" s="797">
        <f t="shared" si="89"/>
        <v>713549.71687499969</v>
      </c>
      <c r="M228" s="797">
        <f t="shared" si="89"/>
        <v>430098.87712499982</v>
      </c>
      <c r="N228" s="797">
        <f t="shared" si="89"/>
        <v>426624</v>
      </c>
      <c r="O228" s="797">
        <f t="shared" si="89"/>
        <v>426528</v>
      </c>
      <c r="P228" s="797">
        <f t="shared" si="89"/>
        <v>348960</v>
      </c>
      <c r="Q228" s="797">
        <f t="shared" si="89"/>
        <v>761376</v>
      </c>
      <c r="R228" s="797">
        <f t="shared" si="89"/>
        <v>444672</v>
      </c>
      <c r="S228" s="797">
        <f t="shared" si="89"/>
        <v>486528</v>
      </c>
      <c r="T228" s="797">
        <f t="shared" si="89"/>
        <v>531552</v>
      </c>
      <c r="U228" s="797">
        <f t="shared" si="89"/>
        <v>787584.00000000012</v>
      </c>
      <c r="V228" s="797">
        <f t="shared" si="89"/>
        <v>52200</v>
      </c>
      <c r="W228" s="797">
        <f t="shared" si="89"/>
        <v>50112</v>
      </c>
      <c r="X228" s="797">
        <f t="shared" si="89"/>
        <v>44892</v>
      </c>
    </row>
    <row r="229" spans="1:24" x14ac:dyDescent="0.25">
      <c r="A229" s="791">
        <v>10</v>
      </c>
      <c r="B229" s="796" t="s">
        <v>40</v>
      </c>
      <c r="C229" s="797">
        <f>C225*2.5%</f>
        <v>333911.17968749994</v>
      </c>
      <c r="D229" s="797">
        <f t="shared" ref="D229:X229" si="90">D225*2.5%</f>
        <v>172868.87906249997</v>
      </c>
      <c r="E229" s="797">
        <f t="shared" si="90"/>
        <v>187744.96968749992</v>
      </c>
      <c r="F229" s="797">
        <f t="shared" si="90"/>
        <v>204085.23656249995</v>
      </c>
      <c r="G229" s="797">
        <f t="shared" si="90"/>
        <v>288193.7948437499</v>
      </c>
      <c r="H229" s="797">
        <f t="shared" si="90"/>
        <v>203452.90453124995</v>
      </c>
      <c r="I229" s="797">
        <f t="shared" si="90"/>
        <v>323125.38703124993</v>
      </c>
      <c r="J229" s="797">
        <f t="shared" si="90"/>
        <v>225307.24640624993</v>
      </c>
      <c r="K229" s="797">
        <f t="shared" si="90"/>
        <v>225081.09937499996</v>
      </c>
      <c r="L229" s="797">
        <f t="shared" si="90"/>
        <v>297312.38203124993</v>
      </c>
      <c r="M229" s="797">
        <f t="shared" si="90"/>
        <v>179207.86546874995</v>
      </c>
      <c r="N229" s="797">
        <f t="shared" si="90"/>
        <v>177760</v>
      </c>
      <c r="O229" s="797">
        <f t="shared" si="90"/>
        <v>177720</v>
      </c>
      <c r="P229" s="797">
        <f t="shared" si="90"/>
        <v>145400</v>
      </c>
      <c r="Q229" s="797">
        <f t="shared" si="90"/>
        <v>317240</v>
      </c>
      <c r="R229" s="797">
        <f t="shared" si="90"/>
        <v>185280</v>
      </c>
      <c r="S229" s="797">
        <f t="shared" si="90"/>
        <v>202720</v>
      </c>
      <c r="T229" s="797">
        <f t="shared" si="90"/>
        <v>221480</v>
      </c>
      <c r="U229" s="797">
        <f t="shared" si="90"/>
        <v>328160.00000000006</v>
      </c>
      <c r="V229" s="797">
        <f t="shared" si="90"/>
        <v>21750</v>
      </c>
      <c r="W229" s="797">
        <f t="shared" si="90"/>
        <v>20880</v>
      </c>
      <c r="X229" s="797">
        <f t="shared" si="90"/>
        <v>18705</v>
      </c>
    </row>
    <row r="230" spans="1:24" x14ac:dyDescent="0.25">
      <c r="A230" s="791"/>
      <c r="B230" s="796"/>
      <c r="C230" s="797"/>
      <c r="D230" s="797"/>
      <c r="E230" s="797"/>
      <c r="F230" s="797"/>
      <c r="G230" s="797"/>
      <c r="H230" s="797"/>
      <c r="I230" s="797"/>
      <c r="J230" s="797"/>
      <c r="K230" s="797"/>
      <c r="L230" s="797"/>
      <c r="M230" s="797"/>
      <c r="N230" s="797"/>
      <c r="O230" s="797"/>
      <c r="P230" s="797"/>
      <c r="Q230" s="797"/>
      <c r="R230" s="797"/>
      <c r="S230" s="797"/>
      <c r="T230" s="797"/>
      <c r="U230" s="797"/>
      <c r="V230" s="797"/>
      <c r="W230" s="797"/>
      <c r="X230" s="798"/>
    </row>
    <row r="231" spans="1:24" x14ac:dyDescent="0.25">
      <c r="A231" s="791"/>
      <c r="B231" s="792" t="s">
        <v>41</v>
      </c>
      <c r="C231" s="799">
        <f t="shared" ref="C231:X231" si="91">C225+C227+C228+C229</f>
        <v>16094518.860937495</v>
      </c>
      <c r="D231" s="799">
        <f t="shared" si="91"/>
        <v>8332279.9708124977</v>
      </c>
      <c r="E231" s="799">
        <f t="shared" si="91"/>
        <v>9049307.538937496</v>
      </c>
      <c r="F231" s="799">
        <f t="shared" si="91"/>
        <v>9836908.4023124967</v>
      </c>
      <c r="G231" s="799">
        <f t="shared" si="91"/>
        <v>13890940.911468746</v>
      </c>
      <c r="H231" s="799">
        <f t="shared" si="91"/>
        <v>9806429.9984062482</v>
      </c>
      <c r="I231" s="799">
        <f t="shared" si="91"/>
        <v>15574643.654906247</v>
      </c>
      <c r="J231" s="799">
        <f t="shared" si="91"/>
        <v>10859809.276781246</v>
      </c>
      <c r="K231" s="799">
        <f t="shared" si="91"/>
        <v>10848908.989874996</v>
      </c>
      <c r="L231" s="799">
        <f t="shared" si="91"/>
        <v>14330456.813906247</v>
      </c>
      <c r="M231" s="799">
        <f t="shared" si="91"/>
        <v>8637819.1155937463</v>
      </c>
      <c r="N231" s="799">
        <f t="shared" si="91"/>
        <v>8568032</v>
      </c>
      <c r="O231" s="799">
        <f t="shared" si="91"/>
        <v>8566104</v>
      </c>
      <c r="P231" s="799">
        <f t="shared" si="91"/>
        <v>7008280</v>
      </c>
      <c r="Q231" s="799">
        <f t="shared" si="91"/>
        <v>15290968</v>
      </c>
      <c r="R231" s="799">
        <f t="shared" si="91"/>
        <v>8930496</v>
      </c>
      <c r="S231" s="799">
        <f t="shared" si="91"/>
        <v>9771104</v>
      </c>
      <c r="T231" s="799">
        <f t="shared" si="91"/>
        <v>10675336</v>
      </c>
      <c r="U231" s="799">
        <f t="shared" si="91"/>
        <v>15817312.000000002</v>
      </c>
      <c r="V231" s="799">
        <f t="shared" si="91"/>
        <v>1048350</v>
      </c>
      <c r="W231" s="799">
        <f t="shared" si="91"/>
        <v>1006416</v>
      </c>
      <c r="X231" s="799">
        <f t="shared" si="91"/>
        <v>901581</v>
      </c>
    </row>
    <row r="232" spans="1:24" x14ac:dyDescent="0.25">
      <c r="A232" s="791">
        <v>11</v>
      </c>
      <c r="B232" s="796" t="s">
        <v>33</v>
      </c>
      <c r="C232" s="797">
        <f t="shared" ref="C232:X232" si="92">C231/C219</f>
        <v>147710.34196895643</v>
      </c>
      <c r="D232" s="797">
        <f t="shared" si="92"/>
        <v>147787.86752061898</v>
      </c>
      <c r="E232" s="797">
        <f t="shared" si="92"/>
        <v>148373.62746249381</v>
      </c>
      <c r="F232" s="797">
        <f t="shared" si="92"/>
        <v>149202.31157762013</v>
      </c>
      <c r="G232" s="797">
        <f t="shared" si="92"/>
        <v>144999.38320948588</v>
      </c>
      <c r="H232" s="797">
        <f t="shared" si="92"/>
        <v>150359.24560573825</v>
      </c>
      <c r="I232" s="797">
        <f t="shared" si="92"/>
        <v>146861.32630746104</v>
      </c>
      <c r="J232" s="797">
        <f t="shared" si="92"/>
        <v>150851.63601585283</v>
      </c>
      <c r="K232" s="797">
        <f t="shared" si="92"/>
        <v>150846.89919181028</v>
      </c>
      <c r="L232" s="797">
        <f t="shared" si="92"/>
        <v>145030.43025914632</v>
      </c>
      <c r="M232" s="797">
        <f t="shared" si="92"/>
        <v>149676.29727246138</v>
      </c>
      <c r="N232" s="797">
        <f t="shared" si="92"/>
        <v>192800</v>
      </c>
      <c r="O232" s="797">
        <f t="shared" si="92"/>
        <v>192800</v>
      </c>
      <c r="P232" s="797">
        <f t="shared" si="92"/>
        <v>192800</v>
      </c>
      <c r="Q232" s="797">
        <f t="shared" si="92"/>
        <v>192800</v>
      </c>
      <c r="R232" s="797">
        <f t="shared" si="92"/>
        <v>192800</v>
      </c>
      <c r="S232" s="797">
        <f t="shared" si="92"/>
        <v>192800</v>
      </c>
      <c r="T232" s="797">
        <f t="shared" si="92"/>
        <v>192800</v>
      </c>
      <c r="U232" s="797">
        <f t="shared" si="92"/>
        <v>192800</v>
      </c>
      <c r="V232" s="797">
        <f t="shared" si="92"/>
        <v>83868</v>
      </c>
      <c r="W232" s="797">
        <f t="shared" si="92"/>
        <v>83868</v>
      </c>
      <c r="X232" s="797">
        <f t="shared" si="92"/>
        <v>83868</v>
      </c>
    </row>
    <row r="233" spans="1:24" x14ac:dyDescent="0.25">
      <c r="A233" s="791">
        <v>12</v>
      </c>
      <c r="B233" s="796" t="s">
        <v>42</v>
      </c>
      <c r="C233" s="800">
        <v>0.25</v>
      </c>
      <c r="D233" s="800">
        <v>0.25</v>
      </c>
      <c r="E233" s="800">
        <v>0.25</v>
      </c>
      <c r="F233" s="800">
        <v>0.25</v>
      </c>
      <c r="G233" s="800">
        <v>0.25</v>
      </c>
      <c r="H233" s="800">
        <v>0.25</v>
      </c>
      <c r="I233" s="800">
        <v>0.25</v>
      </c>
      <c r="J233" s="800">
        <v>0.25</v>
      </c>
      <c r="K233" s="800">
        <v>0.25</v>
      </c>
      <c r="L233" s="800">
        <v>0.25</v>
      </c>
      <c r="M233" s="800">
        <v>0.25</v>
      </c>
      <c r="N233" s="800">
        <v>0.4</v>
      </c>
      <c r="O233" s="800">
        <v>0.4</v>
      </c>
      <c r="P233" s="800">
        <v>0.4</v>
      </c>
      <c r="Q233" s="800">
        <v>0.4</v>
      </c>
      <c r="R233" s="800">
        <v>0.4</v>
      </c>
      <c r="S233" s="800">
        <v>0.4</v>
      </c>
      <c r="T233" s="800">
        <v>0.4</v>
      </c>
      <c r="U233" s="800">
        <v>0.4</v>
      </c>
      <c r="V233" s="800">
        <v>0.25</v>
      </c>
      <c r="W233" s="800">
        <v>0.25</v>
      </c>
      <c r="X233" s="800">
        <v>0.25</v>
      </c>
    </row>
    <row r="234" spans="1:24" x14ac:dyDescent="0.25">
      <c r="A234" s="791">
        <v>13</v>
      </c>
      <c r="B234" s="796" t="s">
        <v>43</v>
      </c>
      <c r="C234" s="797">
        <f t="shared" ref="C234:X234" si="93">C231*C233</f>
        <v>4023629.7152343737</v>
      </c>
      <c r="D234" s="797">
        <f t="shared" si="93"/>
        <v>2083069.9927031244</v>
      </c>
      <c r="E234" s="797">
        <f t="shared" si="93"/>
        <v>2262326.884734374</v>
      </c>
      <c r="F234" s="797">
        <f t="shared" si="93"/>
        <v>2459227.1005781242</v>
      </c>
      <c r="G234" s="797">
        <f t="shared" si="93"/>
        <v>3472735.2278671865</v>
      </c>
      <c r="H234" s="797">
        <f t="shared" si="93"/>
        <v>2451607.499601562</v>
      </c>
      <c r="I234" s="797">
        <f t="shared" si="93"/>
        <v>3893660.9137265617</v>
      </c>
      <c r="J234" s="797">
        <f t="shared" si="93"/>
        <v>2714952.3191953115</v>
      </c>
      <c r="K234" s="797">
        <f t="shared" si="93"/>
        <v>2712227.2474687491</v>
      </c>
      <c r="L234" s="797">
        <f t="shared" si="93"/>
        <v>3582614.2034765617</v>
      </c>
      <c r="M234" s="797">
        <f t="shared" si="93"/>
        <v>2159454.7788984366</v>
      </c>
      <c r="N234" s="797">
        <f t="shared" si="93"/>
        <v>3427212.8000000003</v>
      </c>
      <c r="O234" s="797">
        <f t="shared" si="93"/>
        <v>3426441.6</v>
      </c>
      <c r="P234" s="797">
        <f t="shared" si="93"/>
        <v>2803312</v>
      </c>
      <c r="Q234" s="797">
        <f t="shared" si="93"/>
        <v>6116387.2000000002</v>
      </c>
      <c r="R234" s="797">
        <f t="shared" si="93"/>
        <v>3572198.4000000004</v>
      </c>
      <c r="S234" s="797">
        <f t="shared" si="93"/>
        <v>3908441.6</v>
      </c>
      <c r="T234" s="797">
        <f t="shared" si="93"/>
        <v>4270134.4000000004</v>
      </c>
      <c r="U234" s="797">
        <f t="shared" si="93"/>
        <v>6326924.8000000007</v>
      </c>
      <c r="V234" s="797">
        <f t="shared" si="93"/>
        <v>262087.5</v>
      </c>
      <c r="W234" s="797">
        <f t="shared" si="93"/>
        <v>251604</v>
      </c>
      <c r="X234" s="797">
        <f t="shared" si="93"/>
        <v>225395.25</v>
      </c>
    </row>
    <row r="235" spans="1:24" x14ac:dyDescent="0.25">
      <c r="A235" s="791">
        <v>14</v>
      </c>
      <c r="B235" s="796" t="s">
        <v>44</v>
      </c>
      <c r="C235" s="797">
        <v>50000</v>
      </c>
      <c r="D235" s="797">
        <v>50000</v>
      </c>
      <c r="E235" s="797">
        <v>50000</v>
      </c>
      <c r="F235" s="797">
        <v>50000</v>
      </c>
      <c r="G235" s="797">
        <v>50000</v>
      </c>
      <c r="H235" s="797">
        <v>50000</v>
      </c>
      <c r="I235" s="797">
        <v>50000</v>
      </c>
      <c r="J235" s="797">
        <v>50000</v>
      </c>
      <c r="K235" s="797">
        <v>50000</v>
      </c>
      <c r="L235" s="797">
        <v>50001</v>
      </c>
      <c r="M235" s="797">
        <v>50000</v>
      </c>
      <c r="N235" s="797">
        <f>'[16]Project Data'!$E$113</f>
        <v>100000</v>
      </c>
      <c r="O235" s="797">
        <f>'[16]Project Data'!$E$113</f>
        <v>100000</v>
      </c>
      <c r="P235" s="797">
        <f>'[16]Project Data'!$E$113</f>
        <v>100000</v>
      </c>
      <c r="Q235" s="797">
        <f>'[16]Project Data'!$E$113</f>
        <v>100000</v>
      </c>
      <c r="R235" s="797">
        <f>'[16]Project Data'!$E$113</f>
        <v>100000</v>
      </c>
      <c r="S235" s="797">
        <f>'[16]Project Data'!$E$113</f>
        <v>100000</v>
      </c>
      <c r="T235" s="797">
        <f>'[16]Project Data'!$E$113</f>
        <v>100000</v>
      </c>
      <c r="U235" s="797">
        <f>'[16]Project Data'!$E$113</f>
        <v>100000</v>
      </c>
      <c r="V235" s="797">
        <v>30000</v>
      </c>
      <c r="W235" s="797">
        <v>30000</v>
      </c>
      <c r="X235" s="797">
        <v>30000</v>
      </c>
    </row>
    <row r="236" spans="1:24" x14ac:dyDescent="0.25">
      <c r="A236" s="791">
        <v>15</v>
      </c>
      <c r="B236" s="796" t="s">
        <v>45</v>
      </c>
      <c r="C236" s="797">
        <f t="shared" ref="C236:X236" si="94">C234-C235</f>
        <v>3973629.7152343737</v>
      </c>
      <c r="D236" s="797">
        <f t="shared" si="94"/>
        <v>2033069.9927031244</v>
      </c>
      <c r="E236" s="797">
        <f t="shared" si="94"/>
        <v>2212326.884734374</v>
      </c>
      <c r="F236" s="797">
        <f t="shared" si="94"/>
        <v>2409227.1005781242</v>
      </c>
      <c r="G236" s="797">
        <f t="shared" si="94"/>
        <v>3422735.2278671865</v>
      </c>
      <c r="H236" s="797">
        <f t="shared" si="94"/>
        <v>2401607.499601562</v>
      </c>
      <c r="I236" s="797">
        <f t="shared" si="94"/>
        <v>3843660.9137265617</v>
      </c>
      <c r="J236" s="797">
        <f t="shared" si="94"/>
        <v>2664952.3191953115</v>
      </c>
      <c r="K236" s="797">
        <f t="shared" si="94"/>
        <v>2662227.2474687491</v>
      </c>
      <c r="L236" s="797">
        <f t="shared" si="94"/>
        <v>3532613.2034765617</v>
      </c>
      <c r="M236" s="797">
        <f t="shared" si="94"/>
        <v>2109454.7788984366</v>
      </c>
      <c r="N236" s="797">
        <f t="shared" si="94"/>
        <v>3327212.8000000003</v>
      </c>
      <c r="O236" s="797">
        <f t="shared" si="94"/>
        <v>3326441.6</v>
      </c>
      <c r="P236" s="797">
        <f t="shared" si="94"/>
        <v>2703312</v>
      </c>
      <c r="Q236" s="797">
        <f t="shared" si="94"/>
        <v>6016387.2000000002</v>
      </c>
      <c r="R236" s="797">
        <f t="shared" si="94"/>
        <v>3472198.4000000004</v>
      </c>
      <c r="S236" s="797">
        <f t="shared" si="94"/>
        <v>3808441.6</v>
      </c>
      <c r="T236" s="797">
        <f t="shared" si="94"/>
        <v>4170134.4000000004</v>
      </c>
      <c r="U236" s="797">
        <f t="shared" si="94"/>
        <v>6226924.8000000007</v>
      </c>
      <c r="V236" s="797">
        <f t="shared" si="94"/>
        <v>232087.5</v>
      </c>
      <c r="W236" s="797">
        <f t="shared" si="94"/>
        <v>221604</v>
      </c>
      <c r="X236" s="797">
        <f t="shared" si="94"/>
        <v>195395.25</v>
      </c>
    </row>
    <row r="237" spans="1:24" hidden="1" x14ac:dyDescent="0.25">
      <c r="A237" s="791">
        <v>18</v>
      </c>
      <c r="B237" s="796" t="s">
        <v>46</v>
      </c>
      <c r="C237" s="797">
        <f>'[16]Project Data'!$E$115</f>
        <v>34</v>
      </c>
      <c r="D237" s="797"/>
      <c r="E237" s="797"/>
      <c r="F237" s="797"/>
      <c r="G237" s="797"/>
      <c r="H237" s="797"/>
      <c r="I237" s="797"/>
      <c r="J237" s="797"/>
      <c r="K237" s="797"/>
      <c r="L237" s="797"/>
      <c r="M237" s="797"/>
      <c r="N237" s="797"/>
      <c r="O237" s="797"/>
      <c r="P237" s="797"/>
      <c r="Q237" s="797"/>
      <c r="R237" s="797"/>
      <c r="S237" s="797"/>
      <c r="T237" s="797"/>
      <c r="U237" s="797"/>
      <c r="V237" s="797"/>
      <c r="W237" s="797"/>
      <c r="X237" s="798">
        <f>'[16]Project Data'!$E$115</f>
        <v>34</v>
      </c>
    </row>
    <row r="238" spans="1:24" hidden="1" x14ac:dyDescent="0.25">
      <c r="A238" s="791">
        <v>19</v>
      </c>
      <c r="B238" s="796" t="s">
        <v>47</v>
      </c>
      <c r="C238" s="797">
        <f>C236/C237</f>
        <v>116871.4622127757</v>
      </c>
      <c r="D238" s="797"/>
      <c r="E238" s="797"/>
      <c r="F238" s="797"/>
      <c r="G238" s="797"/>
      <c r="H238" s="797"/>
      <c r="I238" s="797"/>
      <c r="J238" s="797"/>
      <c r="K238" s="797"/>
      <c r="L238" s="797"/>
      <c r="M238" s="797"/>
      <c r="N238" s="797"/>
      <c r="O238" s="797"/>
      <c r="P238" s="797"/>
      <c r="Q238" s="797"/>
      <c r="R238" s="797"/>
      <c r="S238" s="797"/>
      <c r="T238" s="797"/>
      <c r="U238" s="797"/>
      <c r="V238" s="797"/>
      <c r="W238" s="797"/>
      <c r="X238" s="798">
        <f>X236/X237</f>
        <v>5746.9191176470586</v>
      </c>
    </row>
    <row r="239" spans="1:24" hidden="1" x14ac:dyDescent="0.25">
      <c r="A239" s="791"/>
      <c r="B239" s="796"/>
      <c r="C239" s="797"/>
      <c r="D239" s="797"/>
      <c r="E239" s="797"/>
      <c r="F239" s="797"/>
      <c r="G239" s="797"/>
      <c r="H239" s="797"/>
      <c r="I239" s="797"/>
      <c r="J239" s="797"/>
      <c r="K239" s="797"/>
      <c r="L239" s="797"/>
      <c r="M239" s="797"/>
      <c r="N239" s="797"/>
      <c r="O239" s="797"/>
      <c r="P239" s="797"/>
      <c r="Q239" s="797"/>
      <c r="R239" s="797"/>
      <c r="S239" s="797"/>
      <c r="T239" s="797"/>
      <c r="U239" s="797"/>
      <c r="V239" s="797"/>
      <c r="W239" s="797"/>
      <c r="X239" s="798"/>
    </row>
    <row r="240" spans="1:24" hidden="1" x14ac:dyDescent="0.25">
      <c r="A240" s="791">
        <v>20</v>
      </c>
      <c r="B240" s="796" t="s">
        <v>48</v>
      </c>
      <c r="C240" s="797">
        <f>C231-C234</f>
        <v>12070889.145703122</v>
      </c>
      <c r="D240" s="797"/>
      <c r="E240" s="797"/>
      <c r="F240" s="797"/>
      <c r="G240" s="797"/>
      <c r="H240" s="797"/>
      <c r="I240" s="797"/>
      <c r="J240" s="797"/>
      <c r="K240" s="797"/>
      <c r="L240" s="797"/>
      <c r="M240" s="797"/>
      <c r="N240" s="797"/>
      <c r="O240" s="797"/>
      <c r="P240" s="797"/>
      <c r="Q240" s="797"/>
      <c r="R240" s="797"/>
      <c r="S240" s="797"/>
      <c r="T240" s="797"/>
      <c r="U240" s="797"/>
      <c r="V240" s="797"/>
      <c r="W240" s="797"/>
      <c r="X240" s="798">
        <f>X231-X234</f>
        <v>676185.75</v>
      </c>
    </row>
    <row r="241" spans="1:24" hidden="1" x14ac:dyDescent="0.25">
      <c r="A241" s="791">
        <v>21</v>
      </c>
      <c r="B241" s="796" t="s">
        <v>49</v>
      </c>
      <c r="C241" s="797">
        <f>C240*$AA$7</f>
        <v>0</v>
      </c>
      <c r="D241" s="797"/>
      <c r="E241" s="797"/>
      <c r="F241" s="797"/>
      <c r="G241" s="797"/>
      <c r="H241" s="797"/>
      <c r="I241" s="797"/>
      <c r="J241" s="797"/>
      <c r="K241" s="797"/>
      <c r="L241" s="797"/>
      <c r="M241" s="797"/>
      <c r="N241" s="797"/>
      <c r="O241" s="797"/>
      <c r="P241" s="797"/>
      <c r="Q241" s="797"/>
      <c r="R241" s="797"/>
      <c r="S241" s="797"/>
      <c r="T241" s="797"/>
      <c r="U241" s="797"/>
      <c r="V241" s="797"/>
      <c r="W241" s="797"/>
      <c r="X241" s="798">
        <f>X240*$AA$7</f>
        <v>0</v>
      </c>
    </row>
    <row r="242" spans="1:24" hidden="1" x14ac:dyDescent="0.25">
      <c r="A242" s="791">
        <v>22</v>
      </c>
      <c r="B242" s="796" t="s">
        <v>50</v>
      </c>
      <c r="C242" s="797">
        <f>C240*$AA$9</f>
        <v>0</v>
      </c>
      <c r="D242" s="797"/>
      <c r="E242" s="797"/>
      <c r="F242" s="797"/>
      <c r="G242" s="797"/>
      <c r="H242" s="797"/>
      <c r="I242" s="797"/>
      <c r="J242" s="797"/>
      <c r="K242" s="797"/>
      <c r="L242" s="797"/>
      <c r="M242" s="797"/>
      <c r="N242" s="797"/>
      <c r="O242" s="797"/>
      <c r="P242" s="797"/>
      <c r="Q242" s="797"/>
      <c r="R242" s="797"/>
      <c r="S242" s="797"/>
      <c r="T242" s="797"/>
      <c r="U242" s="797"/>
      <c r="V242" s="797"/>
      <c r="W242" s="797"/>
      <c r="X242" s="798">
        <f>X240*$AA$9</f>
        <v>0</v>
      </c>
    </row>
    <row r="243" spans="1:24" hidden="1" x14ac:dyDescent="0.25">
      <c r="A243" s="791">
        <v>23</v>
      </c>
      <c r="B243" s="796" t="s">
        <v>51</v>
      </c>
      <c r="C243" s="801">
        <f>C240*$AA$10</f>
        <v>0</v>
      </c>
      <c r="D243" s="801"/>
      <c r="E243" s="801"/>
      <c r="F243" s="801"/>
      <c r="G243" s="801"/>
      <c r="H243" s="801"/>
      <c r="I243" s="801"/>
      <c r="J243" s="801"/>
      <c r="K243" s="801"/>
      <c r="L243" s="801"/>
      <c r="M243" s="801"/>
      <c r="N243" s="801"/>
      <c r="O243" s="801"/>
      <c r="P243" s="801"/>
      <c r="Q243" s="801"/>
      <c r="R243" s="801"/>
      <c r="S243" s="801"/>
      <c r="T243" s="801"/>
      <c r="U243" s="801"/>
      <c r="V243" s="801"/>
      <c r="W243" s="801"/>
      <c r="X243" s="802">
        <f>X240*$AA$10</f>
        <v>0</v>
      </c>
    </row>
    <row r="244" spans="1:24" hidden="1" x14ac:dyDescent="0.25">
      <c r="A244" s="803">
        <f>A243+1</f>
        <v>24</v>
      </c>
      <c r="B244" s="804" t="s">
        <v>52</v>
      </c>
      <c r="C244" s="804" t="e">
        <f>'[17]Project Data'!E333*'[17]Project Data'!E327</f>
        <v>#REF!</v>
      </c>
      <c r="D244" s="804"/>
      <c r="E244" s="804"/>
      <c r="F244" s="804"/>
      <c r="G244" s="804"/>
      <c r="H244" s="804"/>
      <c r="I244" s="804"/>
      <c r="J244" s="804"/>
      <c r="K244" s="804"/>
      <c r="L244" s="804"/>
      <c r="M244" s="804"/>
      <c r="N244" s="804"/>
      <c r="O244" s="804"/>
      <c r="P244" s="804"/>
      <c r="Q244" s="804"/>
      <c r="R244" s="804"/>
      <c r="S244" s="804"/>
      <c r="T244" s="804"/>
      <c r="U244" s="804"/>
      <c r="V244" s="804"/>
      <c r="W244" s="804"/>
      <c r="X244" s="805"/>
    </row>
    <row r="245" spans="1:24" hidden="1" x14ac:dyDescent="0.25">
      <c r="A245" s="803">
        <f>A244+1</f>
        <v>25</v>
      </c>
      <c r="B245" s="804" t="s">
        <v>53</v>
      </c>
      <c r="C245" s="804" t="e">
        <f>C239+C243+C244</f>
        <v>#REF!</v>
      </c>
      <c r="D245" s="804"/>
      <c r="E245" s="804"/>
      <c r="F245" s="804"/>
      <c r="G245" s="804"/>
      <c r="H245" s="804"/>
      <c r="I245" s="804"/>
      <c r="J245" s="804"/>
      <c r="K245" s="804"/>
      <c r="L245" s="804"/>
      <c r="M245" s="804"/>
      <c r="N245" s="804"/>
      <c r="O245" s="804"/>
      <c r="P245" s="804"/>
      <c r="Q245" s="804"/>
      <c r="R245" s="804"/>
      <c r="S245" s="804"/>
      <c r="T245" s="804"/>
      <c r="U245" s="804"/>
      <c r="V245" s="804"/>
      <c r="W245" s="804"/>
      <c r="X245" s="805"/>
    </row>
    <row r="246" spans="1:24" hidden="1" x14ac:dyDescent="0.25">
      <c r="A246" s="803"/>
      <c r="B246" s="804"/>
      <c r="C246" s="804"/>
      <c r="D246" s="804"/>
      <c r="E246" s="804"/>
      <c r="F246" s="804"/>
      <c r="G246" s="804"/>
      <c r="H246" s="804"/>
      <c r="I246" s="804"/>
      <c r="J246" s="804"/>
      <c r="K246" s="804"/>
      <c r="L246" s="804"/>
      <c r="M246" s="804"/>
      <c r="N246" s="804"/>
      <c r="O246" s="804"/>
      <c r="P246" s="804"/>
      <c r="Q246" s="804"/>
      <c r="R246" s="804"/>
      <c r="S246" s="804"/>
      <c r="T246" s="804"/>
      <c r="U246" s="804"/>
      <c r="V246" s="804"/>
      <c r="W246" s="804"/>
      <c r="X246" s="805"/>
    </row>
    <row r="247" spans="1:24" hidden="1" x14ac:dyDescent="0.25">
      <c r="A247" s="803" t="s">
        <v>54</v>
      </c>
      <c r="B247" s="804"/>
      <c r="C247" s="806"/>
      <c r="D247" s="806"/>
      <c r="E247" s="806"/>
      <c r="F247" s="806"/>
      <c r="G247" s="806"/>
      <c r="H247" s="806"/>
      <c r="I247" s="806"/>
      <c r="J247" s="806"/>
      <c r="K247" s="806"/>
      <c r="L247" s="806"/>
      <c r="M247" s="806"/>
      <c r="N247" s="804"/>
      <c r="O247" s="804"/>
      <c r="P247" s="804"/>
      <c r="Q247" s="804"/>
      <c r="R247" s="804"/>
      <c r="S247" s="804"/>
      <c r="T247" s="804"/>
      <c r="U247" s="804"/>
      <c r="V247" s="804"/>
      <c r="W247" s="804"/>
      <c r="X247" s="805"/>
    </row>
    <row r="248" spans="1:24" hidden="1" x14ac:dyDescent="0.25">
      <c r="A248" s="803">
        <v>1</v>
      </c>
      <c r="B248" s="804" t="s">
        <v>55</v>
      </c>
      <c r="C248" s="804" t="e">
        <f>'[17]Project Data'!E295</f>
        <v>#REF!</v>
      </c>
      <c r="D248" s="804"/>
      <c r="E248" s="804"/>
      <c r="F248" s="804"/>
      <c r="G248" s="804"/>
      <c r="H248" s="804"/>
      <c r="I248" s="804"/>
      <c r="J248" s="804"/>
      <c r="K248" s="804"/>
      <c r="L248" s="804"/>
      <c r="M248" s="804"/>
      <c r="N248" s="804"/>
      <c r="O248" s="804"/>
      <c r="P248" s="804"/>
      <c r="Q248" s="804"/>
      <c r="R248" s="804"/>
      <c r="S248" s="804"/>
      <c r="T248" s="804"/>
      <c r="U248" s="804"/>
      <c r="V248" s="804"/>
      <c r="W248" s="804"/>
      <c r="X248" s="805"/>
    </row>
    <row r="249" spans="1:24" hidden="1" x14ac:dyDescent="0.25">
      <c r="A249" s="803">
        <f>A248+1</f>
        <v>2</v>
      </c>
      <c r="B249" s="804" t="s">
        <v>56</v>
      </c>
      <c r="C249" s="804" t="e">
        <f>'[17]Project Data'!E294</f>
        <v>#REF!</v>
      </c>
      <c r="D249" s="804"/>
      <c r="E249" s="804"/>
      <c r="F249" s="804"/>
      <c r="G249" s="804"/>
      <c r="H249" s="804"/>
      <c r="I249" s="804"/>
      <c r="J249" s="804"/>
      <c r="K249" s="804"/>
      <c r="L249" s="804"/>
      <c r="M249" s="804"/>
      <c r="N249" s="804"/>
      <c r="O249" s="804"/>
      <c r="P249" s="804"/>
      <c r="Q249" s="804"/>
      <c r="R249" s="804"/>
      <c r="S249" s="804"/>
      <c r="T249" s="804"/>
      <c r="U249" s="804"/>
      <c r="V249" s="804"/>
      <c r="W249" s="804"/>
      <c r="X249" s="805"/>
    </row>
    <row r="250" spans="1:24" hidden="1" x14ac:dyDescent="0.25">
      <c r="A250" s="803">
        <f t="shared" ref="A250:A256" si="95">A249+1</f>
        <v>3</v>
      </c>
      <c r="B250" s="804" t="s">
        <v>57</v>
      </c>
      <c r="C250" s="804" t="e">
        <f>C248*C251</f>
        <v>#REF!</v>
      </c>
      <c r="D250" s="804"/>
      <c r="E250" s="804"/>
      <c r="F250" s="804"/>
      <c r="G250" s="804"/>
      <c r="H250" s="804"/>
      <c r="I250" s="804"/>
      <c r="J250" s="804"/>
      <c r="K250" s="804"/>
      <c r="L250" s="804"/>
      <c r="M250" s="804"/>
      <c r="N250" s="804"/>
      <c r="O250" s="804"/>
      <c r="P250" s="804"/>
      <c r="Q250" s="804"/>
      <c r="R250" s="804"/>
      <c r="S250" s="804"/>
      <c r="T250" s="804"/>
      <c r="U250" s="804"/>
      <c r="V250" s="804"/>
      <c r="W250" s="804"/>
      <c r="X250" s="805"/>
    </row>
    <row r="251" spans="1:24" hidden="1" x14ac:dyDescent="0.25">
      <c r="A251" s="803">
        <f t="shared" si="95"/>
        <v>4</v>
      </c>
      <c r="B251" s="804" t="s">
        <v>58</v>
      </c>
      <c r="C251" s="804" t="e">
        <f>'[17]Project Data'!E298</f>
        <v>#REF!</v>
      </c>
      <c r="D251" s="804"/>
      <c r="E251" s="804"/>
      <c r="F251" s="804"/>
      <c r="G251" s="804"/>
      <c r="H251" s="804"/>
      <c r="I251" s="804"/>
      <c r="J251" s="804"/>
      <c r="K251" s="804"/>
      <c r="L251" s="804"/>
      <c r="M251" s="804"/>
      <c r="N251" s="804"/>
      <c r="O251" s="804"/>
      <c r="P251" s="804"/>
      <c r="Q251" s="804"/>
      <c r="R251" s="804"/>
      <c r="S251" s="804"/>
      <c r="T251" s="804"/>
      <c r="U251" s="804"/>
      <c r="V251" s="804"/>
      <c r="W251" s="804"/>
      <c r="X251" s="805"/>
    </row>
    <row r="252" spans="1:24" hidden="1" x14ac:dyDescent="0.25">
      <c r="A252" s="803">
        <f t="shared" si="95"/>
        <v>5</v>
      </c>
      <c r="B252" s="804" t="s">
        <v>59</v>
      </c>
      <c r="C252" s="804" t="e">
        <f>'[17]Project Data'!E330</f>
        <v>#REF!</v>
      </c>
      <c r="D252" s="804"/>
      <c r="E252" s="804"/>
      <c r="F252" s="804"/>
      <c r="G252" s="804"/>
      <c r="H252" s="804"/>
      <c r="I252" s="804"/>
      <c r="J252" s="804"/>
      <c r="K252" s="804"/>
      <c r="L252" s="804"/>
      <c r="M252" s="804"/>
      <c r="N252" s="804"/>
      <c r="O252" s="804"/>
      <c r="P252" s="804"/>
      <c r="Q252" s="804"/>
      <c r="R252" s="804"/>
      <c r="S252" s="804"/>
      <c r="T252" s="804"/>
      <c r="U252" s="804"/>
      <c r="V252" s="804"/>
      <c r="W252" s="804"/>
      <c r="X252" s="805"/>
    </row>
    <row r="253" spans="1:24" hidden="1" x14ac:dyDescent="0.25">
      <c r="A253" s="803">
        <f t="shared" si="95"/>
        <v>6</v>
      </c>
      <c r="B253" s="804" t="s">
        <v>60</v>
      </c>
      <c r="C253" s="804" t="e">
        <f>C252/C249</f>
        <v>#REF!</v>
      </c>
      <c r="D253" s="804"/>
      <c r="E253" s="804"/>
      <c r="F253" s="804"/>
      <c r="G253" s="804"/>
      <c r="H253" s="804"/>
      <c r="I253" s="804"/>
      <c r="J253" s="804"/>
      <c r="K253" s="804"/>
      <c r="L253" s="804"/>
      <c r="M253" s="804"/>
      <c r="N253" s="804"/>
      <c r="O253" s="804"/>
      <c r="P253" s="804"/>
      <c r="Q253" s="804"/>
      <c r="R253" s="804"/>
      <c r="S253" s="804"/>
      <c r="T253" s="804"/>
      <c r="U253" s="804"/>
      <c r="V253" s="804"/>
      <c r="W253" s="804"/>
      <c r="X253" s="805"/>
    </row>
    <row r="254" spans="1:24" hidden="1" x14ac:dyDescent="0.25">
      <c r="A254" s="803">
        <f t="shared" si="95"/>
        <v>7</v>
      </c>
      <c r="B254" s="804" t="s">
        <v>61</v>
      </c>
      <c r="C254" s="804" t="e">
        <f>C252*2</f>
        <v>#REF!</v>
      </c>
      <c r="D254" s="804"/>
      <c r="E254" s="804"/>
      <c r="F254" s="804"/>
      <c r="G254" s="804"/>
      <c r="H254" s="804"/>
      <c r="I254" s="804"/>
      <c r="J254" s="804"/>
      <c r="K254" s="804"/>
      <c r="L254" s="804"/>
      <c r="M254" s="804"/>
      <c r="N254" s="804"/>
      <c r="O254" s="804"/>
      <c r="P254" s="804"/>
      <c r="Q254" s="804"/>
      <c r="R254" s="804"/>
      <c r="S254" s="804"/>
      <c r="T254" s="804"/>
      <c r="U254" s="804"/>
      <c r="V254" s="804"/>
      <c r="W254" s="804"/>
      <c r="X254" s="805"/>
    </row>
    <row r="255" spans="1:24" hidden="1" x14ac:dyDescent="0.25">
      <c r="A255" s="803">
        <f t="shared" si="95"/>
        <v>8</v>
      </c>
      <c r="B255" s="804" t="s">
        <v>52</v>
      </c>
      <c r="C255" s="804" t="e">
        <f>'[17]Project Data'!E333*'[17]Project Data'!E330</f>
        <v>#REF!</v>
      </c>
      <c r="D255" s="804"/>
      <c r="E255" s="804"/>
      <c r="F255" s="804"/>
      <c r="G255" s="804"/>
      <c r="H255" s="804"/>
      <c r="I255" s="804"/>
      <c r="J255" s="804"/>
      <c r="K255" s="804"/>
      <c r="L255" s="804"/>
      <c r="M255" s="804"/>
      <c r="N255" s="804"/>
      <c r="O255" s="804"/>
      <c r="P255" s="804"/>
      <c r="Q255" s="804"/>
      <c r="R255" s="804"/>
      <c r="S255" s="804"/>
      <c r="T255" s="804"/>
      <c r="U255" s="804"/>
      <c r="V255" s="804"/>
      <c r="W255" s="804"/>
      <c r="X255" s="805"/>
    </row>
    <row r="256" spans="1:24" hidden="1" x14ac:dyDescent="0.25">
      <c r="A256" s="803">
        <f t="shared" si="95"/>
        <v>9</v>
      </c>
      <c r="B256" s="804" t="s">
        <v>53</v>
      </c>
      <c r="C256" s="804" t="e">
        <f>C250+C254+C255</f>
        <v>#REF!</v>
      </c>
      <c r="D256" s="804"/>
      <c r="E256" s="804"/>
      <c r="F256" s="804"/>
      <c r="G256" s="804"/>
      <c r="H256" s="804"/>
      <c r="I256" s="804"/>
      <c r="J256" s="804"/>
      <c r="K256" s="804"/>
      <c r="L256" s="804"/>
      <c r="M256" s="804"/>
      <c r="N256" s="804"/>
      <c r="O256" s="804"/>
      <c r="P256" s="804"/>
      <c r="Q256" s="804"/>
      <c r="R256" s="804"/>
      <c r="S256" s="804"/>
      <c r="T256" s="804"/>
      <c r="U256" s="804"/>
      <c r="V256" s="804"/>
      <c r="W256" s="804"/>
      <c r="X256" s="805"/>
    </row>
    <row r="257" spans="1:24" hidden="1" x14ac:dyDescent="0.25">
      <c r="A257" s="803"/>
      <c r="B257" s="804"/>
      <c r="C257" s="804"/>
      <c r="D257" s="804"/>
      <c r="E257" s="804"/>
      <c r="F257" s="804"/>
      <c r="G257" s="804"/>
      <c r="H257" s="804"/>
      <c r="I257" s="804"/>
      <c r="J257" s="804"/>
      <c r="K257" s="804"/>
      <c r="L257" s="804"/>
      <c r="M257" s="804"/>
      <c r="N257" s="804"/>
      <c r="O257" s="804"/>
      <c r="P257" s="804"/>
      <c r="Q257" s="804"/>
      <c r="R257" s="804"/>
      <c r="S257" s="804"/>
      <c r="T257" s="804"/>
      <c r="U257" s="804"/>
      <c r="V257" s="804"/>
      <c r="W257" s="804"/>
      <c r="X257" s="805"/>
    </row>
    <row r="258" spans="1:24" hidden="1" x14ac:dyDescent="0.25">
      <c r="A258" s="803"/>
      <c r="B258" s="804"/>
      <c r="C258" s="804"/>
      <c r="D258" s="804"/>
      <c r="E258" s="804"/>
      <c r="F258" s="804"/>
      <c r="G258" s="804"/>
      <c r="H258" s="804"/>
      <c r="I258" s="804"/>
      <c r="J258" s="804"/>
      <c r="K258" s="804"/>
      <c r="L258" s="804"/>
      <c r="M258" s="804"/>
      <c r="N258" s="804"/>
      <c r="O258" s="804"/>
      <c r="P258" s="804"/>
      <c r="Q258" s="804"/>
      <c r="R258" s="804"/>
      <c r="S258" s="804"/>
      <c r="T258" s="804"/>
      <c r="U258" s="804"/>
      <c r="V258" s="804"/>
      <c r="W258" s="804"/>
      <c r="X258" s="805"/>
    </row>
    <row r="259" spans="1:24" s="789" customFormat="1" x14ac:dyDescent="0.25">
      <c r="A259" s="803">
        <v>16</v>
      </c>
      <c r="B259" s="804" t="s">
        <v>62</v>
      </c>
      <c r="C259" s="804">
        <f>C236/43</f>
        <v>92409.993377543578</v>
      </c>
      <c r="D259" s="804">
        <f t="shared" ref="D259:X259" si="96">D236/43</f>
        <v>47280.697504723823</v>
      </c>
      <c r="E259" s="804">
        <f t="shared" si="96"/>
        <v>51449.462435683119</v>
      </c>
      <c r="F259" s="804">
        <f t="shared" si="96"/>
        <v>56028.537222747073</v>
      </c>
      <c r="G259" s="804">
        <f t="shared" si="96"/>
        <v>79598.493671329925</v>
      </c>
      <c r="H259" s="804">
        <f t="shared" si="96"/>
        <v>55851.337200036323</v>
      </c>
      <c r="I259" s="804">
        <f t="shared" si="96"/>
        <v>89387.463109920034</v>
      </c>
      <c r="J259" s="804">
        <f t="shared" si="96"/>
        <v>61975.635330123521</v>
      </c>
      <c r="K259" s="804">
        <f t="shared" si="96"/>
        <v>61912.261569040675</v>
      </c>
      <c r="L259" s="804">
        <f t="shared" si="96"/>
        <v>82153.795429687481</v>
      </c>
      <c r="M259" s="804">
        <f t="shared" si="96"/>
        <v>49057.087881358988</v>
      </c>
      <c r="N259" s="804">
        <f t="shared" si="96"/>
        <v>77377.04186046512</v>
      </c>
      <c r="O259" s="804">
        <f t="shared" si="96"/>
        <v>77359.106976744195</v>
      </c>
      <c r="P259" s="804">
        <f t="shared" si="96"/>
        <v>62867.720930232557</v>
      </c>
      <c r="Q259" s="804">
        <f t="shared" si="96"/>
        <v>139915.98139534885</v>
      </c>
      <c r="R259" s="804">
        <f t="shared" si="96"/>
        <v>80748.800000000003</v>
      </c>
      <c r="S259" s="804">
        <f t="shared" si="96"/>
        <v>88568.409302325585</v>
      </c>
      <c r="T259" s="804">
        <f t="shared" si="96"/>
        <v>96979.869767441865</v>
      </c>
      <c r="U259" s="804">
        <f t="shared" si="96"/>
        <v>144812.20465116281</v>
      </c>
      <c r="V259" s="804">
        <f t="shared" si="96"/>
        <v>5397.3837209302328</v>
      </c>
      <c r="W259" s="804">
        <f t="shared" si="96"/>
        <v>5153.5813953488368</v>
      </c>
      <c r="X259" s="804">
        <f t="shared" si="96"/>
        <v>4544.0755813953492</v>
      </c>
    </row>
    <row r="260" spans="1:24" x14ac:dyDescent="0.25">
      <c r="A260" s="803"/>
      <c r="B260" s="804"/>
      <c r="C260" s="804"/>
      <c r="D260" s="804"/>
      <c r="E260" s="804"/>
      <c r="F260" s="804"/>
      <c r="G260" s="804"/>
      <c r="H260" s="804"/>
      <c r="I260" s="804"/>
      <c r="J260" s="804"/>
      <c r="K260" s="804"/>
      <c r="L260" s="804"/>
      <c r="M260" s="804"/>
      <c r="N260" s="804"/>
      <c r="O260" s="804"/>
      <c r="P260" s="804"/>
      <c r="Q260" s="804"/>
      <c r="R260" s="804"/>
      <c r="S260" s="804"/>
      <c r="T260" s="804"/>
      <c r="U260" s="804"/>
      <c r="V260" s="804"/>
      <c r="W260" s="804"/>
      <c r="X260" s="805"/>
    </row>
    <row r="261" spans="1:24" x14ac:dyDescent="0.25">
      <c r="A261" s="803">
        <v>17</v>
      </c>
      <c r="B261" s="807" t="s">
        <v>63</v>
      </c>
      <c r="C261" s="804">
        <f>C231-C234</f>
        <v>12070889.145703122</v>
      </c>
      <c r="D261" s="804">
        <f t="shared" ref="D261:X261" si="97">D231-D234</f>
        <v>6249209.9781093728</v>
      </c>
      <c r="E261" s="804">
        <f t="shared" si="97"/>
        <v>6786980.6542031225</v>
      </c>
      <c r="F261" s="804">
        <f t="shared" si="97"/>
        <v>7377681.301734373</v>
      </c>
      <c r="G261" s="804">
        <f t="shared" si="97"/>
        <v>10418205.68360156</v>
      </c>
      <c r="H261" s="804">
        <f t="shared" si="97"/>
        <v>7354822.4988046866</v>
      </c>
      <c r="I261" s="804">
        <f t="shared" si="97"/>
        <v>11680982.741179686</v>
      </c>
      <c r="J261" s="804">
        <f t="shared" si="97"/>
        <v>8144856.9575859345</v>
      </c>
      <c r="K261" s="804">
        <f t="shared" si="97"/>
        <v>8136681.7424062472</v>
      </c>
      <c r="L261" s="804">
        <f t="shared" si="97"/>
        <v>10747842.610429686</v>
      </c>
      <c r="M261" s="804">
        <f t="shared" si="97"/>
        <v>6478364.3366953097</v>
      </c>
      <c r="N261" s="804">
        <f t="shared" si="97"/>
        <v>5140819.1999999993</v>
      </c>
      <c r="O261" s="804">
        <f t="shared" si="97"/>
        <v>5139662.4000000004</v>
      </c>
      <c r="P261" s="804">
        <f t="shared" si="97"/>
        <v>4204968</v>
      </c>
      <c r="Q261" s="804">
        <f t="shared" si="97"/>
        <v>9174580.8000000007</v>
      </c>
      <c r="R261" s="804">
        <f t="shared" si="97"/>
        <v>5358297.5999999996</v>
      </c>
      <c r="S261" s="804">
        <f t="shared" si="97"/>
        <v>5862662.4000000004</v>
      </c>
      <c r="T261" s="804">
        <f t="shared" si="97"/>
        <v>6405201.5999999996</v>
      </c>
      <c r="U261" s="804">
        <f t="shared" si="97"/>
        <v>9490387.2000000011</v>
      </c>
      <c r="V261" s="804">
        <f t="shared" si="97"/>
        <v>786262.5</v>
      </c>
      <c r="W261" s="804">
        <f t="shared" si="97"/>
        <v>754812</v>
      </c>
      <c r="X261" s="804">
        <f t="shared" si="97"/>
        <v>676185.75</v>
      </c>
    </row>
    <row r="262" spans="1:24" hidden="1" x14ac:dyDescent="0.25">
      <c r="A262" s="803">
        <v>18</v>
      </c>
      <c r="B262" s="804" t="s">
        <v>64</v>
      </c>
      <c r="C262" s="804">
        <v>69820.214423232668</v>
      </c>
      <c r="D262" s="804">
        <v>73795.417969823291</v>
      </c>
      <c r="E262" s="804">
        <v>78474.428045974215</v>
      </c>
      <c r="F262" s="804">
        <v>78852.398219256604</v>
      </c>
      <c r="G262" s="804"/>
      <c r="H262" s="804"/>
      <c r="I262" s="804"/>
      <c r="J262" s="804"/>
      <c r="K262" s="804"/>
      <c r="L262" s="804"/>
      <c r="M262" s="804"/>
      <c r="N262" s="804">
        <v>127975.48729171579</v>
      </c>
      <c r="O262" s="804">
        <v>69820.214423232668</v>
      </c>
      <c r="P262" s="804">
        <v>73795.417969823291</v>
      </c>
      <c r="Q262" s="804">
        <v>78852.398219256604</v>
      </c>
      <c r="R262" s="804">
        <v>143016.09349750457</v>
      </c>
      <c r="S262" s="804"/>
      <c r="T262" s="804"/>
      <c r="U262" s="804"/>
      <c r="V262" s="804">
        <v>10861.211875930661</v>
      </c>
      <c r="W262" s="804"/>
      <c r="X262" s="805">
        <v>11730.108826005115</v>
      </c>
    </row>
    <row r="263" spans="1:24" ht="15.75" thickBot="1" x14ac:dyDescent="0.3">
      <c r="A263" s="808">
        <v>19</v>
      </c>
      <c r="B263" s="809" t="s">
        <v>65</v>
      </c>
      <c r="C263" s="809">
        <f>C261*$B264</f>
        <v>108496.53149054045</v>
      </c>
      <c r="D263" s="809">
        <f t="shared" ref="D263:X263" si="98">D261*$B264</f>
        <v>56169.649062040909</v>
      </c>
      <c r="E263" s="809">
        <f t="shared" si="98"/>
        <v>61003.282474560838</v>
      </c>
      <c r="F263" s="809">
        <f t="shared" si="98"/>
        <v>66312.665290753022</v>
      </c>
      <c r="G263" s="809">
        <f t="shared" si="98"/>
        <v>93641.749781802224</v>
      </c>
      <c r="H263" s="809">
        <f t="shared" si="98"/>
        <v>66107.203969556183</v>
      </c>
      <c r="I263" s="809">
        <f t="shared" si="98"/>
        <v>104991.94355289055</v>
      </c>
      <c r="J263" s="809">
        <f t="shared" si="98"/>
        <v>73208.254894730504</v>
      </c>
      <c r="K263" s="809">
        <f t="shared" si="98"/>
        <v>73134.773771635213</v>
      </c>
      <c r="L263" s="809">
        <f t="shared" si="98"/>
        <v>96604.618778472926</v>
      </c>
      <c r="M263" s="809">
        <f t="shared" si="98"/>
        <v>58229.352600231716</v>
      </c>
      <c r="N263" s="809">
        <f t="shared" si="98"/>
        <v>46207.122398975989</v>
      </c>
      <c r="O263" s="809">
        <f t="shared" si="98"/>
        <v>46196.724756672003</v>
      </c>
      <c r="P263" s="809">
        <f t="shared" si="98"/>
        <v>37795.42977504</v>
      </c>
      <c r="Q263" s="809">
        <f t="shared" si="98"/>
        <v>82463.701113023999</v>
      </c>
      <c r="R263" s="809">
        <f t="shared" si="98"/>
        <v>48161.879152127993</v>
      </c>
      <c r="S263" s="809">
        <f t="shared" si="98"/>
        <v>52695.251196671998</v>
      </c>
      <c r="T263" s="809">
        <f t="shared" si="98"/>
        <v>57571.745437247992</v>
      </c>
      <c r="U263" s="809">
        <f t="shared" si="98"/>
        <v>85302.257462016001</v>
      </c>
      <c r="V263" s="809">
        <f t="shared" si="98"/>
        <v>7067.1475034999994</v>
      </c>
      <c r="W263" s="809">
        <f t="shared" si="98"/>
        <v>6784.4616033599996</v>
      </c>
      <c r="X263" s="809">
        <f t="shared" si="98"/>
        <v>6077.7468530099995</v>
      </c>
    </row>
    <row r="264" spans="1:24" x14ac:dyDescent="0.25">
      <c r="B264" s="810">
        <v>8.9882799999999995E-3</v>
      </c>
      <c r="C264" s="789">
        <f>C261*B264</f>
        <v>108496.53149054045</v>
      </c>
    </row>
    <row r="265" spans="1:24" x14ac:dyDescent="0.25">
      <c r="B265" s="810"/>
    </row>
    <row r="266" spans="1:24" x14ac:dyDescent="0.25">
      <c r="B266" s="810"/>
    </row>
    <row r="267" spans="1:24" ht="15.75" thickBot="1" x14ac:dyDescent="0.3"/>
    <row r="268" spans="1:24" x14ac:dyDescent="0.25">
      <c r="A268" s="990" t="s">
        <v>70</v>
      </c>
      <c r="B268" s="991"/>
      <c r="C268" s="991"/>
      <c r="D268" s="991"/>
      <c r="E268" s="991"/>
      <c r="F268" s="991"/>
      <c r="G268" s="991"/>
      <c r="H268" s="991"/>
      <c r="I268" s="991"/>
      <c r="J268" s="991"/>
      <c r="K268" s="991"/>
      <c r="L268" s="991"/>
      <c r="M268" s="991"/>
      <c r="N268" s="991"/>
      <c r="O268" s="991"/>
      <c r="P268" s="991"/>
      <c r="Q268" s="991"/>
      <c r="R268" s="991"/>
      <c r="S268" s="991"/>
      <c r="T268" s="991"/>
      <c r="U268" s="991"/>
      <c r="V268" s="991"/>
      <c r="W268" s="991"/>
      <c r="X268" s="992"/>
    </row>
    <row r="269" spans="1:24" x14ac:dyDescent="0.25">
      <c r="A269" s="791"/>
      <c r="B269" s="792" t="s">
        <v>6</v>
      </c>
      <c r="C269" s="793" t="str">
        <f t="shared" ref="C269:X273" si="99">C7</f>
        <v>1BR, Fully Fitted</v>
      </c>
      <c r="D269" s="794" t="str">
        <f t="shared" si="99"/>
        <v>1BR, Fully Fitted</v>
      </c>
      <c r="E269" s="794" t="str">
        <f t="shared" si="99"/>
        <v>1BR, Fully Fitted</v>
      </c>
      <c r="F269" s="794" t="str">
        <f t="shared" si="99"/>
        <v>1BR, Fully Fitted</v>
      </c>
      <c r="G269" s="794" t="str">
        <f t="shared" si="99"/>
        <v>1BR, Fully Fitted</v>
      </c>
      <c r="H269" s="794" t="str">
        <f t="shared" si="99"/>
        <v>1BR, Fully Fitted</v>
      </c>
      <c r="I269" s="794" t="str">
        <f t="shared" si="99"/>
        <v>1BR, Fully Fitted</v>
      </c>
      <c r="J269" s="794" t="str">
        <f t="shared" si="99"/>
        <v>1BR, Fully Fitted</v>
      </c>
      <c r="K269" s="794" t="str">
        <f t="shared" si="99"/>
        <v>1BR, Fully Fitted</v>
      </c>
      <c r="L269" s="794" t="str">
        <f t="shared" si="99"/>
        <v>1BR, Fully Fitted</v>
      </c>
      <c r="M269" s="794" t="str">
        <f t="shared" si="99"/>
        <v>1BR, Fully Fitted</v>
      </c>
      <c r="N269" s="794" t="str">
        <f t="shared" si="99"/>
        <v>Commercial Unit 1</v>
      </c>
      <c r="O269" s="794" t="str">
        <f t="shared" si="99"/>
        <v>Commercial Unit 2</v>
      </c>
      <c r="P269" s="794" t="str">
        <f t="shared" si="99"/>
        <v>Commercial Unit 3</v>
      </c>
      <c r="Q269" s="794" t="str">
        <f t="shared" si="99"/>
        <v>Commercial Unit 4</v>
      </c>
      <c r="R269" s="794" t="str">
        <f t="shared" si="99"/>
        <v>Commercial Unit 5</v>
      </c>
      <c r="S269" s="794" t="str">
        <f t="shared" si="99"/>
        <v>Commercial Unit 6</v>
      </c>
      <c r="T269" s="794" t="str">
        <f t="shared" si="99"/>
        <v>Commercial Unit 7</v>
      </c>
      <c r="U269" s="794" t="str">
        <f t="shared" si="99"/>
        <v>Commercial Unit 8</v>
      </c>
      <c r="V269" s="794" t="str">
        <f t="shared" si="99"/>
        <v>Parking Slot - Regular</v>
      </c>
      <c r="W269" s="794" t="str">
        <f t="shared" si="99"/>
        <v>Parking Slot - Parallel</v>
      </c>
      <c r="X269" s="795" t="str">
        <f t="shared" si="99"/>
        <v>Parking Slot - Small</v>
      </c>
    </row>
    <row r="270" spans="1:24" x14ac:dyDescent="0.25">
      <c r="A270" s="791"/>
      <c r="B270" s="792"/>
      <c r="C270" s="793" t="str">
        <f t="shared" si="99"/>
        <v>Unit A</v>
      </c>
      <c r="D270" s="794" t="str">
        <f t="shared" si="99"/>
        <v>Unit  B</v>
      </c>
      <c r="E270" s="794" t="str">
        <f t="shared" si="99"/>
        <v>Unit C</v>
      </c>
      <c r="F270" s="794" t="str">
        <f t="shared" si="99"/>
        <v>Unit D</v>
      </c>
      <c r="G270" s="794" t="str">
        <f t="shared" si="99"/>
        <v>Unit E</v>
      </c>
      <c r="H270" s="794" t="str">
        <f t="shared" si="99"/>
        <v>Unit F</v>
      </c>
      <c r="I270" s="794" t="str">
        <f t="shared" si="99"/>
        <v>Unit G</v>
      </c>
      <c r="J270" s="794" t="str">
        <f t="shared" si="99"/>
        <v>Unit H</v>
      </c>
      <c r="K270" s="794" t="str">
        <f t="shared" si="99"/>
        <v>Unit I to K</v>
      </c>
      <c r="L270" s="794" t="str">
        <f t="shared" si="99"/>
        <v>Unit L</v>
      </c>
      <c r="M270" s="794" t="str">
        <f t="shared" si="99"/>
        <v>Unit M</v>
      </c>
      <c r="N270" s="794">
        <f t="shared" si="99"/>
        <v>0</v>
      </c>
      <c r="O270" s="794">
        <f t="shared" si="99"/>
        <v>0</v>
      </c>
      <c r="P270" s="794">
        <f t="shared" si="99"/>
        <v>0</v>
      </c>
      <c r="Q270" s="794">
        <f t="shared" si="99"/>
        <v>0</v>
      </c>
      <c r="R270" s="794">
        <f t="shared" si="99"/>
        <v>0</v>
      </c>
      <c r="S270" s="794">
        <f t="shared" si="99"/>
        <v>0</v>
      </c>
      <c r="T270" s="794">
        <f t="shared" si="99"/>
        <v>0</v>
      </c>
      <c r="U270" s="794">
        <f t="shared" si="99"/>
        <v>0</v>
      </c>
      <c r="V270" s="794">
        <f t="shared" si="99"/>
        <v>0</v>
      </c>
      <c r="W270" s="794">
        <f t="shared" si="99"/>
        <v>0</v>
      </c>
      <c r="X270" s="795">
        <f t="shared" si="99"/>
        <v>0</v>
      </c>
    </row>
    <row r="271" spans="1:24" x14ac:dyDescent="0.25">
      <c r="A271" s="791">
        <v>1</v>
      </c>
      <c r="B271" s="796" t="s">
        <v>30</v>
      </c>
      <c r="C271" s="797">
        <f t="shared" si="99"/>
        <v>98.5</v>
      </c>
      <c r="D271" s="797">
        <f t="shared" si="99"/>
        <v>51.02</v>
      </c>
      <c r="E271" s="797">
        <f t="shared" si="99"/>
        <v>55.62</v>
      </c>
      <c r="F271" s="797">
        <f t="shared" si="99"/>
        <v>60.78</v>
      </c>
      <c r="G271" s="797">
        <f t="shared" si="99"/>
        <v>83.49</v>
      </c>
      <c r="H271" s="797">
        <f t="shared" si="99"/>
        <v>61.03</v>
      </c>
      <c r="I271" s="797">
        <f t="shared" si="99"/>
        <v>94.79</v>
      </c>
      <c r="J271" s="797">
        <f t="shared" si="99"/>
        <v>67.790000000000006</v>
      </c>
      <c r="K271" s="797">
        <f t="shared" si="99"/>
        <v>67.72</v>
      </c>
      <c r="L271" s="797">
        <f t="shared" si="99"/>
        <v>86.15</v>
      </c>
      <c r="M271" s="797">
        <f t="shared" si="99"/>
        <v>53.53</v>
      </c>
      <c r="N271" s="797">
        <f t="shared" si="99"/>
        <v>44.44</v>
      </c>
      <c r="O271" s="797">
        <f t="shared" si="99"/>
        <v>44.43</v>
      </c>
      <c r="P271" s="797">
        <f t="shared" si="99"/>
        <v>36.35</v>
      </c>
      <c r="Q271" s="797">
        <f t="shared" si="99"/>
        <v>79.31</v>
      </c>
      <c r="R271" s="797">
        <f t="shared" si="99"/>
        <v>46.32</v>
      </c>
      <c r="S271" s="797">
        <f t="shared" si="99"/>
        <v>50.68</v>
      </c>
      <c r="T271" s="797">
        <f t="shared" si="99"/>
        <v>55.37</v>
      </c>
      <c r="U271" s="797">
        <f t="shared" si="99"/>
        <v>82.04</v>
      </c>
      <c r="V271" s="797">
        <f t="shared" si="99"/>
        <v>12.5</v>
      </c>
      <c r="W271" s="797">
        <f t="shared" si="99"/>
        <v>12</v>
      </c>
      <c r="X271" s="798">
        <f t="shared" si="99"/>
        <v>10.75</v>
      </c>
    </row>
    <row r="272" spans="1:24" x14ac:dyDescent="0.25">
      <c r="A272" s="791">
        <v>2</v>
      </c>
      <c r="B272" s="796" t="s">
        <v>31</v>
      </c>
      <c r="C272" s="797">
        <f t="shared" si="99"/>
        <v>10.46</v>
      </c>
      <c r="D272" s="797">
        <f t="shared" si="99"/>
        <v>5.36</v>
      </c>
      <c r="E272" s="797">
        <f t="shared" si="99"/>
        <v>5.37</v>
      </c>
      <c r="F272" s="797">
        <f t="shared" si="99"/>
        <v>5.15</v>
      </c>
      <c r="G272" s="797">
        <f t="shared" si="99"/>
        <v>12.309999999999999</v>
      </c>
      <c r="H272" s="797">
        <f t="shared" si="99"/>
        <v>4.1900000000000004</v>
      </c>
      <c r="I272" s="797">
        <f t="shared" si="99"/>
        <v>11.260000000000002</v>
      </c>
      <c r="J272" s="797">
        <f t="shared" si="99"/>
        <v>4.2</v>
      </c>
      <c r="K272" s="797">
        <f t="shared" si="99"/>
        <v>4.2</v>
      </c>
      <c r="L272" s="797">
        <f t="shared" si="99"/>
        <v>12.66</v>
      </c>
      <c r="M272" s="797">
        <f t="shared" si="99"/>
        <v>4.18</v>
      </c>
      <c r="N272" s="797">
        <f t="shared" si="99"/>
        <v>0</v>
      </c>
      <c r="O272" s="797">
        <f t="shared" si="99"/>
        <v>0</v>
      </c>
      <c r="P272" s="797">
        <f t="shared" si="99"/>
        <v>0</v>
      </c>
      <c r="Q272" s="797">
        <f t="shared" si="99"/>
        <v>0</v>
      </c>
      <c r="R272" s="797">
        <f t="shared" si="99"/>
        <v>0</v>
      </c>
      <c r="S272" s="797">
        <f t="shared" si="99"/>
        <v>0</v>
      </c>
      <c r="T272" s="797">
        <f t="shared" si="99"/>
        <v>0</v>
      </c>
      <c r="U272" s="797">
        <f t="shared" si="99"/>
        <v>0</v>
      </c>
      <c r="V272" s="797">
        <f t="shared" si="99"/>
        <v>0</v>
      </c>
      <c r="W272" s="797">
        <f t="shared" si="99"/>
        <v>0</v>
      </c>
      <c r="X272" s="798">
        <f t="shared" si="99"/>
        <v>0</v>
      </c>
    </row>
    <row r="273" spans="1:24" x14ac:dyDescent="0.25">
      <c r="A273" s="791">
        <v>3</v>
      </c>
      <c r="B273" s="796" t="s">
        <v>32</v>
      </c>
      <c r="C273" s="797">
        <f t="shared" si="99"/>
        <v>108.96000000000001</v>
      </c>
      <c r="D273" s="797">
        <f t="shared" si="99"/>
        <v>56.38</v>
      </c>
      <c r="E273" s="797">
        <f t="shared" si="99"/>
        <v>60.989999999999995</v>
      </c>
      <c r="F273" s="797">
        <f t="shared" si="99"/>
        <v>65.930000000000007</v>
      </c>
      <c r="G273" s="797">
        <f t="shared" si="99"/>
        <v>95.8</v>
      </c>
      <c r="H273" s="797">
        <f t="shared" si="99"/>
        <v>65.22</v>
      </c>
      <c r="I273" s="797">
        <f t="shared" si="99"/>
        <v>106.05000000000001</v>
      </c>
      <c r="J273" s="797">
        <f t="shared" si="99"/>
        <v>71.990000000000009</v>
      </c>
      <c r="K273" s="797">
        <f t="shared" si="99"/>
        <v>71.92</v>
      </c>
      <c r="L273" s="797">
        <f t="shared" si="99"/>
        <v>98.81</v>
      </c>
      <c r="M273" s="797">
        <f t="shared" si="99"/>
        <v>57.71</v>
      </c>
      <c r="N273" s="797">
        <f t="shared" si="99"/>
        <v>44.44</v>
      </c>
      <c r="O273" s="797">
        <f t="shared" si="99"/>
        <v>44.43</v>
      </c>
      <c r="P273" s="797">
        <f t="shared" si="99"/>
        <v>36.35</v>
      </c>
      <c r="Q273" s="797">
        <f t="shared" si="99"/>
        <v>79.31</v>
      </c>
      <c r="R273" s="797">
        <f t="shared" si="99"/>
        <v>46.32</v>
      </c>
      <c r="S273" s="797">
        <f t="shared" si="99"/>
        <v>50.68</v>
      </c>
      <c r="T273" s="797">
        <f t="shared" si="99"/>
        <v>55.37</v>
      </c>
      <c r="U273" s="797">
        <f t="shared" si="99"/>
        <v>82.04</v>
      </c>
      <c r="V273" s="797">
        <f t="shared" si="99"/>
        <v>12.5</v>
      </c>
      <c r="W273" s="797">
        <f t="shared" si="99"/>
        <v>12</v>
      </c>
      <c r="X273" s="798">
        <f t="shared" si="99"/>
        <v>10.75</v>
      </c>
    </row>
    <row r="274" spans="1:24" x14ac:dyDescent="0.25">
      <c r="A274" s="791"/>
      <c r="B274" s="796"/>
      <c r="C274" s="797"/>
      <c r="D274" s="797"/>
      <c r="E274" s="797"/>
      <c r="F274" s="797"/>
      <c r="G274" s="797"/>
      <c r="H274" s="797"/>
      <c r="I274" s="797"/>
      <c r="J274" s="797"/>
      <c r="K274" s="797"/>
      <c r="L274" s="797"/>
      <c r="M274" s="797"/>
      <c r="N274" s="797"/>
      <c r="O274" s="797"/>
      <c r="P274" s="797"/>
      <c r="Q274" s="797"/>
      <c r="R274" s="797"/>
      <c r="S274" s="797"/>
      <c r="T274" s="797"/>
      <c r="U274" s="797"/>
      <c r="V274" s="797"/>
      <c r="W274" s="797"/>
      <c r="X274" s="798"/>
    </row>
    <row r="275" spans="1:24" x14ac:dyDescent="0.25">
      <c r="A275" s="791">
        <v>4</v>
      </c>
      <c r="B275" s="796" t="s">
        <v>33</v>
      </c>
      <c r="C275" s="797">
        <f>'[15]Priority Selling List'!O16</f>
        <v>135300</v>
      </c>
      <c r="D275" s="797">
        <f t="shared" ref="D275:M275" si="100">$C$275</f>
        <v>135300</v>
      </c>
      <c r="E275" s="797">
        <f t="shared" si="100"/>
        <v>135300</v>
      </c>
      <c r="F275" s="797">
        <f t="shared" si="100"/>
        <v>135300</v>
      </c>
      <c r="G275" s="797">
        <f t="shared" si="100"/>
        <v>135300</v>
      </c>
      <c r="H275" s="797">
        <f t="shared" si="100"/>
        <v>135300</v>
      </c>
      <c r="I275" s="797">
        <f t="shared" si="100"/>
        <v>135300</v>
      </c>
      <c r="J275" s="797">
        <f t="shared" si="100"/>
        <v>135300</v>
      </c>
      <c r="K275" s="797">
        <f t="shared" si="100"/>
        <v>135300</v>
      </c>
      <c r="L275" s="797">
        <f t="shared" si="100"/>
        <v>135300</v>
      </c>
      <c r="M275" s="797">
        <f t="shared" si="100"/>
        <v>135300</v>
      </c>
      <c r="N275" s="797">
        <v>160000</v>
      </c>
      <c r="O275" s="797">
        <v>160000</v>
      </c>
      <c r="P275" s="797">
        <v>160000</v>
      </c>
      <c r="Q275" s="797">
        <v>160000</v>
      </c>
      <c r="R275" s="797">
        <v>160000</v>
      </c>
      <c r="S275" s="797">
        <v>160000</v>
      </c>
      <c r="T275" s="797">
        <v>160000</v>
      </c>
      <c r="U275" s="797">
        <v>160000</v>
      </c>
      <c r="V275" s="797">
        <f t="shared" ref="V275:X275" si="101">V221</f>
        <v>69600</v>
      </c>
      <c r="W275" s="797">
        <f t="shared" si="101"/>
        <v>69600</v>
      </c>
      <c r="X275" s="798">
        <f t="shared" si="101"/>
        <v>69600</v>
      </c>
    </row>
    <row r="276" spans="1:24" x14ac:dyDescent="0.25">
      <c r="A276" s="791">
        <v>5</v>
      </c>
      <c r="B276" s="796" t="s">
        <v>34</v>
      </c>
      <c r="C276" s="797">
        <f>C271*C275</f>
        <v>13327050</v>
      </c>
      <c r="D276" s="797">
        <f t="shared" ref="D276:G276" si="102">D271*D275</f>
        <v>6903006</v>
      </c>
      <c r="E276" s="797">
        <f t="shared" si="102"/>
        <v>7525386</v>
      </c>
      <c r="F276" s="797">
        <f t="shared" si="102"/>
        <v>8223534</v>
      </c>
      <c r="G276" s="797">
        <f t="shared" si="102"/>
        <v>11296197</v>
      </c>
      <c r="H276" s="797">
        <f>H275*H271</f>
        <v>8257359</v>
      </c>
      <c r="I276" s="797">
        <f t="shared" ref="I276:M276" si="103">I275*I271</f>
        <v>12825087</v>
      </c>
      <c r="J276" s="797">
        <f t="shared" si="103"/>
        <v>9171987</v>
      </c>
      <c r="K276" s="797">
        <f t="shared" si="103"/>
        <v>9162516</v>
      </c>
      <c r="L276" s="797">
        <f t="shared" si="103"/>
        <v>11656095</v>
      </c>
      <c r="M276" s="797">
        <f t="shared" si="103"/>
        <v>7242609</v>
      </c>
      <c r="N276" s="797">
        <f>N275*N273</f>
        <v>7110400</v>
      </c>
      <c r="O276" s="797">
        <f>O275*O273</f>
        <v>7108800</v>
      </c>
      <c r="P276" s="797">
        <f>P275*P273</f>
        <v>5816000</v>
      </c>
      <c r="Q276" s="797">
        <f>Q275*Q273</f>
        <v>12689600</v>
      </c>
      <c r="R276" s="797">
        <f>R275*R273</f>
        <v>7411200</v>
      </c>
      <c r="S276" s="797">
        <f t="shared" ref="S276:X276" si="104">S275*S273</f>
        <v>8108800</v>
      </c>
      <c r="T276" s="797">
        <f t="shared" si="104"/>
        <v>8859200</v>
      </c>
      <c r="U276" s="797">
        <f t="shared" si="104"/>
        <v>13126400.000000002</v>
      </c>
      <c r="V276" s="797">
        <f t="shared" si="104"/>
        <v>870000</v>
      </c>
      <c r="W276" s="797">
        <f t="shared" si="104"/>
        <v>835200</v>
      </c>
      <c r="X276" s="797">
        <f t="shared" si="104"/>
        <v>748200</v>
      </c>
    </row>
    <row r="277" spans="1:24" x14ac:dyDescent="0.25">
      <c r="A277" s="791">
        <v>6</v>
      </c>
      <c r="B277" s="796" t="s">
        <v>35</v>
      </c>
      <c r="C277" s="797">
        <v>66000</v>
      </c>
      <c r="D277" s="797">
        <v>66000</v>
      </c>
      <c r="E277" s="797">
        <v>66000</v>
      </c>
      <c r="F277" s="797">
        <v>66000</v>
      </c>
      <c r="G277" s="797">
        <v>66000</v>
      </c>
      <c r="H277" s="797">
        <v>66000</v>
      </c>
      <c r="I277" s="797">
        <v>66000</v>
      </c>
      <c r="J277" s="797">
        <v>66000</v>
      </c>
      <c r="K277" s="797">
        <v>66000</v>
      </c>
      <c r="L277" s="797">
        <v>66000</v>
      </c>
      <c r="M277" s="797">
        <v>66000</v>
      </c>
      <c r="N277" s="797"/>
      <c r="O277" s="797"/>
      <c r="P277" s="797"/>
      <c r="Q277" s="797"/>
      <c r="R277" s="797"/>
      <c r="S277" s="797"/>
      <c r="T277" s="797"/>
      <c r="U277" s="797"/>
      <c r="V277" s="797"/>
      <c r="W277" s="797"/>
      <c r="X277" s="798"/>
    </row>
    <row r="278" spans="1:24" x14ac:dyDescent="0.25">
      <c r="A278" s="791">
        <v>7</v>
      </c>
      <c r="B278" s="796" t="s">
        <v>36</v>
      </c>
      <c r="C278" s="797">
        <f>C277*C272</f>
        <v>690360</v>
      </c>
      <c r="D278" s="797">
        <f t="shared" ref="D278:M278" si="105">D277*D272</f>
        <v>353760</v>
      </c>
      <c r="E278" s="797">
        <f t="shared" si="105"/>
        <v>354420</v>
      </c>
      <c r="F278" s="797">
        <f t="shared" si="105"/>
        <v>339900</v>
      </c>
      <c r="G278" s="797">
        <f t="shared" si="105"/>
        <v>812459.99999999988</v>
      </c>
      <c r="H278" s="797">
        <f t="shared" si="105"/>
        <v>276540</v>
      </c>
      <c r="I278" s="797">
        <f t="shared" si="105"/>
        <v>743160.00000000012</v>
      </c>
      <c r="J278" s="797">
        <f t="shared" si="105"/>
        <v>277200</v>
      </c>
      <c r="K278" s="797">
        <f t="shared" si="105"/>
        <v>277200</v>
      </c>
      <c r="L278" s="797">
        <f t="shared" si="105"/>
        <v>835560</v>
      </c>
      <c r="M278" s="797">
        <f t="shared" si="105"/>
        <v>275880</v>
      </c>
      <c r="N278" s="797"/>
      <c r="O278" s="797"/>
      <c r="P278" s="797"/>
      <c r="Q278" s="797"/>
      <c r="R278" s="797"/>
      <c r="S278" s="797"/>
      <c r="T278" s="797"/>
      <c r="U278" s="797"/>
      <c r="V278" s="797"/>
      <c r="W278" s="797"/>
      <c r="X278" s="798"/>
    </row>
    <row r="279" spans="1:24" x14ac:dyDescent="0.25">
      <c r="A279" s="791"/>
      <c r="B279" s="792" t="s">
        <v>37</v>
      </c>
      <c r="C279" s="799">
        <f t="shared" ref="C279:M279" si="106">C276+C278</f>
        <v>14017410</v>
      </c>
      <c r="D279" s="799">
        <f t="shared" si="106"/>
        <v>7256766</v>
      </c>
      <c r="E279" s="799">
        <f t="shared" si="106"/>
        <v>7879806</v>
      </c>
      <c r="F279" s="799">
        <f t="shared" si="106"/>
        <v>8563434</v>
      </c>
      <c r="G279" s="799">
        <f t="shared" si="106"/>
        <v>12108657</v>
      </c>
      <c r="H279" s="799">
        <f t="shared" si="106"/>
        <v>8533899</v>
      </c>
      <c r="I279" s="799">
        <f t="shared" si="106"/>
        <v>13568247</v>
      </c>
      <c r="J279" s="799">
        <f t="shared" si="106"/>
        <v>9449187</v>
      </c>
      <c r="K279" s="799">
        <f t="shared" si="106"/>
        <v>9439716</v>
      </c>
      <c r="L279" s="799">
        <f t="shared" si="106"/>
        <v>12491655</v>
      </c>
      <c r="M279" s="799">
        <f t="shared" si="106"/>
        <v>7518489</v>
      </c>
      <c r="N279" s="799">
        <f>N276</f>
        <v>7110400</v>
      </c>
      <c r="O279" s="799">
        <f>O276</f>
        <v>7108800</v>
      </c>
      <c r="P279" s="799">
        <f>P276</f>
        <v>5816000</v>
      </c>
      <c r="Q279" s="799">
        <f>Q276</f>
        <v>12689600</v>
      </c>
      <c r="R279" s="799">
        <f>R276</f>
        <v>7411200</v>
      </c>
      <c r="S279" s="799">
        <f t="shared" ref="S279:X279" si="107">S276</f>
        <v>8108800</v>
      </c>
      <c r="T279" s="799">
        <f t="shared" si="107"/>
        <v>8859200</v>
      </c>
      <c r="U279" s="799">
        <f t="shared" si="107"/>
        <v>13126400.000000002</v>
      </c>
      <c r="V279" s="799">
        <f t="shared" si="107"/>
        <v>870000</v>
      </c>
      <c r="W279" s="799">
        <f t="shared" si="107"/>
        <v>835200</v>
      </c>
      <c r="X279" s="799">
        <f t="shared" si="107"/>
        <v>748200</v>
      </c>
    </row>
    <row r="280" spans="1:24" x14ac:dyDescent="0.25">
      <c r="A280" s="791"/>
      <c r="B280" s="796"/>
      <c r="C280" s="797"/>
      <c r="D280" s="797"/>
      <c r="E280" s="797"/>
      <c r="F280" s="797"/>
      <c r="G280" s="797"/>
      <c r="H280" s="797"/>
      <c r="I280" s="797"/>
      <c r="J280" s="797"/>
      <c r="K280" s="797"/>
      <c r="L280" s="797"/>
      <c r="M280" s="797"/>
      <c r="N280" s="797"/>
      <c r="O280" s="797"/>
      <c r="P280" s="797"/>
      <c r="Q280" s="797"/>
      <c r="R280" s="797"/>
      <c r="S280" s="797"/>
      <c r="T280" s="797"/>
      <c r="U280" s="797"/>
      <c r="V280" s="797"/>
      <c r="W280" s="797"/>
      <c r="X280" s="798"/>
    </row>
    <row r="281" spans="1:24" x14ac:dyDescent="0.25">
      <c r="A281" s="791">
        <v>8</v>
      </c>
      <c r="B281" s="796" t="s">
        <v>38</v>
      </c>
      <c r="C281" s="797">
        <f t="shared" ref="C281:X281" si="108">C279*12%</f>
        <v>1682089.2</v>
      </c>
      <c r="D281" s="797">
        <f t="shared" si="108"/>
        <v>870811.91999999993</v>
      </c>
      <c r="E281" s="797">
        <f t="shared" si="108"/>
        <v>945576.72</v>
      </c>
      <c r="F281" s="797">
        <f t="shared" si="108"/>
        <v>1027612.08</v>
      </c>
      <c r="G281" s="797">
        <f t="shared" si="108"/>
        <v>1453038.8399999999</v>
      </c>
      <c r="H281" s="797">
        <f t="shared" si="108"/>
        <v>1024067.88</v>
      </c>
      <c r="I281" s="797">
        <f t="shared" si="108"/>
        <v>1628189.64</v>
      </c>
      <c r="J281" s="797">
        <f t="shared" si="108"/>
        <v>1133902.44</v>
      </c>
      <c r="K281" s="797">
        <f t="shared" si="108"/>
        <v>1132765.92</v>
      </c>
      <c r="L281" s="797">
        <f t="shared" si="108"/>
        <v>1498998.5999999999</v>
      </c>
      <c r="M281" s="797">
        <f t="shared" si="108"/>
        <v>902218.67999999993</v>
      </c>
      <c r="N281" s="797">
        <f t="shared" si="108"/>
        <v>853248</v>
      </c>
      <c r="O281" s="797">
        <f t="shared" si="108"/>
        <v>853056</v>
      </c>
      <c r="P281" s="797">
        <f t="shared" si="108"/>
        <v>697920</v>
      </c>
      <c r="Q281" s="797">
        <f t="shared" si="108"/>
        <v>1522752</v>
      </c>
      <c r="R281" s="797">
        <f t="shared" si="108"/>
        <v>889344</v>
      </c>
      <c r="S281" s="797">
        <f t="shared" si="108"/>
        <v>973056</v>
      </c>
      <c r="T281" s="797">
        <f t="shared" si="108"/>
        <v>1063104</v>
      </c>
      <c r="U281" s="797">
        <f t="shared" si="108"/>
        <v>1575168.0000000002</v>
      </c>
      <c r="V281" s="797">
        <f t="shared" si="108"/>
        <v>104400</v>
      </c>
      <c r="W281" s="797">
        <f t="shared" si="108"/>
        <v>100224</v>
      </c>
      <c r="X281" s="797">
        <f t="shared" si="108"/>
        <v>89784</v>
      </c>
    </row>
    <row r="282" spans="1:24" x14ac:dyDescent="0.25">
      <c r="A282" s="791">
        <v>9</v>
      </c>
      <c r="B282" s="796" t="s">
        <v>39</v>
      </c>
      <c r="C282" s="797">
        <f>C279*6%</f>
        <v>841044.6</v>
      </c>
      <c r="D282" s="797">
        <f t="shared" ref="D282:X282" si="109">D279*6%</f>
        <v>435405.95999999996</v>
      </c>
      <c r="E282" s="797">
        <f t="shared" si="109"/>
        <v>472788.36</v>
      </c>
      <c r="F282" s="797">
        <f t="shared" si="109"/>
        <v>513806.04</v>
      </c>
      <c r="G282" s="797">
        <f t="shared" si="109"/>
        <v>726519.41999999993</v>
      </c>
      <c r="H282" s="797">
        <f t="shared" si="109"/>
        <v>512033.94</v>
      </c>
      <c r="I282" s="797">
        <f t="shared" si="109"/>
        <v>814094.82</v>
      </c>
      <c r="J282" s="797">
        <f t="shared" si="109"/>
        <v>566951.22</v>
      </c>
      <c r="K282" s="797">
        <f t="shared" si="109"/>
        <v>566382.96</v>
      </c>
      <c r="L282" s="797">
        <f t="shared" si="109"/>
        <v>749499.29999999993</v>
      </c>
      <c r="M282" s="797">
        <f t="shared" si="109"/>
        <v>451109.33999999997</v>
      </c>
      <c r="N282" s="797">
        <f t="shared" si="109"/>
        <v>426624</v>
      </c>
      <c r="O282" s="797">
        <f t="shared" si="109"/>
        <v>426528</v>
      </c>
      <c r="P282" s="797">
        <f t="shared" si="109"/>
        <v>348960</v>
      </c>
      <c r="Q282" s="797">
        <f t="shared" si="109"/>
        <v>761376</v>
      </c>
      <c r="R282" s="797">
        <f t="shared" si="109"/>
        <v>444672</v>
      </c>
      <c r="S282" s="797">
        <f t="shared" si="109"/>
        <v>486528</v>
      </c>
      <c r="T282" s="797">
        <f t="shared" si="109"/>
        <v>531552</v>
      </c>
      <c r="U282" s="797">
        <f t="shared" si="109"/>
        <v>787584.00000000012</v>
      </c>
      <c r="V282" s="797">
        <f t="shared" si="109"/>
        <v>52200</v>
      </c>
      <c r="W282" s="797">
        <f t="shared" si="109"/>
        <v>50112</v>
      </c>
      <c r="X282" s="797">
        <f t="shared" si="109"/>
        <v>44892</v>
      </c>
    </row>
    <row r="283" spans="1:24" x14ac:dyDescent="0.25">
      <c r="A283" s="791">
        <v>10</v>
      </c>
      <c r="B283" s="796" t="s">
        <v>40</v>
      </c>
      <c r="C283" s="797">
        <f>C279*2.5%</f>
        <v>350435.25</v>
      </c>
      <c r="D283" s="797">
        <f t="shared" ref="D283:X283" si="110">D279*2.5%</f>
        <v>181419.15000000002</v>
      </c>
      <c r="E283" s="797">
        <f t="shared" si="110"/>
        <v>196995.15000000002</v>
      </c>
      <c r="F283" s="797">
        <f t="shared" si="110"/>
        <v>214085.85</v>
      </c>
      <c r="G283" s="797">
        <f t="shared" si="110"/>
        <v>302716.42499999999</v>
      </c>
      <c r="H283" s="797">
        <f t="shared" si="110"/>
        <v>213347.47500000001</v>
      </c>
      <c r="I283" s="797">
        <f t="shared" si="110"/>
        <v>339206.17500000005</v>
      </c>
      <c r="J283" s="797">
        <f t="shared" si="110"/>
        <v>236229.67500000002</v>
      </c>
      <c r="K283" s="797">
        <f t="shared" si="110"/>
        <v>235992.90000000002</v>
      </c>
      <c r="L283" s="797">
        <f t="shared" si="110"/>
        <v>312291.375</v>
      </c>
      <c r="M283" s="797">
        <f t="shared" si="110"/>
        <v>187962.22500000001</v>
      </c>
      <c r="N283" s="797">
        <f t="shared" si="110"/>
        <v>177760</v>
      </c>
      <c r="O283" s="797">
        <f t="shared" si="110"/>
        <v>177720</v>
      </c>
      <c r="P283" s="797">
        <f t="shared" si="110"/>
        <v>145400</v>
      </c>
      <c r="Q283" s="797">
        <f t="shared" si="110"/>
        <v>317240</v>
      </c>
      <c r="R283" s="797">
        <f t="shared" si="110"/>
        <v>185280</v>
      </c>
      <c r="S283" s="797">
        <f t="shared" si="110"/>
        <v>202720</v>
      </c>
      <c r="T283" s="797">
        <f t="shared" si="110"/>
        <v>221480</v>
      </c>
      <c r="U283" s="797">
        <f t="shared" si="110"/>
        <v>328160.00000000006</v>
      </c>
      <c r="V283" s="797">
        <f t="shared" si="110"/>
        <v>21750</v>
      </c>
      <c r="W283" s="797">
        <f t="shared" si="110"/>
        <v>20880</v>
      </c>
      <c r="X283" s="797">
        <f t="shared" si="110"/>
        <v>18705</v>
      </c>
    </row>
    <row r="284" spans="1:24" x14ac:dyDescent="0.25">
      <c r="A284" s="791"/>
      <c r="B284" s="796"/>
      <c r="C284" s="797"/>
      <c r="D284" s="797"/>
      <c r="E284" s="797"/>
      <c r="F284" s="797"/>
      <c r="G284" s="797"/>
      <c r="H284" s="797"/>
      <c r="I284" s="797"/>
      <c r="J284" s="797"/>
      <c r="K284" s="797"/>
      <c r="L284" s="797"/>
      <c r="M284" s="797"/>
      <c r="N284" s="797"/>
      <c r="O284" s="797"/>
      <c r="P284" s="797"/>
      <c r="Q284" s="797"/>
      <c r="R284" s="797"/>
      <c r="S284" s="797"/>
      <c r="T284" s="797"/>
      <c r="U284" s="797"/>
      <c r="V284" s="797"/>
      <c r="W284" s="797"/>
      <c r="X284" s="798"/>
    </row>
    <row r="285" spans="1:24" x14ac:dyDescent="0.25">
      <c r="A285" s="791"/>
      <c r="B285" s="792" t="s">
        <v>41</v>
      </c>
      <c r="C285" s="799">
        <f t="shared" ref="C285:X285" si="111">C279+C281+C282+C283</f>
        <v>16890979.049999997</v>
      </c>
      <c r="D285" s="799">
        <f t="shared" si="111"/>
        <v>8744403.0299999993</v>
      </c>
      <c r="E285" s="799">
        <f t="shared" si="111"/>
        <v>9495166.2300000004</v>
      </c>
      <c r="F285" s="799">
        <f t="shared" si="111"/>
        <v>10318937.969999999</v>
      </c>
      <c r="G285" s="799">
        <f t="shared" si="111"/>
        <v>14590931.685000001</v>
      </c>
      <c r="H285" s="799">
        <f t="shared" si="111"/>
        <v>10283348.295</v>
      </c>
      <c r="I285" s="799">
        <f t="shared" si="111"/>
        <v>16349737.635000002</v>
      </c>
      <c r="J285" s="799">
        <f t="shared" si="111"/>
        <v>11386270.335000001</v>
      </c>
      <c r="K285" s="799">
        <f t="shared" si="111"/>
        <v>11374857.779999999</v>
      </c>
      <c r="L285" s="799">
        <f t="shared" si="111"/>
        <v>15052444.275</v>
      </c>
      <c r="M285" s="799">
        <f t="shared" si="111"/>
        <v>9059779.2449999992</v>
      </c>
      <c r="N285" s="799">
        <f t="shared" si="111"/>
        <v>8568032</v>
      </c>
      <c r="O285" s="799">
        <f t="shared" si="111"/>
        <v>8566104</v>
      </c>
      <c r="P285" s="799">
        <f t="shared" si="111"/>
        <v>7008280</v>
      </c>
      <c r="Q285" s="799">
        <f t="shared" si="111"/>
        <v>15290968</v>
      </c>
      <c r="R285" s="799">
        <f t="shared" si="111"/>
        <v>8930496</v>
      </c>
      <c r="S285" s="799">
        <f t="shared" si="111"/>
        <v>9771104</v>
      </c>
      <c r="T285" s="799">
        <f t="shared" si="111"/>
        <v>10675336</v>
      </c>
      <c r="U285" s="799">
        <f t="shared" si="111"/>
        <v>15817312.000000002</v>
      </c>
      <c r="V285" s="799">
        <f t="shared" si="111"/>
        <v>1048350</v>
      </c>
      <c r="W285" s="799">
        <f t="shared" si="111"/>
        <v>1006416</v>
      </c>
      <c r="X285" s="799">
        <f t="shared" si="111"/>
        <v>901581</v>
      </c>
    </row>
    <row r="286" spans="1:24" x14ac:dyDescent="0.25">
      <c r="A286" s="791">
        <v>11</v>
      </c>
      <c r="B286" s="796" t="s">
        <v>33</v>
      </c>
      <c r="C286" s="797">
        <f t="shared" ref="C286:X286" si="112">C285/C273</f>
        <v>155019.99862334799</v>
      </c>
      <c r="D286" s="797">
        <f t="shared" si="112"/>
        <v>155097.60606598083</v>
      </c>
      <c r="E286" s="797">
        <f t="shared" si="112"/>
        <v>155683.98475159865</v>
      </c>
      <c r="F286" s="797">
        <f t="shared" si="112"/>
        <v>156513.5442135598</v>
      </c>
      <c r="G286" s="797">
        <f t="shared" si="112"/>
        <v>152306.17625260961</v>
      </c>
      <c r="H286" s="797">
        <f t="shared" si="112"/>
        <v>157671.70032198713</v>
      </c>
      <c r="I286" s="797">
        <f t="shared" si="112"/>
        <v>154170.08613861387</v>
      </c>
      <c r="J286" s="797">
        <f t="shared" si="112"/>
        <v>158164.61084872897</v>
      </c>
      <c r="K286" s="797">
        <f t="shared" si="112"/>
        <v>158159.86902113457</v>
      </c>
      <c r="L286" s="797">
        <f t="shared" si="112"/>
        <v>152337.25609756098</v>
      </c>
      <c r="M286" s="797">
        <f t="shared" si="112"/>
        <v>156988.03058395424</v>
      </c>
      <c r="N286" s="797">
        <f t="shared" si="112"/>
        <v>192800</v>
      </c>
      <c r="O286" s="797">
        <f t="shared" si="112"/>
        <v>192800</v>
      </c>
      <c r="P286" s="797">
        <f t="shared" si="112"/>
        <v>192800</v>
      </c>
      <c r="Q286" s="797">
        <f t="shared" si="112"/>
        <v>192800</v>
      </c>
      <c r="R286" s="797">
        <f t="shared" si="112"/>
        <v>192800</v>
      </c>
      <c r="S286" s="797">
        <f t="shared" si="112"/>
        <v>192800</v>
      </c>
      <c r="T286" s="797">
        <f t="shared" si="112"/>
        <v>192800</v>
      </c>
      <c r="U286" s="797">
        <f t="shared" si="112"/>
        <v>192800</v>
      </c>
      <c r="V286" s="797">
        <f t="shared" si="112"/>
        <v>83868</v>
      </c>
      <c r="W286" s="797">
        <f t="shared" si="112"/>
        <v>83868</v>
      </c>
      <c r="X286" s="797">
        <f t="shared" si="112"/>
        <v>83868</v>
      </c>
    </row>
    <row r="287" spans="1:24" x14ac:dyDescent="0.25">
      <c r="A287" s="791">
        <v>12</v>
      </c>
      <c r="B287" s="796" t="s">
        <v>42</v>
      </c>
      <c r="C287" s="800">
        <v>0.25</v>
      </c>
      <c r="D287" s="800">
        <v>0.25</v>
      </c>
      <c r="E287" s="800">
        <v>0.25</v>
      </c>
      <c r="F287" s="800">
        <v>0.25</v>
      </c>
      <c r="G287" s="800">
        <v>0.25</v>
      </c>
      <c r="H287" s="800">
        <v>0.25</v>
      </c>
      <c r="I287" s="800">
        <v>0.25</v>
      </c>
      <c r="J287" s="800">
        <v>0.25</v>
      </c>
      <c r="K287" s="800">
        <v>0.25</v>
      </c>
      <c r="L287" s="800">
        <v>0.25</v>
      </c>
      <c r="M287" s="800">
        <v>0.25</v>
      </c>
      <c r="N287" s="800">
        <v>0.4</v>
      </c>
      <c r="O287" s="800">
        <v>0.4</v>
      </c>
      <c r="P287" s="800">
        <v>0.4</v>
      </c>
      <c r="Q287" s="800">
        <v>0.4</v>
      </c>
      <c r="R287" s="800">
        <v>0.4</v>
      </c>
      <c r="S287" s="800">
        <v>0.4</v>
      </c>
      <c r="T287" s="800">
        <v>0.4</v>
      </c>
      <c r="U287" s="800">
        <v>0.4</v>
      </c>
      <c r="V287" s="800">
        <v>0.25</v>
      </c>
      <c r="W287" s="800">
        <v>0.25</v>
      </c>
      <c r="X287" s="800">
        <v>0.25</v>
      </c>
    </row>
    <row r="288" spans="1:24" x14ac:dyDescent="0.25">
      <c r="A288" s="791">
        <v>13</v>
      </c>
      <c r="B288" s="796" t="s">
        <v>43</v>
      </c>
      <c r="C288" s="797">
        <f t="shared" ref="C288:X288" si="113">C285*C287</f>
        <v>4222744.7624999993</v>
      </c>
      <c r="D288" s="797">
        <f t="shared" si="113"/>
        <v>2186100.7574999998</v>
      </c>
      <c r="E288" s="797">
        <f t="shared" si="113"/>
        <v>2373791.5575000001</v>
      </c>
      <c r="F288" s="797">
        <f t="shared" si="113"/>
        <v>2579734.4924999997</v>
      </c>
      <c r="G288" s="797">
        <f t="shared" si="113"/>
        <v>3647732.9212500001</v>
      </c>
      <c r="H288" s="797">
        <f t="shared" si="113"/>
        <v>2570837.07375</v>
      </c>
      <c r="I288" s="797">
        <f t="shared" si="113"/>
        <v>4087434.4087500004</v>
      </c>
      <c r="J288" s="797">
        <f t="shared" si="113"/>
        <v>2846567.5837500002</v>
      </c>
      <c r="K288" s="797">
        <f t="shared" si="113"/>
        <v>2843714.4449999998</v>
      </c>
      <c r="L288" s="797">
        <f t="shared" si="113"/>
        <v>3763111.0687500001</v>
      </c>
      <c r="M288" s="797">
        <f t="shared" si="113"/>
        <v>2264944.8112499998</v>
      </c>
      <c r="N288" s="797">
        <f t="shared" si="113"/>
        <v>3427212.8000000003</v>
      </c>
      <c r="O288" s="797">
        <f t="shared" si="113"/>
        <v>3426441.6</v>
      </c>
      <c r="P288" s="797">
        <f t="shared" si="113"/>
        <v>2803312</v>
      </c>
      <c r="Q288" s="797">
        <f t="shared" si="113"/>
        <v>6116387.2000000002</v>
      </c>
      <c r="R288" s="797">
        <f t="shared" si="113"/>
        <v>3572198.4000000004</v>
      </c>
      <c r="S288" s="797">
        <f t="shared" si="113"/>
        <v>3908441.6</v>
      </c>
      <c r="T288" s="797">
        <f t="shared" si="113"/>
        <v>4270134.4000000004</v>
      </c>
      <c r="U288" s="797">
        <f t="shared" si="113"/>
        <v>6326924.8000000007</v>
      </c>
      <c r="V288" s="797">
        <f t="shared" si="113"/>
        <v>262087.5</v>
      </c>
      <c r="W288" s="797">
        <f t="shared" si="113"/>
        <v>251604</v>
      </c>
      <c r="X288" s="797">
        <f t="shared" si="113"/>
        <v>225395.25</v>
      </c>
    </row>
    <row r="289" spans="1:24" x14ac:dyDescent="0.25">
      <c r="A289" s="791">
        <v>14</v>
      </c>
      <c r="B289" s="796" t="s">
        <v>44</v>
      </c>
      <c r="C289" s="797">
        <v>50000</v>
      </c>
      <c r="D289" s="797">
        <v>50000</v>
      </c>
      <c r="E289" s="797">
        <v>50000</v>
      </c>
      <c r="F289" s="797">
        <v>50000</v>
      </c>
      <c r="G289" s="797">
        <v>50000</v>
      </c>
      <c r="H289" s="797">
        <v>50000</v>
      </c>
      <c r="I289" s="797">
        <v>50000</v>
      </c>
      <c r="J289" s="797">
        <v>50000</v>
      </c>
      <c r="K289" s="797">
        <v>50000</v>
      </c>
      <c r="L289" s="797">
        <v>50001</v>
      </c>
      <c r="M289" s="797">
        <v>50000</v>
      </c>
      <c r="N289" s="797">
        <f>'[16]Project Data'!$E$113</f>
        <v>100000</v>
      </c>
      <c r="O289" s="797">
        <f>'[16]Project Data'!$E$113</f>
        <v>100000</v>
      </c>
      <c r="P289" s="797">
        <f>'[16]Project Data'!$E$113</f>
        <v>100000</v>
      </c>
      <c r="Q289" s="797">
        <f>'[16]Project Data'!$E$113</f>
        <v>100000</v>
      </c>
      <c r="R289" s="797">
        <f>'[16]Project Data'!$E$113</f>
        <v>100000</v>
      </c>
      <c r="S289" s="797">
        <f>'[16]Project Data'!$E$113</f>
        <v>100000</v>
      </c>
      <c r="T289" s="797">
        <f>'[16]Project Data'!$E$113</f>
        <v>100000</v>
      </c>
      <c r="U289" s="797">
        <f>'[16]Project Data'!$E$113</f>
        <v>100000</v>
      </c>
      <c r="V289" s="797">
        <v>30000</v>
      </c>
      <c r="W289" s="797">
        <v>30000</v>
      </c>
      <c r="X289" s="797">
        <v>30000</v>
      </c>
    </row>
    <row r="290" spans="1:24" x14ac:dyDescent="0.25">
      <c r="A290" s="791">
        <v>15</v>
      </c>
      <c r="B290" s="796" t="s">
        <v>45</v>
      </c>
      <c r="C290" s="797">
        <f t="shared" ref="C290:X290" si="114">C288-C289</f>
        <v>4172744.7624999993</v>
      </c>
      <c r="D290" s="797">
        <f t="shared" si="114"/>
        <v>2136100.7574999998</v>
      </c>
      <c r="E290" s="797">
        <f t="shared" si="114"/>
        <v>2323791.5575000001</v>
      </c>
      <c r="F290" s="797">
        <f t="shared" si="114"/>
        <v>2529734.4924999997</v>
      </c>
      <c r="G290" s="797">
        <f t="shared" si="114"/>
        <v>3597732.9212500001</v>
      </c>
      <c r="H290" s="797">
        <f t="shared" si="114"/>
        <v>2520837.07375</v>
      </c>
      <c r="I290" s="797">
        <f t="shared" si="114"/>
        <v>4037434.4087500004</v>
      </c>
      <c r="J290" s="797">
        <f t="shared" si="114"/>
        <v>2796567.5837500002</v>
      </c>
      <c r="K290" s="797">
        <f t="shared" si="114"/>
        <v>2793714.4449999998</v>
      </c>
      <c r="L290" s="797">
        <f t="shared" si="114"/>
        <v>3713110.0687500001</v>
      </c>
      <c r="M290" s="797">
        <f t="shared" si="114"/>
        <v>2214944.8112499998</v>
      </c>
      <c r="N290" s="797">
        <f t="shared" si="114"/>
        <v>3327212.8000000003</v>
      </c>
      <c r="O290" s="797">
        <f t="shared" si="114"/>
        <v>3326441.6</v>
      </c>
      <c r="P290" s="797">
        <f t="shared" si="114"/>
        <v>2703312</v>
      </c>
      <c r="Q290" s="797">
        <f t="shared" si="114"/>
        <v>6016387.2000000002</v>
      </c>
      <c r="R290" s="797">
        <f t="shared" si="114"/>
        <v>3472198.4000000004</v>
      </c>
      <c r="S290" s="797">
        <f t="shared" si="114"/>
        <v>3808441.6</v>
      </c>
      <c r="T290" s="797">
        <f t="shared" si="114"/>
        <v>4170134.4000000004</v>
      </c>
      <c r="U290" s="797">
        <f t="shared" si="114"/>
        <v>6226924.8000000007</v>
      </c>
      <c r="V290" s="797">
        <f t="shared" si="114"/>
        <v>232087.5</v>
      </c>
      <c r="W290" s="797">
        <f t="shared" si="114"/>
        <v>221604</v>
      </c>
      <c r="X290" s="797">
        <f t="shared" si="114"/>
        <v>195395.25</v>
      </c>
    </row>
    <row r="291" spans="1:24" hidden="1" x14ac:dyDescent="0.25">
      <c r="A291" s="791">
        <v>18</v>
      </c>
      <c r="B291" s="796" t="s">
        <v>46</v>
      </c>
      <c r="C291" s="797">
        <f>'[16]Project Data'!$E$115</f>
        <v>34</v>
      </c>
      <c r="D291" s="797"/>
      <c r="E291" s="797"/>
      <c r="F291" s="797"/>
      <c r="G291" s="797"/>
      <c r="H291" s="797"/>
      <c r="I291" s="797"/>
      <c r="J291" s="797"/>
      <c r="K291" s="797"/>
      <c r="L291" s="797"/>
      <c r="M291" s="797"/>
      <c r="N291" s="797"/>
      <c r="O291" s="797"/>
      <c r="P291" s="797"/>
      <c r="Q291" s="797"/>
      <c r="R291" s="797"/>
      <c r="S291" s="797"/>
      <c r="T291" s="797"/>
      <c r="U291" s="797"/>
      <c r="V291" s="797"/>
      <c r="W291" s="797"/>
      <c r="X291" s="798">
        <f>'[16]Project Data'!$E$115</f>
        <v>34</v>
      </c>
    </row>
    <row r="292" spans="1:24" hidden="1" x14ac:dyDescent="0.25">
      <c r="A292" s="791">
        <v>19</v>
      </c>
      <c r="B292" s="796" t="s">
        <v>47</v>
      </c>
      <c r="C292" s="797">
        <f>C290/C291</f>
        <v>122727.78713235293</v>
      </c>
      <c r="D292" s="797"/>
      <c r="E292" s="797"/>
      <c r="F292" s="797"/>
      <c r="G292" s="797"/>
      <c r="H292" s="797"/>
      <c r="I292" s="797"/>
      <c r="J292" s="797"/>
      <c r="K292" s="797"/>
      <c r="L292" s="797"/>
      <c r="M292" s="797"/>
      <c r="N292" s="797"/>
      <c r="O292" s="797"/>
      <c r="P292" s="797"/>
      <c r="Q292" s="797"/>
      <c r="R292" s="797"/>
      <c r="S292" s="797"/>
      <c r="T292" s="797"/>
      <c r="U292" s="797"/>
      <c r="V292" s="797"/>
      <c r="W292" s="797"/>
      <c r="X292" s="798">
        <f>X290/X291</f>
        <v>5746.9191176470586</v>
      </c>
    </row>
    <row r="293" spans="1:24" hidden="1" x14ac:dyDescent="0.25">
      <c r="A293" s="791"/>
      <c r="B293" s="796"/>
      <c r="C293" s="797"/>
      <c r="D293" s="797"/>
      <c r="E293" s="797"/>
      <c r="F293" s="797"/>
      <c r="G293" s="797"/>
      <c r="H293" s="797"/>
      <c r="I293" s="797"/>
      <c r="J293" s="797"/>
      <c r="K293" s="797"/>
      <c r="L293" s="797"/>
      <c r="M293" s="797"/>
      <c r="N293" s="797"/>
      <c r="O293" s="797"/>
      <c r="P293" s="797"/>
      <c r="Q293" s="797"/>
      <c r="R293" s="797"/>
      <c r="S293" s="797"/>
      <c r="T293" s="797"/>
      <c r="U293" s="797"/>
      <c r="V293" s="797"/>
      <c r="W293" s="797"/>
      <c r="X293" s="798"/>
    </row>
    <row r="294" spans="1:24" hidden="1" x14ac:dyDescent="0.25">
      <c r="A294" s="791">
        <v>20</v>
      </c>
      <c r="B294" s="796" t="s">
        <v>48</v>
      </c>
      <c r="C294" s="797">
        <f>C285-C288</f>
        <v>12668234.287499998</v>
      </c>
      <c r="D294" s="797"/>
      <c r="E294" s="797"/>
      <c r="F294" s="797"/>
      <c r="G294" s="797"/>
      <c r="H294" s="797"/>
      <c r="I294" s="797"/>
      <c r="J294" s="797"/>
      <c r="K294" s="797"/>
      <c r="L294" s="797"/>
      <c r="M294" s="797"/>
      <c r="N294" s="797"/>
      <c r="O294" s="797"/>
      <c r="P294" s="797"/>
      <c r="Q294" s="797"/>
      <c r="R294" s="797"/>
      <c r="S294" s="797"/>
      <c r="T294" s="797"/>
      <c r="U294" s="797"/>
      <c r="V294" s="797"/>
      <c r="W294" s="797"/>
      <c r="X294" s="798">
        <f>X285-X288</f>
        <v>676185.75</v>
      </c>
    </row>
    <row r="295" spans="1:24" hidden="1" x14ac:dyDescent="0.25">
      <c r="A295" s="791">
        <v>21</v>
      </c>
      <c r="B295" s="796" t="s">
        <v>49</v>
      </c>
      <c r="C295" s="797">
        <f>C294*$AA$7</f>
        <v>0</v>
      </c>
      <c r="D295" s="797"/>
      <c r="E295" s="797"/>
      <c r="F295" s="797"/>
      <c r="G295" s="797"/>
      <c r="H295" s="797"/>
      <c r="I295" s="797"/>
      <c r="J295" s="797"/>
      <c r="K295" s="797"/>
      <c r="L295" s="797"/>
      <c r="M295" s="797"/>
      <c r="N295" s="797"/>
      <c r="O295" s="797"/>
      <c r="P295" s="797"/>
      <c r="Q295" s="797"/>
      <c r="R295" s="797"/>
      <c r="S295" s="797"/>
      <c r="T295" s="797"/>
      <c r="U295" s="797"/>
      <c r="V295" s="797"/>
      <c r="W295" s="797"/>
      <c r="X295" s="798">
        <f>X294*$AA$7</f>
        <v>0</v>
      </c>
    </row>
    <row r="296" spans="1:24" hidden="1" x14ac:dyDescent="0.25">
      <c r="A296" s="791">
        <v>22</v>
      </c>
      <c r="B296" s="796" t="s">
        <v>50</v>
      </c>
      <c r="C296" s="797">
        <f>C294*$AA$9</f>
        <v>0</v>
      </c>
      <c r="D296" s="797"/>
      <c r="E296" s="797"/>
      <c r="F296" s="797"/>
      <c r="G296" s="797"/>
      <c r="H296" s="797"/>
      <c r="I296" s="797"/>
      <c r="J296" s="797"/>
      <c r="K296" s="797"/>
      <c r="L296" s="797"/>
      <c r="M296" s="797"/>
      <c r="N296" s="797"/>
      <c r="O296" s="797"/>
      <c r="P296" s="797"/>
      <c r="Q296" s="797"/>
      <c r="R296" s="797"/>
      <c r="S296" s="797"/>
      <c r="T296" s="797"/>
      <c r="U296" s="797"/>
      <c r="V296" s="797"/>
      <c r="W296" s="797"/>
      <c r="X296" s="798">
        <f>X294*$AA$9</f>
        <v>0</v>
      </c>
    </row>
    <row r="297" spans="1:24" hidden="1" x14ac:dyDescent="0.25">
      <c r="A297" s="791">
        <v>23</v>
      </c>
      <c r="B297" s="796" t="s">
        <v>51</v>
      </c>
      <c r="C297" s="801">
        <f>C294*$AA$10</f>
        <v>0</v>
      </c>
      <c r="D297" s="801"/>
      <c r="E297" s="801"/>
      <c r="F297" s="801"/>
      <c r="G297" s="801"/>
      <c r="H297" s="801"/>
      <c r="I297" s="801"/>
      <c r="J297" s="801"/>
      <c r="K297" s="801"/>
      <c r="L297" s="801"/>
      <c r="M297" s="801"/>
      <c r="N297" s="801"/>
      <c r="O297" s="801"/>
      <c r="P297" s="801"/>
      <c r="Q297" s="801"/>
      <c r="R297" s="801"/>
      <c r="S297" s="801"/>
      <c r="T297" s="801"/>
      <c r="U297" s="801"/>
      <c r="V297" s="801"/>
      <c r="W297" s="801"/>
      <c r="X297" s="802">
        <f>X294*$AA$10</f>
        <v>0</v>
      </c>
    </row>
    <row r="298" spans="1:24" hidden="1" x14ac:dyDescent="0.25">
      <c r="A298" s="803">
        <f>A297+1</f>
        <v>24</v>
      </c>
      <c r="B298" s="804" t="s">
        <v>52</v>
      </c>
      <c r="C298" s="804" t="e">
        <f>'[17]Project Data'!E385*'[17]Project Data'!E379</f>
        <v>#REF!</v>
      </c>
      <c r="D298" s="804"/>
      <c r="E298" s="804"/>
      <c r="F298" s="804"/>
      <c r="G298" s="804"/>
      <c r="H298" s="804"/>
      <c r="I298" s="804"/>
      <c r="J298" s="804"/>
      <c r="K298" s="804"/>
      <c r="L298" s="804"/>
      <c r="M298" s="804"/>
      <c r="N298" s="804"/>
      <c r="O298" s="804"/>
      <c r="P298" s="804"/>
      <c r="Q298" s="804"/>
      <c r="R298" s="804"/>
      <c r="S298" s="804"/>
      <c r="T298" s="804"/>
      <c r="U298" s="804"/>
      <c r="V298" s="804"/>
      <c r="W298" s="804"/>
      <c r="X298" s="805"/>
    </row>
    <row r="299" spans="1:24" hidden="1" x14ac:dyDescent="0.25">
      <c r="A299" s="803">
        <f>A298+1</f>
        <v>25</v>
      </c>
      <c r="B299" s="804" t="s">
        <v>53</v>
      </c>
      <c r="C299" s="804" t="e">
        <f>C293+C297+C298</f>
        <v>#REF!</v>
      </c>
      <c r="D299" s="804"/>
      <c r="E299" s="804"/>
      <c r="F299" s="804"/>
      <c r="G299" s="804"/>
      <c r="H299" s="804"/>
      <c r="I299" s="804"/>
      <c r="J299" s="804"/>
      <c r="K299" s="804"/>
      <c r="L299" s="804"/>
      <c r="M299" s="804"/>
      <c r="N299" s="804"/>
      <c r="O299" s="804"/>
      <c r="P299" s="804"/>
      <c r="Q299" s="804"/>
      <c r="R299" s="804"/>
      <c r="S299" s="804"/>
      <c r="T299" s="804"/>
      <c r="U299" s="804"/>
      <c r="V299" s="804"/>
      <c r="W299" s="804"/>
      <c r="X299" s="805"/>
    </row>
    <row r="300" spans="1:24" hidden="1" x14ac:dyDescent="0.25">
      <c r="A300" s="803"/>
      <c r="B300" s="804"/>
      <c r="C300" s="804"/>
      <c r="D300" s="804"/>
      <c r="E300" s="804"/>
      <c r="F300" s="804"/>
      <c r="G300" s="804"/>
      <c r="H300" s="804"/>
      <c r="I300" s="804"/>
      <c r="J300" s="804"/>
      <c r="K300" s="804"/>
      <c r="L300" s="804"/>
      <c r="M300" s="804"/>
      <c r="N300" s="804"/>
      <c r="O300" s="804"/>
      <c r="P300" s="804"/>
      <c r="Q300" s="804"/>
      <c r="R300" s="804"/>
      <c r="S300" s="804"/>
      <c r="T300" s="804"/>
      <c r="U300" s="804"/>
      <c r="V300" s="804"/>
      <c r="W300" s="804"/>
      <c r="X300" s="805"/>
    </row>
    <row r="301" spans="1:24" hidden="1" x14ac:dyDescent="0.25">
      <c r="A301" s="803" t="s">
        <v>54</v>
      </c>
      <c r="B301" s="804"/>
      <c r="C301" s="806"/>
      <c r="D301" s="806"/>
      <c r="E301" s="806"/>
      <c r="F301" s="806"/>
      <c r="G301" s="806"/>
      <c r="H301" s="806"/>
      <c r="I301" s="806"/>
      <c r="J301" s="806"/>
      <c r="K301" s="806"/>
      <c r="L301" s="806"/>
      <c r="M301" s="806"/>
      <c r="N301" s="804"/>
      <c r="O301" s="804"/>
      <c r="P301" s="804"/>
      <c r="Q301" s="804"/>
      <c r="R301" s="804"/>
      <c r="S301" s="804"/>
      <c r="T301" s="804"/>
      <c r="U301" s="804"/>
      <c r="V301" s="804"/>
      <c r="W301" s="804"/>
      <c r="X301" s="805"/>
    </row>
    <row r="302" spans="1:24" hidden="1" x14ac:dyDescent="0.25">
      <c r="A302" s="803">
        <v>1</v>
      </c>
      <c r="B302" s="804" t="s">
        <v>55</v>
      </c>
      <c r="C302" s="804" t="e">
        <f>'[17]Project Data'!E347</f>
        <v>#REF!</v>
      </c>
      <c r="D302" s="804"/>
      <c r="E302" s="804"/>
      <c r="F302" s="804"/>
      <c r="G302" s="804"/>
      <c r="H302" s="804"/>
      <c r="I302" s="804"/>
      <c r="J302" s="804"/>
      <c r="K302" s="804"/>
      <c r="L302" s="804"/>
      <c r="M302" s="804"/>
      <c r="N302" s="804"/>
      <c r="O302" s="804"/>
      <c r="P302" s="804"/>
      <c r="Q302" s="804"/>
      <c r="R302" s="804"/>
      <c r="S302" s="804"/>
      <c r="T302" s="804"/>
      <c r="U302" s="804"/>
      <c r="V302" s="804"/>
      <c r="W302" s="804"/>
      <c r="X302" s="805"/>
    </row>
    <row r="303" spans="1:24" hidden="1" x14ac:dyDescent="0.25">
      <c r="A303" s="803">
        <f>A302+1</f>
        <v>2</v>
      </c>
      <c r="B303" s="804" t="s">
        <v>56</v>
      </c>
      <c r="C303" s="804" t="e">
        <f>'[17]Project Data'!E346</f>
        <v>#REF!</v>
      </c>
      <c r="D303" s="804"/>
      <c r="E303" s="804"/>
      <c r="F303" s="804"/>
      <c r="G303" s="804"/>
      <c r="H303" s="804"/>
      <c r="I303" s="804"/>
      <c r="J303" s="804"/>
      <c r="K303" s="804"/>
      <c r="L303" s="804"/>
      <c r="M303" s="804"/>
      <c r="N303" s="804"/>
      <c r="O303" s="804"/>
      <c r="P303" s="804"/>
      <c r="Q303" s="804"/>
      <c r="R303" s="804"/>
      <c r="S303" s="804"/>
      <c r="T303" s="804"/>
      <c r="U303" s="804"/>
      <c r="V303" s="804"/>
      <c r="W303" s="804"/>
      <c r="X303" s="805"/>
    </row>
    <row r="304" spans="1:24" hidden="1" x14ac:dyDescent="0.25">
      <c r="A304" s="803">
        <f t="shared" ref="A304:A310" si="115">A303+1</f>
        <v>3</v>
      </c>
      <c r="B304" s="804" t="s">
        <v>57</v>
      </c>
      <c r="C304" s="804" t="e">
        <f>C302*C305</f>
        <v>#REF!</v>
      </c>
      <c r="D304" s="804"/>
      <c r="E304" s="804"/>
      <c r="F304" s="804"/>
      <c r="G304" s="804"/>
      <c r="H304" s="804"/>
      <c r="I304" s="804"/>
      <c r="J304" s="804"/>
      <c r="K304" s="804"/>
      <c r="L304" s="804"/>
      <c r="M304" s="804"/>
      <c r="N304" s="804"/>
      <c r="O304" s="804"/>
      <c r="P304" s="804"/>
      <c r="Q304" s="804"/>
      <c r="R304" s="804"/>
      <c r="S304" s="804"/>
      <c r="T304" s="804"/>
      <c r="U304" s="804"/>
      <c r="V304" s="804"/>
      <c r="W304" s="804"/>
      <c r="X304" s="805"/>
    </row>
    <row r="305" spans="1:24" hidden="1" x14ac:dyDescent="0.25">
      <c r="A305" s="803">
        <f t="shared" si="115"/>
        <v>4</v>
      </c>
      <c r="B305" s="804" t="s">
        <v>58</v>
      </c>
      <c r="C305" s="804" t="e">
        <f>'[17]Project Data'!E350</f>
        <v>#REF!</v>
      </c>
      <c r="D305" s="804"/>
      <c r="E305" s="804"/>
      <c r="F305" s="804"/>
      <c r="G305" s="804"/>
      <c r="H305" s="804"/>
      <c r="I305" s="804"/>
      <c r="J305" s="804"/>
      <c r="K305" s="804"/>
      <c r="L305" s="804"/>
      <c r="M305" s="804"/>
      <c r="N305" s="804"/>
      <c r="O305" s="804"/>
      <c r="P305" s="804"/>
      <c r="Q305" s="804"/>
      <c r="R305" s="804"/>
      <c r="S305" s="804"/>
      <c r="T305" s="804"/>
      <c r="U305" s="804"/>
      <c r="V305" s="804"/>
      <c r="W305" s="804"/>
      <c r="X305" s="805"/>
    </row>
    <row r="306" spans="1:24" hidden="1" x14ac:dyDescent="0.25">
      <c r="A306" s="803">
        <f t="shared" si="115"/>
        <v>5</v>
      </c>
      <c r="B306" s="804" t="s">
        <v>59</v>
      </c>
      <c r="C306" s="804" t="e">
        <f>'[17]Project Data'!E382</f>
        <v>#REF!</v>
      </c>
      <c r="D306" s="804"/>
      <c r="E306" s="804"/>
      <c r="F306" s="804"/>
      <c r="G306" s="804"/>
      <c r="H306" s="804"/>
      <c r="I306" s="804"/>
      <c r="J306" s="804"/>
      <c r="K306" s="804"/>
      <c r="L306" s="804"/>
      <c r="M306" s="804"/>
      <c r="N306" s="804"/>
      <c r="O306" s="804"/>
      <c r="P306" s="804"/>
      <c r="Q306" s="804"/>
      <c r="R306" s="804"/>
      <c r="S306" s="804"/>
      <c r="T306" s="804"/>
      <c r="U306" s="804"/>
      <c r="V306" s="804"/>
      <c r="W306" s="804"/>
      <c r="X306" s="805"/>
    </row>
    <row r="307" spans="1:24" hidden="1" x14ac:dyDescent="0.25">
      <c r="A307" s="803">
        <f t="shared" si="115"/>
        <v>6</v>
      </c>
      <c r="B307" s="804" t="s">
        <v>60</v>
      </c>
      <c r="C307" s="804" t="e">
        <f>C306/C303</f>
        <v>#REF!</v>
      </c>
      <c r="D307" s="804"/>
      <c r="E307" s="804"/>
      <c r="F307" s="804"/>
      <c r="G307" s="804"/>
      <c r="H307" s="804"/>
      <c r="I307" s="804"/>
      <c r="J307" s="804"/>
      <c r="K307" s="804"/>
      <c r="L307" s="804"/>
      <c r="M307" s="804"/>
      <c r="N307" s="804"/>
      <c r="O307" s="804"/>
      <c r="P307" s="804"/>
      <c r="Q307" s="804"/>
      <c r="R307" s="804"/>
      <c r="S307" s="804"/>
      <c r="T307" s="804"/>
      <c r="U307" s="804"/>
      <c r="V307" s="804"/>
      <c r="W307" s="804"/>
      <c r="X307" s="805"/>
    </row>
    <row r="308" spans="1:24" hidden="1" x14ac:dyDescent="0.25">
      <c r="A308" s="803">
        <f t="shared" si="115"/>
        <v>7</v>
      </c>
      <c r="B308" s="804" t="s">
        <v>61</v>
      </c>
      <c r="C308" s="804" t="e">
        <f>C306*2</f>
        <v>#REF!</v>
      </c>
      <c r="D308" s="804"/>
      <c r="E308" s="804"/>
      <c r="F308" s="804"/>
      <c r="G308" s="804"/>
      <c r="H308" s="804"/>
      <c r="I308" s="804"/>
      <c r="J308" s="804"/>
      <c r="K308" s="804"/>
      <c r="L308" s="804"/>
      <c r="M308" s="804"/>
      <c r="N308" s="804"/>
      <c r="O308" s="804"/>
      <c r="P308" s="804"/>
      <c r="Q308" s="804"/>
      <c r="R308" s="804"/>
      <c r="S308" s="804"/>
      <c r="T308" s="804"/>
      <c r="U308" s="804"/>
      <c r="V308" s="804"/>
      <c r="W308" s="804"/>
      <c r="X308" s="805"/>
    </row>
    <row r="309" spans="1:24" hidden="1" x14ac:dyDescent="0.25">
      <c r="A309" s="803">
        <f t="shared" si="115"/>
        <v>8</v>
      </c>
      <c r="B309" s="804" t="s">
        <v>52</v>
      </c>
      <c r="C309" s="804" t="e">
        <f>'[17]Project Data'!E385*'[17]Project Data'!E382</f>
        <v>#REF!</v>
      </c>
      <c r="D309" s="804"/>
      <c r="E309" s="804"/>
      <c r="F309" s="804"/>
      <c r="G309" s="804"/>
      <c r="H309" s="804"/>
      <c r="I309" s="804"/>
      <c r="J309" s="804"/>
      <c r="K309" s="804"/>
      <c r="L309" s="804"/>
      <c r="M309" s="804"/>
      <c r="N309" s="804"/>
      <c r="O309" s="804"/>
      <c r="P309" s="804"/>
      <c r="Q309" s="804"/>
      <c r="R309" s="804"/>
      <c r="S309" s="804"/>
      <c r="T309" s="804"/>
      <c r="U309" s="804"/>
      <c r="V309" s="804"/>
      <c r="W309" s="804"/>
      <c r="X309" s="805"/>
    </row>
    <row r="310" spans="1:24" hidden="1" x14ac:dyDescent="0.25">
      <c r="A310" s="803">
        <f t="shared" si="115"/>
        <v>9</v>
      </c>
      <c r="B310" s="804" t="s">
        <v>53</v>
      </c>
      <c r="C310" s="804" t="e">
        <f>C304+C308+C309</f>
        <v>#REF!</v>
      </c>
      <c r="D310" s="804"/>
      <c r="E310" s="804"/>
      <c r="F310" s="804"/>
      <c r="G310" s="804"/>
      <c r="H310" s="804"/>
      <c r="I310" s="804"/>
      <c r="J310" s="804"/>
      <c r="K310" s="804"/>
      <c r="L310" s="804"/>
      <c r="M310" s="804"/>
      <c r="N310" s="804"/>
      <c r="O310" s="804"/>
      <c r="P310" s="804"/>
      <c r="Q310" s="804"/>
      <c r="R310" s="804"/>
      <c r="S310" s="804"/>
      <c r="T310" s="804"/>
      <c r="U310" s="804"/>
      <c r="V310" s="804"/>
      <c r="W310" s="804"/>
      <c r="X310" s="805"/>
    </row>
    <row r="311" spans="1:24" hidden="1" x14ac:dyDescent="0.25">
      <c r="A311" s="803"/>
      <c r="B311" s="804"/>
      <c r="C311" s="804"/>
      <c r="D311" s="804"/>
      <c r="E311" s="804"/>
      <c r="F311" s="804"/>
      <c r="G311" s="804"/>
      <c r="H311" s="804"/>
      <c r="I311" s="804"/>
      <c r="J311" s="804"/>
      <c r="K311" s="804"/>
      <c r="L311" s="804"/>
      <c r="M311" s="804"/>
      <c r="N311" s="804"/>
      <c r="O311" s="804"/>
      <c r="P311" s="804"/>
      <c r="Q311" s="804"/>
      <c r="R311" s="804"/>
      <c r="S311" s="804"/>
      <c r="T311" s="804"/>
      <c r="U311" s="804"/>
      <c r="V311" s="804"/>
      <c r="W311" s="804"/>
      <c r="X311" s="805"/>
    </row>
    <row r="312" spans="1:24" hidden="1" x14ac:dyDescent="0.25">
      <c r="A312" s="803"/>
      <c r="B312" s="804"/>
      <c r="C312" s="804"/>
      <c r="D312" s="804"/>
      <c r="E312" s="804"/>
      <c r="F312" s="804"/>
      <c r="G312" s="804"/>
      <c r="H312" s="804"/>
      <c r="I312" s="804"/>
      <c r="J312" s="804"/>
      <c r="K312" s="804"/>
      <c r="L312" s="804"/>
      <c r="M312" s="804"/>
      <c r="N312" s="804"/>
      <c r="O312" s="804"/>
      <c r="P312" s="804"/>
      <c r="Q312" s="804"/>
      <c r="R312" s="804"/>
      <c r="S312" s="804"/>
      <c r="T312" s="804"/>
      <c r="U312" s="804"/>
      <c r="V312" s="804"/>
      <c r="W312" s="804"/>
      <c r="X312" s="805"/>
    </row>
    <row r="313" spans="1:24" s="789" customFormat="1" x14ac:dyDescent="0.25">
      <c r="A313" s="803">
        <v>16</v>
      </c>
      <c r="B313" s="804" t="s">
        <v>62</v>
      </c>
      <c r="C313" s="804">
        <f>C290/43</f>
        <v>97040.575872093003</v>
      </c>
      <c r="D313" s="804">
        <f t="shared" ref="D313:X313" si="116">D290/43</f>
        <v>49676.761802325578</v>
      </c>
      <c r="E313" s="804">
        <f t="shared" si="116"/>
        <v>54041.664127906981</v>
      </c>
      <c r="F313" s="804">
        <f t="shared" si="116"/>
        <v>58831.034709302316</v>
      </c>
      <c r="G313" s="804">
        <f t="shared" si="116"/>
        <v>83668.20747093024</v>
      </c>
      <c r="H313" s="804">
        <f t="shared" si="116"/>
        <v>58624.117994186046</v>
      </c>
      <c r="I313" s="804">
        <f t="shared" si="116"/>
        <v>93893.823459302337</v>
      </c>
      <c r="J313" s="804">
        <f t="shared" si="116"/>
        <v>65036.455436046519</v>
      </c>
      <c r="K313" s="804">
        <f t="shared" si="116"/>
        <v>64970.103372093021</v>
      </c>
      <c r="L313" s="804">
        <f t="shared" si="116"/>
        <v>86351.396947674424</v>
      </c>
      <c r="M313" s="804">
        <f t="shared" si="116"/>
        <v>51510.344447674412</v>
      </c>
      <c r="N313" s="804">
        <f t="shared" si="116"/>
        <v>77377.04186046512</v>
      </c>
      <c r="O313" s="804">
        <f t="shared" si="116"/>
        <v>77359.106976744195</v>
      </c>
      <c r="P313" s="804">
        <f t="shared" si="116"/>
        <v>62867.720930232557</v>
      </c>
      <c r="Q313" s="804">
        <f t="shared" si="116"/>
        <v>139915.98139534885</v>
      </c>
      <c r="R313" s="804">
        <f t="shared" si="116"/>
        <v>80748.800000000003</v>
      </c>
      <c r="S313" s="804">
        <f t="shared" si="116"/>
        <v>88568.409302325585</v>
      </c>
      <c r="T313" s="804">
        <f t="shared" si="116"/>
        <v>96979.869767441865</v>
      </c>
      <c r="U313" s="804">
        <f t="shared" si="116"/>
        <v>144812.20465116281</v>
      </c>
      <c r="V313" s="804">
        <f t="shared" si="116"/>
        <v>5397.3837209302328</v>
      </c>
      <c r="W313" s="804">
        <f t="shared" si="116"/>
        <v>5153.5813953488368</v>
      </c>
      <c r="X313" s="804">
        <f t="shared" si="116"/>
        <v>4544.0755813953492</v>
      </c>
    </row>
    <row r="314" spans="1:24" x14ac:dyDescent="0.25">
      <c r="A314" s="803"/>
      <c r="B314" s="804"/>
      <c r="C314" s="804"/>
      <c r="D314" s="804"/>
      <c r="E314" s="804"/>
      <c r="F314" s="804"/>
      <c r="G314" s="804"/>
      <c r="H314" s="804"/>
      <c r="I314" s="804"/>
      <c r="J314" s="804"/>
      <c r="K314" s="804"/>
      <c r="L314" s="804"/>
      <c r="M314" s="804"/>
      <c r="N314" s="804"/>
      <c r="O314" s="804"/>
      <c r="P314" s="804"/>
      <c r="Q314" s="804"/>
      <c r="R314" s="804"/>
      <c r="S314" s="804"/>
      <c r="T314" s="804"/>
      <c r="U314" s="804"/>
      <c r="V314" s="804"/>
      <c r="W314" s="804"/>
      <c r="X314" s="805"/>
    </row>
    <row r="315" spans="1:24" x14ac:dyDescent="0.25">
      <c r="A315" s="803">
        <v>17</v>
      </c>
      <c r="B315" s="807" t="s">
        <v>63</v>
      </c>
      <c r="C315" s="804">
        <f>C285-C288</f>
        <v>12668234.287499998</v>
      </c>
      <c r="D315" s="804">
        <f t="shared" ref="D315:X315" si="117">D285-D288</f>
        <v>6558302.272499999</v>
      </c>
      <c r="E315" s="804">
        <f t="shared" si="117"/>
        <v>7121374.6725000003</v>
      </c>
      <c r="F315" s="804">
        <f t="shared" si="117"/>
        <v>7739203.4774999991</v>
      </c>
      <c r="G315" s="804">
        <f t="shared" si="117"/>
        <v>10943198.76375</v>
      </c>
      <c r="H315" s="804">
        <f t="shared" si="117"/>
        <v>7712511.2212499995</v>
      </c>
      <c r="I315" s="804">
        <f t="shared" si="117"/>
        <v>12262303.22625</v>
      </c>
      <c r="J315" s="804">
        <f t="shared" si="117"/>
        <v>8539702.7512500007</v>
      </c>
      <c r="K315" s="804">
        <f t="shared" si="117"/>
        <v>8531143.334999999</v>
      </c>
      <c r="L315" s="804">
        <f t="shared" si="117"/>
        <v>11289333.206250001</v>
      </c>
      <c r="M315" s="804">
        <f t="shared" si="117"/>
        <v>6794834.4337499999</v>
      </c>
      <c r="N315" s="804">
        <f t="shared" si="117"/>
        <v>5140819.1999999993</v>
      </c>
      <c r="O315" s="804">
        <f t="shared" si="117"/>
        <v>5139662.4000000004</v>
      </c>
      <c r="P315" s="804">
        <f t="shared" si="117"/>
        <v>4204968</v>
      </c>
      <c r="Q315" s="804">
        <f t="shared" si="117"/>
        <v>9174580.8000000007</v>
      </c>
      <c r="R315" s="804">
        <f t="shared" si="117"/>
        <v>5358297.5999999996</v>
      </c>
      <c r="S315" s="804">
        <f t="shared" si="117"/>
        <v>5862662.4000000004</v>
      </c>
      <c r="T315" s="804">
        <f t="shared" si="117"/>
        <v>6405201.5999999996</v>
      </c>
      <c r="U315" s="804">
        <f t="shared" si="117"/>
        <v>9490387.2000000011</v>
      </c>
      <c r="V315" s="804">
        <f t="shared" si="117"/>
        <v>786262.5</v>
      </c>
      <c r="W315" s="804">
        <f t="shared" si="117"/>
        <v>754812</v>
      </c>
      <c r="X315" s="804">
        <f t="shared" si="117"/>
        <v>676185.75</v>
      </c>
    </row>
    <row r="316" spans="1:24" hidden="1" x14ac:dyDescent="0.25">
      <c r="A316" s="803">
        <v>18</v>
      </c>
      <c r="B316" s="804" t="s">
        <v>64</v>
      </c>
      <c r="C316" s="804">
        <v>69820.214423232668</v>
      </c>
      <c r="D316" s="804">
        <v>73795.417969823291</v>
      </c>
      <c r="E316" s="804">
        <v>78474.428045974215</v>
      </c>
      <c r="F316" s="804">
        <v>78852.398219256604</v>
      </c>
      <c r="G316" s="804"/>
      <c r="H316" s="804"/>
      <c r="I316" s="804"/>
      <c r="J316" s="804"/>
      <c r="K316" s="804"/>
      <c r="L316" s="804"/>
      <c r="M316" s="804"/>
      <c r="N316" s="804">
        <v>127975.48729171579</v>
      </c>
      <c r="O316" s="804">
        <v>69820.214423232668</v>
      </c>
      <c r="P316" s="804">
        <v>73795.417969823291</v>
      </c>
      <c r="Q316" s="804">
        <v>78852.398219256604</v>
      </c>
      <c r="R316" s="804">
        <v>143016.09349750457</v>
      </c>
      <c r="S316" s="804"/>
      <c r="T316" s="804"/>
      <c r="U316" s="804"/>
      <c r="V316" s="804">
        <v>10861.211875930661</v>
      </c>
      <c r="W316" s="804"/>
      <c r="X316" s="805">
        <v>11730.108826005115</v>
      </c>
    </row>
    <row r="317" spans="1:24" ht="15.75" thickBot="1" x14ac:dyDescent="0.3">
      <c r="A317" s="808">
        <v>19</v>
      </c>
      <c r="B317" s="809" t="s">
        <v>65</v>
      </c>
      <c r="C317" s="809">
        <f>C315*$B318</f>
        <v>113865.63688165047</v>
      </c>
      <c r="D317" s="809">
        <f t="shared" ref="D317:X317" si="118">D315*$B318</f>
        <v>58947.857149866286</v>
      </c>
      <c r="E317" s="809">
        <f t="shared" si="118"/>
        <v>64008.909541338297</v>
      </c>
      <c r="F317" s="809">
        <f t="shared" si="118"/>
        <v>69562.127832743688</v>
      </c>
      <c r="G317" s="809">
        <f t="shared" si="118"/>
        <v>98360.534584238849</v>
      </c>
      <c r="H317" s="809">
        <f t="shared" si="118"/>
        <v>69322.210359736942</v>
      </c>
      <c r="I317" s="809">
        <f t="shared" si="118"/>
        <v>110217.01484243835</v>
      </c>
      <c r="J317" s="809">
        <f t="shared" si="118"/>
        <v>76757.239445005354</v>
      </c>
      <c r="K317" s="809">
        <f t="shared" si="118"/>
        <v>76680.305015113787</v>
      </c>
      <c r="L317" s="809">
        <f t="shared" si="118"/>
        <v>101471.68787107275</v>
      </c>
      <c r="M317" s="809">
        <f t="shared" si="118"/>
        <v>61073.874444186447</v>
      </c>
      <c r="N317" s="809">
        <f t="shared" si="118"/>
        <v>46207.122398975989</v>
      </c>
      <c r="O317" s="809">
        <f t="shared" si="118"/>
        <v>46196.724756672003</v>
      </c>
      <c r="P317" s="809">
        <f t="shared" si="118"/>
        <v>37795.42977504</v>
      </c>
      <c r="Q317" s="809">
        <f t="shared" si="118"/>
        <v>82463.701113023999</v>
      </c>
      <c r="R317" s="809">
        <f t="shared" si="118"/>
        <v>48161.879152127993</v>
      </c>
      <c r="S317" s="809">
        <f t="shared" si="118"/>
        <v>52695.251196671998</v>
      </c>
      <c r="T317" s="809">
        <f t="shared" si="118"/>
        <v>57571.745437247992</v>
      </c>
      <c r="U317" s="809">
        <f t="shared" si="118"/>
        <v>85302.257462016001</v>
      </c>
      <c r="V317" s="809">
        <f t="shared" si="118"/>
        <v>7067.1475034999994</v>
      </c>
      <c r="W317" s="809">
        <f t="shared" si="118"/>
        <v>6784.4616033599996</v>
      </c>
      <c r="X317" s="809">
        <f t="shared" si="118"/>
        <v>6077.7468530099995</v>
      </c>
    </row>
    <row r="318" spans="1:24" x14ac:dyDescent="0.25">
      <c r="B318" s="810">
        <v>8.9882799999999995E-3</v>
      </c>
      <c r="C318" s="789">
        <f>C315*B318</f>
        <v>113865.63688165047</v>
      </c>
    </row>
    <row r="319" spans="1:24" x14ac:dyDescent="0.25">
      <c r="B319" s="810"/>
    </row>
    <row r="320" spans="1:24" ht="15.75" thickBot="1" x14ac:dyDescent="0.3"/>
    <row r="321" spans="1:24" x14ac:dyDescent="0.25">
      <c r="A321" s="990" t="s">
        <v>71</v>
      </c>
      <c r="B321" s="991"/>
      <c r="C321" s="991"/>
      <c r="D321" s="991"/>
      <c r="E321" s="991"/>
      <c r="F321" s="991"/>
      <c r="G321" s="991"/>
      <c r="H321" s="991"/>
      <c r="I321" s="991"/>
      <c r="J321" s="991"/>
      <c r="K321" s="991"/>
      <c r="L321" s="991"/>
      <c r="M321" s="991"/>
      <c r="N321" s="991"/>
      <c r="O321" s="991"/>
      <c r="P321" s="991"/>
      <c r="Q321" s="991"/>
      <c r="R321" s="991"/>
      <c r="S321" s="991"/>
      <c r="T321" s="991"/>
      <c r="U321" s="991"/>
      <c r="V321" s="991"/>
      <c r="W321" s="991"/>
      <c r="X321" s="992"/>
    </row>
    <row r="322" spans="1:24" x14ac:dyDescent="0.25">
      <c r="A322" s="791"/>
      <c r="B322" s="792" t="s">
        <v>6</v>
      </c>
      <c r="C322" s="793" t="str">
        <f t="shared" ref="C322:R326" si="119">C269</f>
        <v>1BR, Fully Fitted</v>
      </c>
      <c r="D322" s="794" t="str">
        <f t="shared" si="119"/>
        <v>1BR, Fully Fitted</v>
      </c>
      <c r="E322" s="794" t="str">
        <f t="shared" si="119"/>
        <v>1BR, Fully Fitted</v>
      </c>
      <c r="F322" s="794" t="str">
        <f t="shared" si="119"/>
        <v>1BR, Fully Fitted</v>
      </c>
      <c r="G322" s="794" t="str">
        <f t="shared" si="119"/>
        <v>1BR, Fully Fitted</v>
      </c>
      <c r="H322" s="794" t="str">
        <f t="shared" si="119"/>
        <v>1BR, Fully Fitted</v>
      </c>
      <c r="I322" s="794" t="str">
        <f t="shared" si="119"/>
        <v>1BR, Fully Fitted</v>
      </c>
      <c r="J322" s="794" t="str">
        <f t="shared" si="119"/>
        <v>1BR, Fully Fitted</v>
      </c>
      <c r="K322" s="794" t="str">
        <f t="shared" si="119"/>
        <v>1BR, Fully Fitted</v>
      </c>
      <c r="L322" s="794" t="str">
        <f t="shared" si="119"/>
        <v>1BR, Fully Fitted</v>
      </c>
      <c r="M322" s="794" t="str">
        <f t="shared" si="119"/>
        <v>1BR, Fully Fitted</v>
      </c>
      <c r="N322" s="794">
        <f t="shared" ref="N322:X323" si="120">N60</f>
        <v>0</v>
      </c>
      <c r="O322" s="794">
        <f t="shared" si="120"/>
        <v>0</v>
      </c>
      <c r="P322" s="794">
        <f t="shared" si="120"/>
        <v>0</v>
      </c>
      <c r="Q322" s="794">
        <f t="shared" si="120"/>
        <v>0</v>
      </c>
      <c r="R322" s="794">
        <f t="shared" si="120"/>
        <v>0</v>
      </c>
      <c r="S322" s="794">
        <f t="shared" si="120"/>
        <v>0</v>
      </c>
      <c r="T322" s="794">
        <f t="shared" si="120"/>
        <v>0</v>
      </c>
      <c r="U322" s="794">
        <f t="shared" si="120"/>
        <v>0</v>
      </c>
      <c r="V322" s="794">
        <f t="shared" si="120"/>
        <v>0</v>
      </c>
      <c r="W322" s="794">
        <f t="shared" si="120"/>
        <v>0</v>
      </c>
      <c r="X322" s="795">
        <f t="shared" si="120"/>
        <v>0</v>
      </c>
    </row>
    <row r="323" spans="1:24" x14ac:dyDescent="0.25">
      <c r="A323" s="791"/>
      <c r="B323" s="792"/>
      <c r="C323" s="793" t="str">
        <f t="shared" si="119"/>
        <v>Unit A</v>
      </c>
      <c r="D323" s="794" t="str">
        <f t="shared" si="119"/>
        <v>Unit  B</v>
      </c>
      <c r="E323" s="794" t="str">
        <f t="shared" si="119"/>
        <v>Unit C</v>
      </c>
      <c r="F323" s="794" t="str">
        <f t="shared" si="119"/>
        <v>Unit D</v>
      </c>
      <c r="G323" s="794" t="str">
        <f t="shared" si="119"/>
        <v>Unit E</v>
      </c>
      <c r="H323" s="794" t="str">
        <f t="shared" si="119"/>
        <v>Unit F</v>
      </c>
      <c r="I323" s="794" t="str">
        <f t="shared" si="119"/>
        <v>Unit G</v>
      </c>
      <c r="J323" s="794" t="str">
        <f t="shared" si="119"/>
        <v>Unit H</v>
      </c>
      <c r="K323" s="794" t="str">
        <f t="shared" si="119"/>
        <v>Unit I to K</v>
      </c>
      <c r="L323" s="794" t="str">
        <f t="shared" si="119"/>
        <v>Unit L</v>
      </c>
      <c r="M323" s="794" t="str">
        <f t="shared" si="119"/>
        <v>Unit M</v>
      </c>
      <c r="N323" s="794">
        <f t="shared" si="120"/>
        <v>44.44</v>
      </c>
      <c r="O323" s="794">
        <f t="shared" si="120"/>
        <v>44.43</v>
      </c>
      <c r="P323" s="794">
        <f t="shared" si="120"/>
        <v>36.35</v>
      </c>
      <c r="Q323" s="794">
        <f t="shared" si="120"/>
        <v>79.31</v>
      </c>
      <c r="R323" s="794">
        <f t="shared" si="120"/>
        <v>46.32</v>
      </c>
      <c r="S323" s="794">
        <f t="shared" si="120"/>
        <v>50.68</v>
      </c>
      <c r="T323" s="794">
        <f t="shared" si="120"/>
        <v>55.37</v>
      </c>
      <c r="U323" s="794">
        <f t="shared" si="120"/>
        <v>82.04</v>
      </c>
      <c r="V323" s="794">
        <f t="shared" si="120"/>
        <v>12.5</v>
      </c>
      <c r="W323" s="794">
        <f t="shared" si="120"/>
        <v>12</v>
      </c>
      <c r="X323" s="795">
        <f t="shared" si="120"/>
        <v>10.75</v>
      </c>
    </row>
    <row r="324" spans="1:24" x14ac:dyDescent="0.25">
      <c r="A324" s="791">
        <v>1</v>
      </c>
      <c r="B324" s="796" t="s">
        <v>30</v>
      </c>
      <c r="C324" s="797">
        <f t="shared" si="119"/>
        <v>98.5</v>
      </c>
      <c r="D324" s="797">
        <f t="shared" si="119"/>
        <v>51.02</v>
      </c>
      <c r="E324" s="797">
        <f t="shared" si="119"/>
        <v>55.62</v>
      </c>
      <c r="F324" s="797">
        <f t="shared" si="119"/>
        <v>60.78</v>
      </c>
      <c r="G324" s="797">
        <f t="shared" si="119"/>
        <v>83.49</v>
      </c>
      <c r="H324" s="797">
        <f t="shared" si="119"/>
        <v>61.03</v>
      </c>
      <c r="I324" s="797">
        <f t="shared" si="119"/>
        <v>94.79</v>
      </c>
      <c r="J324" s="797">
        <f t="shared" si="119"/>
        <v>67.790000000000006</v>
      </c>
      <c r="K324" s="797">
        <f t="shared" si="119"/>
        <v>67.72</v>
      </c>
      <c r="L324" s="797">
        <f t="shared" si="119"/>
        <v>86.15</v>
      </c>
      <c r="M324" s="797">
        <f t="shared" si="119"/>
        <v>53.53</v>
      </c>
      <c r="N324" s="797">
        <f t="shared" si="119"/>
        <v>44.44</v>
      </c>
      <c r="O324" s="797">
        <f t="shared" si="119"/>
        <v>44.43</v>
      </c>
      <c r="P324" s="797">
        <f t="shared" si="119"/>
        <v>36.35</v>
      </c>
      <c r="Q324" s="797">
        <f t="shared" si="119"/>
        <v>79.31</v>
      </c>
      <c r="R324" s="797">
        <f t="shared" si="119"/>
        <v>46.32</v>
      </c>
      <c r="S324" s="797">
        <f t="shared" ref="S324:X325" si="121">S271</f>
        <v>50.68</v>
      </c>
      <c r="T324" s="797">
        <f t="shared" si="121"/>
        <v>55.37</v>
      </c>
      <c r="U324" s="797">
        <f t="shared" si="121"/>
        <v>82.04</v>
      </c>
      <c r="V324" s="797">
        <f t="shared" si="121"/>
        <v>12.5</v>
      </c>
      <c r="W324" s="797">
        <f t="shared" si="121"/>
        <v>12</v>
      </c>
      <c r="X324" s="798">
        <f t="shared" si="121"/>
        <v>10.75</v>
      </c>
    </row>
    <row r="325" spans="1:24" x14ac:dyDescent="0.25">
      <c r="A325" s="791">
        <v>2</v>
      </c>
      <c r="B325" s="796" t="s">
        <v>31</v>
      </c>
      <c r="C325" s="797">
        <f t="shared" si="119"/>
        <v>10.46</v>
      </c>
      <c r="D325" s="797">
        <f t="shared" si="119"/>
        <v>5.36</v>
      </c>
      <c r="E325" s="797">
        <f t="shared" si="119"/>
        <v>5.37</v>
      </c>
      <c r="F325" s="797">
        <f t="shared" si="119"/>
        <v>5.15</v>
      </c>
      <c r="G325" s="797">
        <f t="shared" si="119"/>
        <v>12.309999999999999</v>
      </c>
      <c r="H325" s="797">
        <f t="shared" si="119"/>
        <v>4.1900000000000004</v>
      </c>
      <c r="I325" s="797">
        <f t="shared" si="119"/>
        <v>11.260000000000002</v>
      </c>
      <c r="J325" s="797">
        <f t="shared" si="119"/>
        <v>4.2</v>
      </c>
      <c r="K325" s="797">
        <f t="shared" si="119"/>
        <v>4.2</v>
      </c>
      <c r="L325" s="797">
        <f t="shared" si="119"/>
        <v>12.66</v>
      </c>
      <c r="M325" s="797">
        <f t="shared" si="119"/>
        <v>4.18</v>
      </c>
      <c r="N325" s="797">
        <f t="shared" si="119"/>
        <v>0</v>
      </c>
      <c r="O325" s="797">
        <f t="shared" si="119"/>
        <v>0</v>
      </c>
      <c r="P325" s="797">
        <f t="shared" si="119"/>
        <v>0</v>
      </c>
      <c r="Q325" s="797">
        <f t="shared" si="119"/>
        <v>0</v>
      </c>
      <c r="R325" s="797">
        <f t="shared" si="119"/>
        <v>0</v>
      </c>
      <c r="S325" s="797">
        <f t="shared" si="121"/>
        <v>0</v>
      </c>
      <c r="T325" s="797">
        <f t="shared" si="121"/>
        <v>0</v>
      </c>
      <c r="U325" s="797">
        <f t="shared" si="121"/>
        <v>0</v>
      </c>
      <c r="V325" s="797">
        <f t="shared" si="121"/>
        <v>0</v>
      </c>
      <c r="W325" s="797">
        <f t="shared" si="121"/>
        <v>0</v>
      </c>
      <c r="X325" s="798">
        <f t="shared" si="121"/>
        <v>0</v>
      </c>
    </row>
    <row r="326" spans="1:24" x14ac:dyDescent="0.25">
      <c r="A326" s="791">
        <v>3</v>
      </c>
      <c r="B326" s="796" t="s">
        <v>32</v>
      </c>
      <c r="C326" s="797">
        <f t="shared" si="119"/>
        <v>108.96000000000001</v>
      </c>
      <c r="D326" s="797">
        <f t="shared" si="119"/>
        <v>56.38</v>
      </c>
      <c r="E326" s="797">
        <f t="shared" si="119"/>
        <v>60.989999999999995</v>
      </c>
      <c r="F326" s="797">
        <f t="shared" si="119"/>
        <v>65.930000000000007</v>
      </c>
      <c r="G326" s="797">
        <f t="shared" si="119"/>
        <v>95.8</v>
      </c>
      <c r="H326" s="797">
        <f t="shared" si="119"/>
        <v>65.22</v>
      </c>
      <c r="I326" s="797">
        <f t="shared" si="119"/>
        <v>106.05000000000001</v>
      </c>
      <c r="J326" s="797">
        <f t="shared" si="119"/>
        <v>71.990000000000009</v>
      </c>
      <c r="K326" s="797">
        <f t="shared" si="119"/>
        <v>71.92</v>
      </c>
      <c r="L326" s="797">
        <f t="shared" si="119"/>
        <v>98.81</v>
      </c>
      <c r="M326" s="797">
        <f t="shared" si="119"/>
        <v>57.71</v>
      </c>
      <c r="N326" s="797">
        <f t="shared" ref="N326:X326" si="122">SUM(N324:N325)</f>
        <v>44.44</v>
      </c>
      <c r="O326" s="797">
        <f t="shared" si="122"/>
        <v>44.43</v>
      </c>
      <c r="P326" s="797">
        <f t="shared" si="122"/>
        <v>36.35</v>
      </c>
      <c r="Q326" s="797">
        <f t="shared" si="122"/>
        <v>79.31</v>
      </c>
      <c r="R326" s="797">
        <f t="shared" si="122"/>
        <v>46.32</v>
      </c>
      <c r="S326" s="797">
        <f t="shared" si="122"/>
        <v>50.68</v>
      </c>
      <c r="T326" s="797">
        <f t="shared" si="122"/>
        <v>55.37</v>
      </c>
      <c r="U326" s="797">
        <f t="shared" si="122"/>
        <v>82.04</v>
      </c>
      <c r="V326" s="797">
        <f t="shared" si="122"/>
        <v>12.5</v>
      </c>
      <c r="W326" s="797">
        <f t="shared" si="122"/>
        <v>12</v>
      </c>
      <c r="X326" s="797">
        <f t="shared" si="122"/>
        <v>10.75</v>
      </c>
    </row>
    <row r="327" spans="1:24" x14ac:dyDescent="0.25">
      <c r="A327" s="791"/>
      <c r="B327" s="796"/>
      <c r="C327" s="797"/>
      <c r="D327" s="797"/>
      <c r="E327" s="797"/>
      <c r="F327" s="797"/>
      <c r="G327" s="797"/>
      <c r="H327" s="797"/>
      <c r="I327" s="797"/>
      <c r="J327" s="797"/>
      <c r="K327" s="797"/>
      <c r="L327" s="797"/>
      <c r="M327" s="797"/>
      <c r="N327" s="797"/>
      <c r="O327" s="797"/>
      <c r="P327" s="797"/>
      <c r="Q327" s="797"/>
      <c r="R327" s="797"/>
      <c r="S327" s="797"/>
      <c r="T327" s="797"/>
      <c r="U327" s="797"/>
      <c r="V327" s="797"/>
      <c r="W327" s="797"/>
      <c r="X327" s="798"/>
    </row>
    <row r="328" spans="1:24" x14ac:dyDescent="0.25">
      <c r="A328" s="791">
        <v>4</v>
      </c>
      <c r="B328" s="796" t="s">
        <v>33</v>
      </c>
      <c r="C328" s="797">
        <f>'[15]Priority Selling List'!O17</f>
        <v>138682.49999999997</v>
      </c>
      <c r="D328" s="797">
        <f t="shared" ref="D328:M328" si="123">$C$328</f>
        <v>138682.49999999997</v>
      </c>
      <c r="E328" s="797">
        <f t="shared" si="123"/>
        <v>138682.49999999997</v>
      </c>
      <c r="F328" s="797">
        <f t="shared" si="123"/>
        <v>138682.49999999997</v>
      </c>
      <c r="G328" s="797">
        <f t="shared" si="123"/>
        <v>138682.49999999997</v>
      </c>
      <c r="H328" s="797">
        <f t="shared" si="123"/>
        <v>138682.49999999997</v>
      </c>
      <c r="I328" s="797">
        <f t="shared" si="123"/>
        <v>138682.49999999997</v>
      </c>
      <c r="J328" s="797">
        <f t="shared" si="123"/>
        <v>138682.49999999997</v>
      </c>
      <c r="K328" s="797">
        <f t="shared" si="123"/>
        <v>138682.49999999997</v>
      </c>
      <c r="L328" s="797">
        <f t="shared" si="123"/>
        <v>138682.49999999997</v>
      </c>
      <c r="M328" s="797">
        <f t="shared" si="123"/>
        <v>138682.49999999997</v>
      </c>
      <c r="N328" s="797">
        <v>160000</v>
      </c>
      <c r="O328" s="797">
        <v>160000</v>
      </c>
      <c r="P328" s="797">
        <v>160000</v>
      </c>
      <c r="Q328" s="797">
        <v>160000</v>
      </c>
      <c r="R328" s="797">
        <v>160000</v>
      </c>
      <c r="S328" s="797">
        <v>160000</v>
      </c>
      <c r="T328" s="797">
        <v>160000</v>
      </c>
      <c r="U328" s="797">
        <v>160000</v>
      </c>
      <c r="V328" s="797">
        <v>69600</v>
      </c>
      <c r="W328" s="797">
        <v>69600</v>
      </c>
      <c r="X328" s="798">
        <v>69600</v>
      </c>
    </row>
    <row r="329" spans="1:24" x14ac:dyDescent="0.25">
      <c r="A329" s="791">
        <v>5</v>
      </c>
      <c r="B329" s="796" t="s">
        <v>34</v>
      </c>
      <c r="C329" s="797">
        <f>C324*C328</f>
        <v>13660226.249999996</v>
      </c>
      <c r="D329" s="797">
        <f t="shared" ref="D329:G329" si="124">D324*D328</f>
        <v>7075581.1499999985</v>
      </c>
      <c r="E329" s="797">
        <f t="shared" si="124"/>
        <v>7713520.6499999976</v>
      </c>
      <c r="F329" s="797">
        <f t="shared" si="124"/>
        <v>8429122.3499999978</v>
      </c>
      <c r="G329" s="797">
        <f t="shared" si="124"/>
        <v>11578601.924999997</v>
      </c>
      <c r="H329" s="797">
        <f>H328*H324</f>
        <v>8463792.9749999978</v>
      </c>
      <c r="I329" s="797">
        <f t="shared" ref="I329:M329" si="125">I328*I324</f>
        <v>13145714.174999999</v>
      </c>
      <c r="J329" s="797">
        <f t="shared" si="125"/>
        <v>9401286.6749999989</v>
      </c>
      <c r="K329" s="797">
        <f t="shared" si="125"/>
        <v>9391578.8999999985</v>
      </c>
      <c r="L329" s="797">
        <f t="shared" si="125"/>
        <v>11947497.374999998</v>
      </c>
      <c r="M329" s="797">
        <f t="shared" si="125"/>
        <v>7423674.2249999987</v>
      </c>
      <c r="N329" s="797">
        <f>N328*N326</f>
        <v>7110400</v>
      </c>
      <c r="O329" s="797">
        <f>O328*O326</f>
        <v>7108800</v>
      </c>
      <c r="P329" s="797">
        <f>P328*P326</f>
        <v>5816000</v>
      </c>
      <c r="Q329" s="797">
        <f>Q328*Q326</f>
        <v>12689600</v>
      </c>
      <c r="R329" s="797">
        <f>R328*R326</f>
        <v>7411200</v>
      </c>
      <c r="S329" s="797">
        <f t="shared" ref="S329:X329" si="126">S328*S326</f>
        <v>8108800</v>
      </c>
      <c r="T329" s="797">
        <f t="shared" si="126"/>
        <v>8859200</v>
      </c>
      <c r="U329" s="797">
        <f t="shared" si="126"/>
        <v>13126400.000000002</v>
      </c>
      <c r="V329" s="797">
        <f t="shared" si="126"/>
        <v>870000</v>
      </c>
      <c r="W329" s="797">
        <f t="shared" si="126"/>
        <v>835200</v>
      </c>
      <c r="X329" s="797">
        <f t="shared" si="126"/>
        <v>748200</v>
      </c>
    </row>
    <row r="330" spans="1:24" x14ac:dyDescent="0.25">
      <c r="A330" s="791">
        <v>6</v>
      </c>
      <c r="B330" s="796" t="s">
        <v>35</v>
      </c>
      <c r="C330" s="797">
        <v>66000</v>
      </c>
      <c r="D330" s="797">
        <v>66000</v>
      </c>
      <c r="E330" s="797">
        <v>66000</v>
      </c>
      <c r="F330" s="797">
        <v>66000</v>
      </c>
      <c r="G330" s="797">
        <v>66000</v>
      </c>
      <c r="H330" s="797">
        <v>66000</v>
      </c>
      <c r="I330" s="797">
        <v>66000</v>
      </c>
      <c r="J330" s="797">
        <v>66000</v>
      </c>
      <c r="K330" s="797">
        <v>66000</v>
      </c>
      <c r="L330" s="797">
        <v>66000</v>
      </c>
      <c r="M330" s="797">
        <v>66000</v>
      </c>
      <c r="N330" s="797"/>
      <c r="O330" s="797"/>
      <c r="P330" s="797"/>
      <c r="Q330" s="797"/>
      <c r="R330" s="797"/>
      <c r="S330" s="797"/>
      <c r="T330" s="797"/>
      <c r="U330" s="797"/>
      <c r="V330" s="797"/>
      <c r="W330" s="797"/>
      <c r="X330" s="798"/>
    </row>
    <row r="331" spans="1:24" x14ac:dyDescent="0.25">
      <c r="A331" s="791">
        <v>7</v>
      </c>
      <c r="B331" s="796" t="s">
        <v>36</v>
      </c>
      <c r="C331" s="797">
        <f>C330*C325</f>
        <v>690360</v>
      </c>
      <c r="D331" s="797">
        <f t="shared" ref="D331:M331" si="127">D330*D325</f>
        <v>353760</v>
      </c>
      <c r="E331" s="797">
        <f t="shared" si="127"/>
        <v>354420</v>
      </c>
      <c r="F331" s="797">
        <f t="shared" si="127"/>
        <v>339900</v>
      </c>
      <c r="G331" s="797">
        <f t="shared" si="127"/>
        <v>812459.99999999988</v>
      </c>
      <c r="H331" s="797">
        <f t="shared" si="127"/>
        <v>276540</v>
      </c>
      <c r="I331" s="797">
        <f t="shared" si="127"/>
        <v>743160.00000000012</v>
      </c>
      <c r="J331" s="797">
        <f t="shared" si="127"/>
        <v>277200</v>
      </c>
      <c r="K331" s="797">
        <f t="shared" si="127"/>
        <v>277200</v>
      </c>
      <c r="L331" s="797">
        <f t="shared" si="127"/>
        <v>835560</v>
      </c>
      <c r="M331" s="797">
        <f t="shared" si="127"/>
        <v>275880</v>
      </c>
      <c r="N331" s="797"/>
      <c r="O331" s="797"/>
      <c r="P331" s="797"/>
      <c r="Q331" s="797"/>
      <c r="R331" s="797"/>
      <c r="S331" s="797"/>
      <c r="T331" s="797"/>
      <c r="U331" s="797"/>
      <c r="V331" s="797"/>
      <c r="W331" s="797"/>
      <c r="X331" s="798"/>
    </row>
    <row r="332" spans="1:24" x14ac:dyDescent="0.25">
      <c r="A332" s="791"/>
      <c r="B332" s="792" t="s">
        <v>37</v>
      </c>
      <c r="C332" s="799">
        <f t="shared" ref="C332:M332" si="128">C329+C331</f>
        <v>14350586.249999996</v>
      </c>
      <c r="D332" s="799">
        <f t="shared" si="128"/>
        <v>7429341.1499999985</v>
      </c>
      <c r="E332" s="799">
        <f t="shared" si="128"/>
        <v>8067940.6499999976</v>
      </c>
      <c r="F332" s="799">
        <f t="shared" si="128"/>
        <v>8769022.3499999978</v>
      </c>
      <c r="G332" s="799">
        <f t="shared" si="128"/>
        <v>12391061.924999997</v>
      </c>
      <c r="H332" s="799">
        <f t="shared" si="128"/>
        <v>8740332.9749999978</v>
      </c>
      <c r="I332" s="799">
        <f t="shared" si="128"/>
        <v>13888874.174999999</v>
      </c>
      <c r="J332" s="799">
        <f t="shared" si="128"/>
        <v>9678486.6749999989</v>
      </c>
      <c r="K332" s="799">
        <f t="shared" si="128"/>
        <v>9668778.8999999985</v>
      </c>
      <c r="L332" s="799">
        <f t="shared" si="128"/>
        <v>12783057.374999998</v>
      </c>
      <c r="M332" s="799">
        <f t="shared" si="128"/>
        <v>7699554.2249999987</v>
      </c>
      <c r="N332" s="799">
        <f>N329</f>
        <v>7110400</v>
      </c>
      <c r="O332" s="799">
        <f>O329</f>
        <v>7108800</v>
      </c>
      <c r="P332" s="799">
        <f>P329</f>
        <v>5816000</v>
      </c>
      <c r="Q332" s="799">
        <f>Q329</f>
        <v>12689600</v>
      </c>
      <c r="R332" s="799">
        <f>R329</f>
        <v>7411200</v>
      </c>
      <c r="S332" s="799">
        <f t="shared" ref="S332:X332" si="129">S329</f>
        <v>8108800</v>
      </c>
      <c r="T332" s="799">
        <f t="shared" si="129"/>
        <v>8859200</v>
      </c>
      <c r="U332" s="799">
        <f t="shared" si="129"/>
        <v>13126400.000000002</v>
      </c>
      <c r="V332" s="799">
        <f t="shared" si="129"/>
        <v>870000</v>
      </c>
      <c r="W332" s="799">
        <f t="shared" si="129"/>
        <v>835200</v>
      </c>
      <c r="X332" s="799">
        <f t="shared" si="129"/>
        <v>748200</v>
      </c>
    </row>
    <row r="333" spans="1:24" x14ac:dyDescent="0.25">
      <c r="A333" s="791"/>
      <c r="B333" s="796"/>
      <c r="C333" s="797"/>
      <c r="D333" s="797"/>
      <c r="E333" s="797"/>
      <c r="F333" s="797"/>
      <c r="G333" s="797"/>
      <c r="H333" s="797"/>
      <c r="I333" s="797"/>
      <c r="J333" s="797"/>
      <c r="K333" s="797"/>
      <c r="L333" s="797"/>
      <c r="M333" s="797"/>
      <c r="N333" s="797"/>
      <c r="O333" s="797"/>
      <c r="P333" s="797"/>
      <c r="Q333" s="797"/>
      <c r="R333" s="797"/>
      <c r="S333" s="797"/>
      <c r="T333" s="797"/>
      <c r="U333" s="797"/>
      <c r="V333" s="797"/>
      <c r="W333" s="797"/>
      <c r="X333" s="798"/>
    </row>
    <row r="334" spans="1:24" x14ac:dyDescent="0.25">
      <c r="A334" s="791">
        <v>8</v>
      </c>
      <c r="B334" s="796" t="s">
        <v>38</v>
      </c>
      <c r="C334" s="797">
        <f t="shared" ref="C334:X334" si="130">C332*12%</f>
        <v>1722070.3499999994</v>
      </c>
      <c r="D334" s="797">
        <f t="shared" si="130"/>
        <v>891520.93799999973</v>
      </c>
      <c r="E334" s="797">
        <f t="shared" si="130"/>
        <v>968152.87799999968</v>
      </c>
      <c r="F334" s="797">
        <f t="shared" si="130"/>
        <v>1052282.6819999998</v>
      </c>
      <c r="G334" s="797">
        <f t="shared" si="130"/>
        <v>1486927.4309999996</v>
      </c>
      <c r="H334" s="797">
        <f t="shared" si="130"/>
        <v>1048839.9569999997</v>
      </c>
      <c r="I334" s="797">
        <f t="shared" si="130"/>
        <v>1666664.9009999998</v>
      </c>
      <c r="J334" s="797">
        <f t="shared" si="130"/>
        <v>1161418.4009999998</v>
      </c>
      <c r="K334" s="797">
        <f t="shared" si="130"/>
        <v>1160253.4679999999</v>
      </c>
      <c r="L334" s="797">
        <f t="shared" si="130"/>
        <v>1533966.8849999998</v>
      </c>
      <c r="M334" s="797">
        <f t="shared" si="130"/>
        <v>923946.50699999987</v>
      </c>
      <c r="N334" s="797">
        <f t="shared" si="130"/>
        <v>853248</v>
      </c>
      <c r="O334" s="797">
        <f t="shared" si="130"/>
        <v>853056</v>
      </c>
      <c r="P334" s="797">
        <f t="shared" si="130"/>
        <v>697920</v>
      </c>
      <c r="Q334" s="797">
        <f t="shared" si="130"/>
        <v>1522752</v>
      </c>
      <c r="R334" s="797">
        <f t="shared" si="130"/>
        <v>889344</v>
      </c>
      <c r="S334" s="797">
        <f t="shared" si="130"/>
        <v>973056</v>
      </c>
      <c r="T334" s="797">
        <f t="shared" si="130"/>
        <v>1063104</v>
      </c>
      <c r="U334" s="797">
        <f t="shared" si="130"/>
        <v>1575168.0000000002</v>
      </c>
      <c r="V334" s="797">
        <f t="shared" si="130"/>
        <v>104400</v>
      </c>
      <c r="W334" s="797">
        <f t="shared" si="130"/>
        <v>100224</v>
      </c>
      <c r="X334" s="797">
        <f t="shared" si="130"/>
        <v>89784</v>
      </c>
    </row>
    <row r="335" spans="1:24" x14ac:dyDescent="0.25">
      <c r="A335" s="791">
        <v>9</v>
      </c>
      <c r="B335" s="796" t="s">
        <v>39</v>
      </c>
      <c r="C335" s="797">
        <f>C332*6%</f>
        <v>861035.1749999997</v>
      </c>
      <c r="D335" s="797">
        <f t="shared" ref="D335:X335" si="131">D332*6%</f>
        <v>445760.46899999987</v>
      </c>
      <c r="E335" s="797">
        <f t="shared" si="131"/>
        <v>484076.43899999984</v>
      </c>
      <c r="F335" s="797">
        <f t="shared" si="131"/>
        <v>526141.3409999999</v>
      </c>
      <c r="G335" s="797">
        <f t="shared" si="131"/>
        <v>743463.71549999982</v>
      </c>
      <c r="H335" s="797">
        <f t="shared" si="131"/>
        <v>524419.97849999985</v>
      </c>
      <c r="I335" s="797">
        <f t="shared" si="131"/>
        <v>833332.45049999992</v>
      </c>
      <c r="J335" s="797">
        <f t="shared" si="131"/>
        <v>580709.20049999992</v>
      </c>
      <c r="K335" s="797">
        <f t="shared" si="131"/>
        <v>580126.73399999994</v>
      </c>
      <c r="L335" s="797">
        <f t="shared" si="131"/>
        <v>766983.44249999989</v>
      </c>
      <c r="M335" s="797">
        <f t="shared" si="131"/>
        <v>461973.25349999993</v>
      </c>
      <c r="N335" s="797">
        <f t="shared" si="131"/>
        <v>426624</v>
      </c>
      <c r="O335" s="797">
        <f t="shared" si="131"/>
        <v>426528</v>
      </c>
      <c r="P335" s="797">
        <f t="shared" si="131"/>
        <v>348960</v>
      </c>
      <c r="Q335" s="797">
        <f t="shared" si="131"/>
        <v>761376</v>
      </c>
      <c r="R335" s="797">
        <f t="shared" si="131"/>
        <v>444672</v>
      </c>
      <c r="S335" s="797">
        <f t="shared" si="131"/>
        <v>486528</v>
      </c>
      <c r="T335" s="797">
        <f t="shared" si="131"/>
        <v>531552</v>
      </c>
      <c r="U335" s="797">
        <f t="shared" si="131"/>
        <v>787584.00000000012</v>
      </c>
      <c r="V335" s="797">
        <f t="shared" si="131"/>
        <v>52200</v>
      </c>
      <c r="W335" s="797">
        <f t="shared" si="131"/>
        <v>50112</v>
      </c>
      <c r="X335" s="797">
        <f t="shared" si="131"/>
        <v>44892</v>
      </c>
    </row>
    <row r="336" spans="1:24" x14ac:dyDescent="0.25">
      <c r="A336" s="791">
        <v>10</v>
      </c>
      <c r="B336" s="796" t="s">
        <v>40</v>
      </c>
      <c r="C336" s="797">
        <f>C332*2.5%</f>
        <v>358764.65624999994</v>
      </c>
      <c r="D336" s="797">
        <f t="shared" ref="D336:X336" si="132">D332*2.5%</f>
        <v>185733.52874999997</v>
      </c>
      <c r="E336" s="797">
        <f t="shared" si="132"/>
        <v>201698.51624999996</v>
      </c>
      <c r="F336" s="797">
        <f t="shared" si="132"/>
        <v>219225.55874999997</v>
      </c>
      <c r="G336" s="797">
        <f t="shared" si="132"/>
        <v>309776.54812499991</v>
      </c>
      <c r="H336" s="797">
        <f t="shared" si="132"/>
        <v>218508.32437499997</v>
      </c>
      <c r="I336" s="797">
        <f t="shared" si="132"/>
        <v>347221.854375</v>
      </c>
      <c r="J336" s="797">
        <f t="shared" si="132"/>
        <v>241962.166875</v>
      </c>
      <c r="K336" s="797">
        <f t="shared" si="132"/>
        <v>241719.47249999997</v>
      </c>
      <c r="L336" s="797">
        <f t="shared" si="132"/>
        <v>319576.43437499995</v>
      </c>
      <c r="M336" s="797">
        <f t="shared" si="132"/>
        <v>192488.85562499997</v>
      </c>
      <c r="N336" s="797">
        <f t="shared" si="132"/>
        <v>177760</v>
      </c>
      <c r="O336" s="797">
        <f t="shared" si="132"/>
        <v>177720</v>
      </c>
      <c r="P336" s="797">
        <f t="shared" si="132"/>
        <v>145400</v>
      </c>
      <c r="Q336" s="797">
        <f t="shared" si="132"/>
        <v>317240</v>
      </c>
      <c r="R336" s="797">
        <f t="shared" si="132"/>
        <v>185280</v>
      </c>
      <c r="S336" s="797">
        <f t="shared" si="132"/>
        <v>202720</v>
      </c>
      <c r="T336" s="797">
        <f t="shared" si="132"/>
        <v>221480</v>
      </c>
      <c r="U336" s="797">
        <f t="shared" si="132"/>
        <v>328160.00000000006</v>
      </c>
      <c r="V336" s="797">
        <f t="shared" si="132"/>
        <v>21750</v>
      </c>
      <c r="W336" s="797">
        <f t="shared" si="132"/>
        <v>20880</v>
      </c>
      <c r="X336" s="797">
        <f t="shared" si="132"/>
        <v>18705</v>
      </c>
    </row>
    <row r="337" spans="1:24" x14ac:dyDescent="0.25">
      <c r="A337" s="791"/>
      <c r="B337" s="796"/>
      <c r="C337" s="797"/>
      <c r="D337" s="797"/>
      <c r="E337" s="797"/>
      <c r="F337" s="797"/>
      <c r="G337" s="797"/>
      <c r="H337" s="797"/>
      <c r="I337" s="797"/>
      <c r="J337" s="797"/>
      <c r="K337" s="797"/>
      <c r="L337" s="797"/>
      <c r="M337" s="797"/>
      <c r="N337" s="797"/>
      <c r="O337" s="797"/>
      <c r="P337" s="797"/>
      <c r="Q337" s="797"/>
      <c r="R337" s="797"/>
      <c r="S337" s="797"/>
      <c r="T337" s="797"/>
      <c r="U337" s="797"/>
      <c r="V337" s="797"/>
      <c r="W337" s="797"/>
      <c r="X337" s="798"/>
    </row>
    <row r="338" spans="1:24" x14ac:dyDescent="0.25">
      <c r="A338" s="791"/>
      <c r="B338" s="792" t="s">
        <v>41</v>
      </c>
      <c r="C338" s="799">
        <f t="shared" ref="C338:X338" si="133">C332+C334+C335+C336</f>
        <v>17292456.431249995</v>
      </c>
      <c r="D338" s="799">
        <f t="shared" si="133"/>
        <v>8952356.0857499987</v>
      </c>
      <c r="E338" s="799">
        <f t="shared" si="133"/>
        <v>9721868.4832499959</v>
      </c>
      <c r="F338" s="799">
        <f t="shared" si="133"/>
        <v>10566671.931749998</v>
      </c>
      <c r="G338" s="799">
        <f t="shared" si="133"/>
        <v>14931229.619624997</v>
      </c>
      <c r="H338" s="799">
        <f t="shared" si="133"/>
        <v>10532101.234874997</v>
      </c>
      <c r="I338" s="799">
        <f t="shared" si="133"/>
        <v>16736093.380874999</v>
      </c>
      <c r="J338" s="799">
        <f t="shared" si="133"/>
        <v>11662576.443374999</v>
      </c>
      <c r="K338" s="799">
        <f t="shared" si="133"/>
        <v>11650878.574499998</v>
      </c>
      <c r="L338" s="799">
        <f t="shared" si="133"/>
        <v>15403584.136874996</v>
      </c>
      <c r="M338" s="799">
        <f t="shared" si="133"/>
        <v>9277962.8411249984</v>
      </c>
      <c r="N338" s="799">
        <f t="shared" si="133"/>
        <v>8568032</v>
      </c>
      <c r="O338" s="799">
        <f t="shared" si="133"/>
        <v>8566104</v>
      </c>
      <c r="P338" s="799">
        <f t="shared" si="133"/>
        <v>7008280</v>
      </c>
      <c r="Q338" s="799">
        <f t="shared" si="133"/>
        <v>15290968</v>
      </c>
      <c r="R338" s="799">
        <f t="shared" si="133"/>
        <v>8930496</v>
      </c>
      <c r="S338" s="799">
        <f t="shared" si="133"/>
        <v>9771104</v>
      </c>
      <c r="T338" s="799">
        <f t="shared" si="133"/>
        <v>10675336</v>
      </c>
      <c r="U338" s="799">
        <f t="shared" si="133"/>
        <v>15817312.000000002</v>
      </c>
      <c r="V338" s="799">
        <f t="shared" si="133"/>
        <v>1048350</v>
      </c>
      <c r="W338" s="799">
        <f t="shared" si="133"/>
        <v>1006416</v>
      </c>
      <c r="X338" s="799">
        <f t="shared" si="133"/>
        <v>901581</v>
      </c>
    </row>
    <row r="339" spans="1:24" x14ac:dyDescent="0.25">
      <c r="A339" s="791">
        <v>11</v>
      </c>
      <c r="B339" s="796" t="s">
        <v>33</v>
      </c>
      <c r="C339" s="797">
        <f t="shared" ref="C339:X339" si="134">C338/C326</f>
        <v>158704.62950853517</v>
      </c>
      <c r="D339" s="797">
        <f t="shared" si="134"/>
        <v>158786.02493348703</v>
      </c>
      <c r="E339" s="797">
        <f t="shared" si="134"/>
        <v>159401.02448352185</v>
      </c>
      <c r="F339" s="797">
        <f t="shared" si="134"/>
        <v>160271.07434779307</v>
      </c>
      <c r="G339" s="797">
        <f t="shared" si="134"/>
        <v>155858.34676017743</v>
      </c>
      <c r="H339" s="797">
        <f t="shared" si="134"/>
        <v>161485.75950436978</v>
      </c>
      <c r="I339" s="797">
        <f t="shared" si="134"/>
        <v>157813.2332001414</v>
      </c>
      <c r="J339" s="797">
        <f t="shared" si="134"/>
        <v>162002.72875920264</v>
      </c>
      <c r="K339" s="797">
        <f t="shared" si="134"/>
        <v>161997.75548526138</v>
      </c>
      <c r="L339" s="797">
        <f t="shared" si="134"/>
        <v>155890.94359756092</v>
      </c>
      <c r="M339" s="797">
        <f t="shared" si="134"/>
        <v>160768.72017198056</v>
      </c>
      <c r="N339" s="797">
        <f t="shared" si="134"/>
        <v>192800</v>
      </c>
      <c r="O339" s="797">
        <f t="shared" si="134"/>
        <v>192800</v>
      </c>
      <c r="P339" s="797">
        <f t="shared" si="134"/>
        <v>192800</v>
      </c>
      <c r="Q339" s="797">
        <f t="shared" si="134"/>
        <v>192800</v>
      </c>
      <c r="R339" s="797">
        <f t="shared" si="134"/>
        <v>192800</v>
      </c>
      <c r="S339" s="797">
        <f t="shared" si="134"/>
        <v>192800</v>
      </c>
      <c r="T339" s="797">
        <f t="shared" si="134"/>
        <v>192800</v>
      </c>
      <c r="U339" s="797">
        <f t="shared" si="134"/>
        <v>192800</v>
      </c>
      <c r="V339" s="797">
        <f t="shared" si="134"/>
        <v>83868</v>
      </c>
      <c r="W339" s="797">
        <f t="shared" si="134"/>
        <v>83868</v>
      </c>
      <c r="X339" s="797">
        <f t="shared" si="134"/>
        <v>83868</v>
      </c>
    </row>
    <row r="340" spans="1:24" x14ac:dyDescent="0.25">
      <c r="A340" s="791">
        <v>12</v>
      </c>
      <c r="B340" s="796" t="s">
        <v>42</v>
      </c>
      <c r="C340" s="800">
        <v>0.25</v>
      </c>
      <c r="D340" s="800">
        <v>0.25</v>
      </c>
      <c r="E340" s="800">
        <v>0.25</v>
      </c>
      <c r="F340" s="800">
        <v>0.25</v>
      </c>
      <c r="G340" s="800">
        <v>0.25</v>
      </c>
      <c r="H340" s="800">
        <v>0.25</v>
      </c>
      <c r="I340" s="800">
        <v>0.25</v>
      </c>
      <c r="J340" s="800">
        <v>0.25</v>
      </c>
      <c r="K340" s="800">
        <v>0.25</v>
      </c>
      <c r="L340" s="800">
        <v>0.25</v>
      </c>
      <c r="M340" s="800">
        <v>0.25</v>
      </c>
      <c r="N340" s="800">
        <v>0.4</v>
      </c>
      <c r="O340" s="800">
        <v>0.4</v>
      </c>
      <c r="P340" s="800">
        <v>0.4</v>
      </c>
      <c r="Q340" s="800">
        <v>0.4</v>
      </c>
      <c r="R340" s="800">
        <v>0.4</v>
      </c>
      <c r="S340" s="800">
        <v>0.4</v>
      </c>
      <c r="T340" s="800">
        <v>0.4</v>
      </c>
      <c r="U340" s="800">
        <v>0.4</v>
      </c>
      <c r="V340" s="800">
        <v>0.25</v>
      </c>
      <c r="W340" s="800">
        <v>0.25</v>
      </c>
      <c r="X340" s="800">
        <v>0.25</v>
      </c>
    </row>
    <row r="341" spans="1:24" x14ac:dyDescent="0.25">
      <c r="A341" s="791">
        <v>13</v>
      </c>
      <c r="B341" s="796" t="s">
        <v>43</v>
      </c>
      <c r="C341" s="797">
        <f t="shared" ref="C341:X341" si="135">C338*C340</f>
        <v>4323114.1078124987</v>
      </c>
      <c r="D341" s="797">
        <f t="shared" si="135"/>
        <v>2238089.0214374997</v>
      </c>
      <c r="E341" s="797">
        <f t="shared" si="135"/>
        <v>2430467.120812499</v>
      </c>
      <c r="F341" s="797">
        <f t="shared" si="135"/>
        <v>2641667.9829374994</v>
      </c>
      <c r="G341" s="797">
        <f t="shared" si="135"/>
        <v>3732807.4049062491</v>
      </c>
      <c r="H341" s="797">
        <f t="shared" si="135"/>
        <v>2633025.3087187493</v>
      </c>
      <c r="I341" s="797">
        <f t="shared" si="135"/>
        <v>4184023.3452187497</v>
      </c>
      <c r="J341" s="797">
        <f t="shared" si="135"/>
        <v>2915644.1108437497</v>
      </c>
      <c r="K341" s="797">
        <f t="shared" si="135"/>
        <v>2912719.6436249996</v>
      </c>
      <c r="L341" s="797">
        <f t="shared" si="135"/>
        <v>3850896.034218749</v>
      </c>
      <c r="M341" s="797">
        <f t="shared" si="135"/>
        <v>2319490.7102812496</v>
      </c>
      <c r="N341" s="797">
        <f t="shared" si="135"/>
        <v>3427212.8000000003</v>
      </c>
      <c r="O341" s="797">
        <f t="shared" si="135"/>
        <v>3426441.6</v>
      </c>
      <c r="P341" s="797">
        <f t="shared" si="135"/>
        <v>2803312</v>
      </c>
      <c r="Q341" s="797">
        <f t="shared" si="135"/>
        <v>6116387.2000000002</v>
      </c>
      <c r="R341" s="797">
        <f t="shared" si="135"/>
        <v>3572198.4000000004</v>
      </c>
      <c r="S341" s="797">
        <f t="shared" si="135"/>
        <v>3908441.6</v>
      </c>
      <c r="T341" s="797">
        <f t="shared" si="135"/>
        <v>4270134.4000000004</v>
      </c>
      <c r="U341" s="797">
        <f t="shared" si="135"/>
        <v>6326924.8000000007</v>
      </c>
      <c r="V341" s="797">
        <f t="shared" si="135"/>
        <v>262087.5</v>
      </c>
      <c r="W341" s="797">
        <f t="shared" si="135"/>
        <v>251604</v>
      </c>
      <c r="X341" s="797">
        <f t="shared" si="135"/>
        <v>225395.25</v>
      </c>
    </row>
    <row r="342" spans="1:24" x14ac:dyDescent="0.25">
      <c r="A342" s="791">
        <v>14</v>
      </c>
      <c r="B342" s="796" t="s">
        <v>44</v>
      </c>
      <c r="C342" s="797">
        <v>50000</v>
      </c>
      <c r="D342" s="797">
        <v>50000</v>
      </c>
      <c r="E342" s="797">
        <v>50000</v>
      </c>
      <c r="F342" s="797">
        <v>50000</v>
      </c>
      <c r="G342" s="797">
        <v>50000</v>
      </c>
      <c r="H342" s="797">
        <v>50000</v>
      </c>
      <c r="I342" s="797">
        <v>50000</v>
      </c>
      <c r="J342" s="797">
        <v>50000</v>
      </c>
      <c r="K342" s="797">
        <v>50000</v>
      </c>
      <c r="L342" s="797">
        <v>50001</v>
      </c>
      <c r="M342" s="797">
        <v>50000</v>
      </c>
      <c r="N342" s="797">
        <f>'[16]Project Data'!$E$113</f>
        <v>100000</v>
      </c>
      <c r="O342" s="797">
        <f>'[16]Project Data'!$E$113</f>
        <v>100000</v>
      </c>
      <c r="P342" s="797">
        <f>'[16]Project Data'!$E$113</f>
        <v>100000</v>
      </c>
      <c r="Q342" s="797">
        <f>'[16]Project Data'!$E$113</f>
        <v>100000</v>
      </c>
      <c r="R342" s="797">
        <f>'[16]Project Data'!$E$113</f>
        <v>100000</v>
      </c>
      <c r="S342" s="797">
        <f>'[16]Project Data'!$E$113</f>
        <v>100000</v>
      </c>
      <c r="T342" s="797">
        <f>'[16]Project Data'!$E$113</f>
        <v>100000</v>
      </c>
      <c r="U342" s="797">
        <f>'[16]Project Data'!$E$113</f>
        <v>100000</v>
      </c>
      <c r="V342" s="797">
        <v>30000</v>
      </c>
      <c r="W342" s="797">
        <v>30000</v>
      </c>
      <c r="X342" s="797">
        <v>30000</v>
      </c>
    </row>
    <row r="343" spans="1:24" x14ac:dyDescent="0.25">
      <c r="A343" s="791">
        <v>15</v>
      </c>
      <c r="B343" s="796" t="s">
        <v>45</v>
      </c>
      <c r="C343" s="797">
        <f t="shared" ref="C343:X343" si="136">C341-C342</f>
        <v>4273114.1078124987</v>
      </c>
      <c r="D343" s="797">
        <f t="shared" si="136"/>
        <v>2188089.0214374997</v>
      </c>
      <c r="E343" s="797">
        <f t="shared" si="136"/>
        <v>2380467.120812499</v>
      </c>
      <c r="F343" s="797">
        <f t="shared" si="136"/>
        <v>2591667.9829374994</v>
      </c>
      <c r="G343" s="797">
        <f t="shared" si="136"/>
        <v>3682807.4049062491</v>
      </c>
      <c r="H343" s="797">
        <f t="shared" si="136"/>
        <v>2583025.3087187493</v>
      </c>
      <c r="I343" s="797">
        <f t="shared" si="136"/>
        <v>4134023.3452187497</v>
      </c>
      <c r="J343" s="797">
        <f t="shared" si="136"/>
        <v>2865644.1108437497</v>
      </c>
      <c r="K343" s="797">
        <f t="shared" si="136"/>
        <v>2862719.6436249996</v>
      </c>
      <c r="L343" s="797">
        <f t="shared" si="136"/>
        <v>3800895.034218749</v>
      </c>
      <c r="M343" s="797">
        <f t="shared" si="136"/>
        <v>2269490.7102812496</v>
      </c>
      <c r="N343" s="797">
        <f t="shared" si="136"/>
        <v>3327212.8000000003</v>
      </c>
      <c r="O343" s="797">
        <f t="shared" si="136"/>
        <v>3326441.6</v>
      </c>
      <c r="P343" s="797">
        <f t="shared" si="136"/>
        <v>2703312</v>
      </c>
      <c r="Q343" s="797">
        <f t="shared" si="136"/>
        <v>6016387.2000000002</v>
      </c>
      <c r="R343" s="797">
        <f t="shared" si="136"/>
        <v>3472198.4000000004</v>
      </c>
      <c r="S343" s="797">
        <f t="shared" si="136"/>
        <v>3808441.6</v>
      </c>
      <c r="T343" s="797">
        <f t="shared" si="136"/>
        <v>4170134.4000000004</v>
      </c>
      <c r="U343" s="797">
        <f t="shared" si="136"/>
        <v>6226924.8000000007</v>
      </c>
      <c r="V343" s="797">
        <f t="shared" si="136"/>
        <v>232087.5</v>
      </c>
      <c r="W343" s="797">
        <f t="shared" si="136"/>
        <v>221604</v>
      </c>
      <c r="X343" s="797">
        <f t="shared" si="136"/>
        <v>195395.25</v>
      </c>
    </row>
    <row r="344" spans="1:24" hidden="1" x14ac:dyDescent="0.25">
      <c r="A344" s="791">
        <v>18</v>
      </c>
      <c r="B344" s="796" t="s">
        <v>46</v>
      </c>
      <c r="C344" s="797">
        <f>'[16]Project Data'!$E$115</f>
        <v>34</v>
      </c>
      <c r="D344" s="797"/>
      <c r="E344" s="797"/>
      <c r="F344" s="797"/>
      <c r="G344" s="797"/>
      <c r="H344" s="797"/>
      <c r="I344" s="797"/>
      <c r="J344" s="797"/>
      <c r="K344" s="797"/>
      <c r="L344" s="797"/>
      <c r="M344" s="797"/>
      <c r="N344" s="797"/>
      <c r="O344" s="797"/>
      <c r="P344" s="797"/>
      <c r="Q344" s="797"/>
      <c r="R344" s="797"/>
      <c r="S344" s="797"/>
      <c r="T344" s="797"/>
      <c r="U344" s="797"/>
      <c r="V344" s="797"/>
      <c r="W344" s="797"/>
      <c r="X344" s="798">
        <f>'[16]Project Data'!$E$115</f>
        <v>34</v>
      </c>
    </row>
    <row r="345" spans="1:24" hidden="1" x14ac:dyDescent="0.25">
      <c r="A345" s="791">
        <v>19</v>
      </c>
      <c r="B345" s="796" t="s">
        <v>47</v>
      </c>
      <c r="C345" s="797">
        <f>C343/C344</f>
        <v>125679.82670036762</v>
      </c>
      <c r="D345" s="797"/>
      <c r="E345" s="797"/>
      <c r="F345" s="797"/>
      <c r="G345" s="797"/>
      <c r="H345" s="797"/>
      <c r="I345" s="797"/>
      <c r="J345" s="797"/>
      <c r="K345" s="797"/>
      <c r="L345" s="797"/>
      <c r="M345" s="797"/>
      <c r="N345" s="797"/>
      <c r="O345" s="797"/>
      <c r="P345" s="797"/>
      <c r="Q345" s="797"/>
      <c r="R345" s="797"/>
      <c r="S345" s="797"/>
      <c r="T345" s="797"/>
      <c r="U345" s="797"/>
      <c r="V345" s="797"/>
      <c r="W345" s="797"/>
      <c r="X345" s="798">
        <f>X343/X344</f>
        <v>5746.9191176470586</v>
      </c>
    </row>
    <row r="346" spans="1:24" hidden="1" x14ac:dyDescent="0.25">
      <c r="A346" s="791"/>
      <c r="B346" s="796"/>
      <c r="C346" s="797"/>
      <c r="D346" s="797"/>
      <c r="E346" s="797"/>
      <c r="F346" s="797"/>
      <c r="G346" s="797"/>
      <c r="H346" s="797"/>
      <c r="I346" s="797"/>
      <c r="J346" s="797"/>
      <c r="K346" s="797"/>
      <c r="L346" s="797"/>
      <c r="M346" s="797"/>
      <c r="N346" s="797"/>
      <c r="O346" s="797"/>
      <c r="P346" s="797"/>
      <c r="Q346" s="797"/>
      <c r="R346" s="797"/>
      <c r="S346" s="797"/>
      <c r="T346" s="797"/>
      <c r="U346" s="797"/>
      <c r="V346" s="797"/>
      <c r="W346" s="797"/>
      <c r="X346" s="798"/>
    </row>
    <row r="347" spans="1:24" hidden="1" x14ac:dyDescent="0.25">
      <c r="A347" s="791">
        <v>20</v>
      </c>
      <c r="B347" s="796" t="s">
        <v>48</v>
      </c>
      <c r="C347" s="797">
        <f>C338-C341</f>
        <v>12969342.323437497</v>
      </c>
      <c r="D347" s="797"/>
      <c r="E347" s="797"/>
      <c r="F347" s="797"/>
      <c r="G347" s="797"/>
      <c r="H347" s="797"/>
      <c r="I347" s="797"/>
      <c r="J347" s="797"/>
      <c r="K347" s="797"/>
      <c r="L347" s="797"/>
      <c r="M347" s="797"/>
      <c r="N347" s="797"/>
      <c r="O347" s="797"/>
      <c r="P347" s="797"/>
      <c r="Q347" s="797"/>
      <c r="R347" s="797"/>
      <c r="S347" s="797"/>
      <c r="T347" s="797"/>
      <c r="U347" s="797"/>
      <c r="V347" s="797"/>
      <c r="W347" s="797"/>
      <c r="X347" s="798">
        <f>X338-X341</f>
        <v>676185.75</v>
      </c>
    </row>
    <row r="348" spans="1:24" hidden="1" x14ac:dyDescent="0.25">
      <c r="A348" s="791">
        <v>21</v>
      </c>
      <c r="B348" s="796" t="s">
        <v>49</v>
      </c>
      <c r="C348" s="797">
        <f>C347*$AA$7</f>
        <v>0</v>
      </c>
      <c r="D348" s="797"/>
      <c r="E348" s="797"/>
      <c r="F348" s="797"/>
      <c r="G348" s="797"/>
      <c r="H348" s="797"/>
      <c r="I348" s="797"/>
      <c r="J348" s="797"/>
      <c r="K348" s="797"/>
      <c r="L348" s="797"/>
      <c r="M348" s="797"/>
      <c r="N348" s="797"/>
      <c r="O348" s="797"/>
      <c r="P348" s="797"/>
      <c r="Q348" s="797"/>
      <c r="R348" s="797"/>
      <c r="S348" s="797"/>
      <c r="T348" s="797"/>
      <c r="U348" s="797"/>
      <c r="V348" s="797"/>
      <c r="W348" s="797"/>
      <c r="X348" s="798">
        <f>X347*$AA$7</f>
        <v>0</v>
      </c>
    </row>
    <row r="349" spans="1:24" hidden="1" x14ac:dyDescent="0.25">
      <c r="A349" s="791">
        <v>22</v>
      </c>
      <c r="B349" s="796" t="s">
        <v>50</v>
      </c>
      <c r="C349" s="797">
        <f>C347*$AA$9</f>
        <v>0</v>
      </c>
      <c r="D349" s="797"/>
      <c r="E349" s="797"/>
      <c r="F349" s="797"/>
      <c r="G349" s="797"/>
      <c r="H349" s="797"/>
      <c r="I349" s="797"/>
      <c r="J349" s="797"/>
      <c r="K349" s="797"/>
      <c r="L349" s="797"/>
      <c r="M349" s="797"/>
      <c r="N349" s="797"/>
      <c r="O349" s="797"/>
      <c r="P349" s="797"/>
      <c r="Q349" s="797"/>
      <c r="R349" s="797"/>
      <c r="S349" s="797"/>
      <c r="T349" s="797"/>
      <c r="U349" s="797"/>
      <c r="V349" s="797"/>
      <c r="W349" s="797"/>
      <c r="X349" s="798">
        <f>X347*$AA$9</f>
        <v>0</v>
      </c>
    </row>
    <row r="350" spans="1:24" hidden="1" x14ac:dyDescent="0.25">
      <c r="A350" s="791">
        <v>23</v>
      </c>
      <c r="B350" s="796" t="s">
        <v>51</v>
      </c>
      <c r="C350" s="801">
        <f>C347*$AA$10</f>
        <v>0</v>
      </c>
      <c r="D350" s="801"/>
      <c r="E350" s="801"/>
      <c r="F350" s="801"/>
      <c r="G350" s="801"/>
      <c r="H350" s="801"/>
      <c r="I350" s="801"/>
      <c r="J350" s="801"/>
      <c r="K350" s="801"/>
      <c r="L350" s="801"/>
      <c r="M350" s="801"/>
      <c r="N350" s="801"/>
      <c r="O350" s="801"/>
      <c r="P350" s="801"/>
      <c r="Q350" s="801"/>
      <c r="R350" s="801"/>
      <c r="S350" s="801"/>
      <c r="T350" s="801"/>
      <c r="U350" s="801"/>
      <c r="V350" s="801"/>
      <c r="W350" s="801"/>
      <c r="X350" s="802">
        <f>X347*$AA$10</f>
        <v>0</v>
      </c>
    </row>
    <row r="351" spans="1:24" hidden="1" x14ac:dyDescent="0.25">
      <c r="A351" s="803">
        <f>A350+1</f>
        <v>24</v>
      </c>
      <c r="B351" s="804" t="s">
        <v>52</v>
      </c>
      <c r="C351" s="804" t="e">
        <f>'[17]Project Data'!E438*'[17]Project Data'!E432</f>
        <v>#REF!</v>
      </c>
      <c r="D351" s="804"/>
      <c r="E351" s="804"/>
      <c r="F351" s="804"/>
      <c r="G351" s="804"/>
      <c r="H351" s="804"/>
      <c r="I351" s="804"/>
      <c r="J351" s="804"/>
      <c r="K351" s="804"/>
      <c r="L351" s="804"/>
      <c r="M351" s="804"/>
      <c r="N351" s="804"/>
      <c r="O351" s="804"/>
      <c r="P351" s="804"/>
      <c r="Q351" s="804"/>
      <c r="R351" s="804"/>
      <c r="S351" s="804"/>
      <c r="T351" s="804"/>
      <c r="U351" s="804"/>
      <c r="V351" s="804"/>
      <c r="W351" s="804"/>
      <c r="X351" s="805"/>
    </row>
    <row r="352" spans="1:24" hidden="1" x14ac:dyDescent="0.25">
      <c r="A352" s="803">
        <f>A351+1</f>
        <v>25</v>
      </c>
      <c r="B352" s="804" t="s">
        <v>53</v>
      </c>
      <c r="C352" s="804" t="e">
        <f>C346+C350+C351</f>
        <v>#REF!</v>
      </c>
      <c r="D352" s="804"/>
      <c r="E352" s="804"/>
      <c r="F352" s="804"/>
      <c r="G352" s="804"/>
      <c r="H352" s="804"/>
      <c r="I352" s="804"/>
      <c r="J352" s="804"/>
      <c r="K352" s="804"/>
      <c r="L352" s="804"/>
      <c r="M352" s="804"/>
      <c r="N352" s="804"/>
      <c r="O352" s="804"/>
      <c r="P352" s="804"/>
      <c r="Q352" s="804"/>
      <c r="R352" s="804"/>
      <c r="S352" s="804"/>
      <c r="T352" s="804"/>
      <c r="U352" s="804"/>
      <c r="V352" s="804"/>
      <c r="W352" s="804"/>
      <c r="X352" s="805"/>
    </row>
    <row r="353" spans="1:24" hidden="1" x14ac:dyDescent="0.25">
      <c r="A353" s="803"/>
      <c r="B353" s="804"/>
      <c r="C353" s="804"/>
      <c r="D353" s="804"/>
      <c r="E353" s="804"/>
      <c r="F353" s="804"/>
      <c r="G353" s="804"/>
      <c r="H353" s="804"/>
      <c r="I353" s="804"/>
      <c r="J353" s="804"/>
      <c r="K353" s="804"/>
      <c r="L353" s="804"/>
      <c r="M353" s="804"/>
      <c r="N353" s="804"/>
      <c r="O353" s="804"/>
      <c r="P353" s="804"/>
      <c r="Q353" s="804"/>
      <c r="R353" s="804"/>
      <c r="S353" s="804"/>
      <c r="T353" s="804"/>
      <c r="U353" s="804"/>
      <c r="V353" s="804"/>
      <c r="W353" s="804"/>
      <c r="X353" s="805"/>
    </row>
    <row r="354" spans="1:24" hidden="1" x14ac:dyDescent="0.25">
      <c r="A354" s="803" t="s">
        <v>54</v>
      </c>
      <c r="B354" s="804"/>
      <c r="C354" s="806"/>
      <c r="D354" s="806"/>
      <c r="E354" s="806"/>
      <c r="F354" s="806"/>
      <c r="G354" s="806"/>
      <c r="H354" s="806"/>
      <c r="I354" s="806"/>
      <c r="J354" s="806"/>
      <c r="K354" s="806"/>
      <c r="L354" s="806"/>
      <c r="M354" s="806"/>
      <c r="N354" s="804"/>
      <c r="O354" s="804"/>
      <c r="P354" s="804"/>
      <c r="Q354" s="804"/>
      <c r="R354" s="804"/>
      <c r="S354" s="804"/>
      <c r="T354" s="804"/>
      <c r="U354" s="804"/>
      <c r="V354" s="804"/>
      <c r="W354" s="804"/>
      <c r="X354" s="805"/>
    </row>
    <row r="355" spans="1:24" hidden="1" x14ac:dyDescent="0.25">
      <c r="A355" s="803">
        <v>1</v>
      </c>
      <c r="B355" s="804" t="s">
        <v>55</v>
      </c>
      <c r="C355" s="804" t="e">
        <f>'[17]Project Data'!E400</f>
        <v>#REF!</v>
      </c>
      <c r="D355" s="804"/>
      <c r="E355" s="804"/>
      <c r="F355" s="804"/>
      <c r="G355" s="804"/>
      <c r="H355" s="804"/>
      <c r="I355" s="804"/>
      <c r="J355" s="804"/>
      <c r="K355" s="804"/>
      <c r="L355" s="804"/>
      <c r="M355" s="804"/>
      <c r="N355" s="804"/>
      <c r="O355" s="804"/>
      <c r="P355" s="804"/>
      <c r="Q355" s="804"/>
      <c r="R355" s="804"/>
      <c r="S355" s="804"/>
      <c r="T355" s="804"/>
      <c r="U355" s="804"/>
      <c r="V355" s="804"/>
      <c r="W355" s="804"/>
      <c r="X355" s="805"/>
    </row>
    <row r="356" spans="1:24" hidden="1" x14ac:dyDescent="0.25">
      <c r="A356" s="803">
        <f>A355+1</f>
        <v>2</v>
      </c>
      <c r="B356" s="804" t="s">
        <v>56</v>
      </c>
      <c r="C356" s="804" t="e">
        <f>'[17]Project Data'!E399</f>
        <v>#REF!</v>
      </c>
      <c r="D356" s="804"/>
      <c r="E356" s="804"/>
      <c r="F356" s="804"/>
      <c r="G356" s="804"/>
      <c r="H356" s="804"/>
      <c r="I356" s="804"/>
      <c r="J356" s="804"/>
      <c r="K356" s="804"/>
      <c r="L356" s="804"/>
      <c r="M356" s="804"/>
      <c r="N356" s="804"/>
      <c r="O356" s="804"/>
      <c r="P356" s="804"/>
      <c r="Q356" s="804"/>
      <c r="R356" s="804"/>
      <c r="S356" s="804"/>
      <c r="T356" s="804"/>
      <c r="U356" s="804"/>
      <c r="V356" s="804"/>
      <c r="W356" s="804"/>
      <c r="X356" s="805"/>
    </row>
    <row r="357" spans="1:24" hidden="1" x14ac:dyDescent="0.25">
      <c r="A357" s="803">
        <f t="shared" ref="A357:A363" si="137">A356+1</f>
        <v>3</v>
      </c>
      <c r="B357" s="804" t="s">
        <v>57</v>
      </c>
      <c r="C357" s="804" t="e">
        <f>C355*C358</f>
        <v>#REF!</v>
      </c>
      <c r="D357" s="804"/>
      <c r="E357" s="804"/>
      <c r="F357" s="804"/>
      <c r="G357" s="804"/>
      <c r="H357" s="804"/>
      <c r="I357" s="804"/>
      <c r="J357" s="804"/>
      <c r="K357" s="804"/>
      <c r="L357" s="804"/>
      <c r="M357" s="804"/>
      <c r="N357" s="804"/>
      <c r="O357" s="804"/>
      <c r="P357" s="804"/>
      <c r="Q357" s="804"/>
      <c r="R357" s="804"/>
      <c r="S357" s="804"/>
      <c r="T357" s="804"/>
      <c r="U357" s="804"/>
      <c r="V357" s="804"/>
      <c r="W357" s="804"/>
      <c r="X357" s="805"/>
    </row>
    <row r="358" spans="1:24" hidden="1" x14ac:dyDescent="0.25">
      <c r="A358" s="803">
        <f t="shared" si="137"/>
        <v>4</v>
      </c>
      <c r="B358" s="804" t="s">
        <v>58</v>
      </c>
      <c r="C358" s="804" t="e">
        <f>'[17]Project Data'!E403</f>
        <v>#REF!</v>
      </c>
      <c r="D358" s="804"/>
      <c r="E358" s="804"/>
      <c r="F358" s="804"/>
      <c r="G358" s="804"/>
      <c r="H358" s="804"/>
      <c r="I358" s="804"/>
      <c r="J358" s="804"/>
      <c r="K358" s="804"/>
      <c r="L358" s="804"/>
      <c r="M358" s="804"/>
      <c r="N358" s="804"/>
      <c r="O358" s="804"/>
      <c r="P358" s="804"/>
      <c r="Q358" s="804"/>
      <c r="R358" s="804"/>
      <c r="S358" s="804"/>
      <c r="T358" s="804"/>
      <c r="U358" s="804"/>
      <c r="V358" s="804"/>
      <c r="W358" s="804"/>
      <c r="X358" s="805"/>
    </row>
    <row r="359" spans="1:24" hidden="1" x14ac:dyDescent="0.25">
      <c r="A359" s="803">
        <f t="shared" si="137"/>
        <v>5</v>
      </c>
      <c r="B359" s="804" t="s">
        <v>59</v>
      </c>
      <c r="C359" s="804" t="e">
        <f>'[17]Project Data'!E435</f>
        <v>#REF!</v>
      </c>
      <c r="D359" s="804"/>
      <c r="E359" s="804"/>
      <c r="F359" s="804"/>
      <c r="G359" s="804"/>
      <c r="H359" s="804"/>
      <c r="I359" s="804"/>
      <c r="J359" s="804"/>
      <c r="K359" s="804"/>
      <c r="L359" s="804"/>
      <c r="M359" s="804"/>
      <c r="N359" s="804"/>
      <c r="O359" s="804"/>
      <c r="P359" s="804"/>
      <c r="Q359" s="804"/>
      <c r="R359" s="804"/>
      <c r="S359" s="804"/>
      <c r="T359" s="804"/>
      <c r="U359" s="804"/>
      <c r="V359" s="804"/>
      <c r="W359" s="804"/>
      <c r="X359" s="805"/>
    </row>
    <row r="360" spans="1:24" hidden="1" x14ac:dyDescent="0.25">
      <c r="A360" s="803">
        <f t="shared" si="137"/>
        <v>6</v>
      </c>
      <c r="B360" s="804" t="s">
        <v>60</v>
      </c>
      <c r="C360" s="804" t="e">
        <f>C359/C356</f>
        <v>#REF!</v>
      </c>
      <c r="D360" s="804"/>
      <c r="E360" s="804"/>
      <c r="F360" s="804"/>
      <c r="G360" s="804"/>
      <c r="H360" s="804"/>
      <c r="I360" s="804"/>
      <c r="J360" s="804"/>
      <c r="K360" s="804"/>
      <c r="L360" s="804"/>
      <c r="M360" s="804"/>
      <c r="N360" s="804"/>
      <c r="O360" s="804"/>
      <c r="P360" s="804"/>
      <c r="Q360" s="804"/>
      <c r="R360" s="804"/>
      <c r="S360" s="804"/>
      <c r="T360" s="804"/>
      <c r="U360" s="804"/>
      <c r="V360" s="804"/>
      <c r="W360" s="804"/>
      <c r="X360" s="805"/>
    </row>
    <row r="361" spans="1:24" hidden="1" x14ac:dyDescent="0.25">
      <c r="A361" s="803">
        <f t="shared" si="137"/>
        <v>7</v>
      </c>
      <c r="B361" s="804" t="s">
        <v>61</v>
      </c>
      <c r="C361" s="804" t="e">
        <f>C359*2</f>
        <v>#REF!</v>
      </c>
      <c r="D361" s="804"/>
      <c r="E361" s="804"/>
      <c r="F361" s="804"/>
      <c r="G361" s="804"/>
      <c r="H361" s="804"/>
      <c r="I361" s="804"/>
      <c r="J361" s="804"/>
      <c r="K361" s="804"/>
      <c r="L361" s="804"/>
      <c r="M361" s="804"/>
      <c r="N361" s="804"/>
      <c r="O361" s="804"/>
      <c r="P361" s="804"/>
      <c r="Q361" s="804"/>
      <c r="R361" s="804"/>
      <c r="S361" s="804"/>
      <c r="T361" s="804"/>
      <c r="U361" s="804"/>
      <c r="V361" s="804"/>
      <c r="W361" s="804"/>
      <c r="X361" s="805"/>
    </row>
    <row r="362" spans="1:24" hidden="1" x14ac:dyDescent="0.25">
      <c r="A362" s="803">
        <f t="shared" si="137"/>
        <v>8</v>
      </c>
      <c r="B362" s="804" t="s">
        <v>52</v>
      </c>
      <c r="C362" s="804" t="e">
        <f>'[17]Project Data'!E438*'[17]Project Data'!E435</f>
        <v>#REF!</v>
      </c>
      <c r="D362" s="804"/>
      <c r="E362" s="804"/>
      <c r="F362" s="804"/>
      <c r="G362" s="804"/>
      <c r="H362" s="804"/>
      <c r="I362" s="804"/>
      <c r="J362" s="804"/>
      <c r="K362" s="804"/>
      <c r="L362" s="804"/>
      <c r="M362" s="804"/>
      <c r="N362" s="804"/>
      <c r="O362" s="804"/>
      <c r="P362" s="804"/>
      <c r="Q362" s="804"/>
      <c r="R362" s="804"/>
      <c r="S362" s="804"/>
      <c r="T362" s="804"/>
      <c r="U362" s="804"/>
      <c r="V362" s="804"/>
      <c r="W362" s="804"/>
      <c r="X362" s="805"/>
    </row>
    <row r="363" spans="1:24" hidden="1" x14ac:dyDescent="0.25">
      <c r="A363" s="803">
        <f t="shared" si="137"/>
        <v>9</v>
      </c>
      <c r="B363" s="804" t="s">
        <v>53</v>
      </c>
      <c r="C363" s="804" t="e">
        <f>C357+C361+C362</f>
        <v>#REF!</v>
      </c>
      <c r="D363" s="804"/>
      <c r="E363" s="804"/>
      <c r="F363" s="804"/>
      <c r="G363" s="804"/>
      <c r="H363" s="804"/>
      <c r="I363" s="804"/>
      <c r="J363" s="804"/>
      <c r="K363" s="804"/>
      <c r="L363" s="804"/>
      <c r="M363" s="804"/>
      <c r="N363" s="804"/>
      <c r="O363" s="804"/>
      <c r="P363" s="804"/>
      <c r="Q363" s="804"/>
      <c r="R363" s="804"/>
      <c r="S363" s="804"/>
      <c r="T363" s="804"/>
      <c r="U363" s="804"/>
      <c r="V363" s="804"/>
      <c r="W363" s="804"/>
      <c r="X363" s="805"/>
    </row>
    <row r="364" spans="1:24" hidden="1" x14ac:dyDescent="0.25">
      <c r="A364" s="803"/>
      <c r="B364" s="804"/>
      <c r="C364" s="804"/>
      <c r="D364" s="804"/>
      <c r="E364" s="804"/>
      <c r="F364" s="804"/>
      <c r="G364" s="804"/>
      <c r="H364" s="804"/>
      <c r="I364" s="804"/>
      <c r="J364" s="804"/>
      <c r="K364" s="804"/>
      <c r="L364" s="804"/>
      <c r="M364" s="804"/>
      <c r="N364" s="804"/>
      <c r="O364" s="804"/>
      <c r="P364" s="804"/>
      <c r="Q364" s="804"/>
      <c r="R364" s="804"/>
      <c r="S364" s="804"/>
      <c r="T364" s="804"/>
      <c r="U364" s="804"/>
      <c r="V364" s="804"/>
      <c r="W364" s="804"/>
      <c r="X364" s="805"/>
    </row>
    <row r="365" spans="1:24" hidden="1" x14ac:dyDescent="0.25">
      <c r="A365" s="803"/>
      <c r="B365" s="804"/>
      <c r="C365" s="804"/>
      <c r="D365" s="804"/>
      <c r="E365" s="804"/>
      <c r="F365" s="804"/>
      <c r="G365" s="804"/>
      <c r="H365" s="804"/>
      <c r="I365" s="804"/>
      <c r="J365" s="804"/>
      <c r="K365" s="804"/>
      <c r="L365" s="804"/>
      <c r="M365" s="804"/>
      <c r="N365" s="804"/>
      <c r="O365" s="804"/>
      <c r="P365" s="804"/>
      <c r="Q365" s="804"/>
      <c r="R365" s="804"/>
      <c r="S365" s="804"/>
      <c r="T365" s="804"/>
      <c r="U365" s="804"/>
      <c r="V365" s="804"/>
      <c r="W365" s="804"/>
      <c r="X365" s="805"/>
    </row>
    <row r="366" spans="1:24" s="789" customFormat="1" x14ac:dyDescent="0.25">
      <c r="A366" s="803">
        <v>16</v>
      </c>
      <c r="B366" s="804" t="s">
        <v>62</v>
      </c>
      <c r="C366" s="804">
        <f>C343/43</f>
        <v>99374.746693313922</v>
      </c>
      <c r="D366" s="804">
        <f t="shared" ref="D366:X366" si="138">D343/43</f>
        <v>50885.791196220925</v>
      </c>
      <c r="E366" s="804">
        <f t="shared" si="138"/>
        <v>55359.700484011606</v>
      </c>
      <c r="F366" s="804">
        <f t="shared" si="138"/>
        <v>60271.34844040696</v>
      </c>
      <c r="G366" s="804">
        <f t="shared" si="138"/>
        <v>85646.683835029049</v>
      </c>
      <c r="H366" s="804">
        <f t="shared" si="138"/>
        <v>60070.356016715101</v>
      </c>
      <c r="I366" s="804">
        <f t="shared" si="138"/>
        <v>96140.077795784877</v>
      </c>
      <c r="J366" s="804">
        <f t="shared" si="138"/>
        <v>66642.886298691854</v>
      </c>
      <c r="K366" s="804">
        <f t="shared" si="138"/>
        <v>66574.875433139518</v>
      </c>
      <c r="L366" s="804">
        <f t="shared" si="138"/>
        <v>88392.907772529041</v>
      </c>
      <c r="M366" s="804">
        <f t="shared" si="138"/>
        <v>52778.853727470923</v>
      </c>
      <c r="N366" s="804">
        <f t="shared" si="138"/>
        <v>77377.04186046512</v>
      </c>
      <c r="O366" s="804">
        <f t="shared" si="138"/>
        <v>77359.106976744195</v>
      </c>
      <c r="P366" s="804">
        <f t="shared" si="138"/>
        <v>62867.720930232557</v>
      </c>
      <c r="Q366" s="804">
        <f t="shared" si="138"/>
        <v>139915.98139534885</v>
      </c>
      <c r="R366" s="804">
        <f t="shared" si="138"/>
        <v>80748.800000000003</v>
      </c>
      <c r="S366" s="804">
        <f t="shared" si="138"/>
        <v>88568.409302325585</v>
      </c>
      <c r="T366" s="804">
        <f t="shared" si="138"/>
        <v>96979.869767441865</v>
      </c>
      <c r="U366" s="804">
        <f t="shared" si="138"/>
        <v>144812.20465116281</v>
      </c>
      <c r="V366" s="804">
        <f t="shared" si="138"/>
        <v>5397.3837209302328</v>
      </c>
      <c r="W366" s="804">
        <f t="shared" si="138"/>
        <v>5153.5813953488368</v>
      </c>
      <c r="X366" s="804">
        <f t="shared" si="138"/>
        <v>4544.0755813953492</v>
      </c>
    </row>
    <row r="367" spans="1:24" x14ac:dyDescent="0.25">
      <c r="A367" s="803"/>
      <c r="B367" s="804"/>
      <c r="C367" s="804"/>
      <c r="D367" s="804"/>
      <c r="E367" s="804"/>
      <c r="F367" s="804"/>
      <c r="G367" s="804"/>
      <c r="H367" s="804"/>
      <c r="I367" s="804"/>
      <c r="J367" s="804"/>
      <c r="K367" s="804"/>
      <c r="L367" s="804"/>
      <c r="M367" s="804"/>
      <c r="N367" s="804"/>
      <c r="O367" s="804"/>
      <c r="P367" s="804"/>
      <c r="Q367" s="804"/>
      <c r="R367" s="804"/>
      <c r="S367" s="804"/>
      <c r="T367" s="804"/>
      <c r="U367" s="804"/>
      <c r="V367" s="804"/>
      <c r="W367" s="804"/>
      <c r="X367" s="805"/>
    </row>
    <row r="368" spans="1:24" x14ac:dyDescent="0.25">
      <c r="A368" s="803">
        <v>17</v>
      </c>
      <c r="B368" s="807" t="s">
        <v>63</v>
      </c>
      <c r="C368" s="804">
        <f>C338-C341</f>
        <v>12969342.323437497</v>
      </c>
      <c r="D368" s="804">
        <f t="shared" ref="D368:X368" si="139">D338-D341</f>
        <v>6714267.064312499</v>
      </c>
      <c r="E368" s="804">
        <f t="shared" si="139"/>
        <v>7291401.3624374969</v>
      </c>
      <c r="F368" s="804">
        <f t="shared" si="139"/>
        <v>7925003.9488124978</v>
      </c>
      <c r="G368" s="804">
        <f t="shared" si="139"/>
        <v>11198422.214718748</v>
      </c>
      <c r="H368" s="804">
        <f t="shared" si="139"/>
        <v>7899075.926156248</v>
      </c>
      <c r="I368" s="804">
        <f t="shared" si="139"/>
        <v>12552070.035656249</v>
      </c>
      <c r="J368" s="804">
        <f t="shared" si="139"/>
        <v>8746932.3325312492</v>
      </c>
      <c r="K368" s="804">
        <f t="shared" si="139"/>
        <v>8738158.9308749996</v>
      </c>
      <c r="L368" s="804">
        <f t="shared" si="139"/>
        <v>11552688.102656247</v>
      </c>
      <c r="M368" s="804">
        <f t="shared" si="139"/>
        <v>6958472.1308437493</v>
      </c>
      <c r="N368" s="804">
        <f t="shared" si="139"/>
        <v>5140819.1999999993</v>
      </c>
      <c r="O368" s="804">
        <f t="shared" si="139"/>
        <v>5139662.4000000004</v>
      </c>
      <c r="P368" s="804">
        <f t="shared" si="139"/>
        <v>4204968</v>
      </c>
      <c r="Q368" s="804">
        <f t="shared" si="139"/>
        <v>9174580.8000000007</v>
      </c>
      <c r="R368" s="804">
        <f t="shared" si="139"/>
        <v>5358297.5999999996</v>
      </c>
      <c r="S368" s="804">
        <f t="shared" si="139"/>
        <v>5862662.4000000004</v>
      </c>
      <c r="T368" s="804">
        <f t="shared" si="139"/>
        <v>6405201.5999999996</v>
      </c>
      <c r="U368" s="804">
        <f t="shared" si="139"/>
        <v>9490387.2000000011</v>
      </c>
      <c r="V368" s="804">
        <f t="shared" si="139"/>
        <v>786262.5</v>
      </c>
      <c r="W368" s="804">
        <f t="shared" si="139"/>
        <v>754812</v>
      </c>
      <c r="X368" s="804">
        <f t="shared" si="139"/>
        <v>676185.75</v>
      </c>
    </row>
    <row r="369" spans="1:24" hidden="1" x14ac:dyDescent="0.25">
      <c r="A369" s="803">
        <v>18</v>
      </c>
      <c r="B369" s="804" t="s">
        <v>64</v>
      </c>
      <c r="C369" s="804">
        <v>69820.214423232668</v>
      </c>
      <c r="D369" s="804">
        <v>73795.417969823291</v>
      </c>
      <c r="E369" s="804">
        <v>78474.428045974215</v>
      </c>
      <c r="F369" s="804">
        <v>78852.398219256604</v>
      </c>
      <c r="G369" s="804"/>
      <c r="H369" s="804"/>
      <c r="I369" s="804"/>
      <c r="J369" s="804"/>
      <c r="K369" s="804"/>
      <c r="L369" s="804"/>
      <c r="M369" s="804"/>
      <c r="N369" s="804">
        <v>127975.48729171579</v>
      </c>
      <c r="O369" s="804">
        <v>69820.214423232668</v>
      </c>
      <c r="P369" s="804">
        <v>73795.417969823291</v>
      </c>
      <c r="Q369" s="804">
        <v>78852.398219256604</v>
      </c>
      <c r="R369" s="804">
        <v>143016.09349750457</v>
      </c>
      <c r="S369" s="804"/>
      <c r="T369" s="804"/>
      <c r="U369" s="804"/>
      <c r="V369" s="804">
        <v>10861.211875930661</v>
      </c>
      <c r="W369" s="804"/>
      <c r="X369" s="805">
        <v>11730.108826005115</v>
      </c>
    </row>
    <row r="370" spans="1:24" ht="15.75" thickBot="1" x14ac:dyDescent="0.3">
      <c r="A370" s="808">
        <v>19</v>
      </c>
      <c r="B370" s="809" t="s">
        <v>65</v>
      </c>
      <c r="C370" s="809">
        <f>C368*$B371</f>
        <v>116572.08021890678</v>
      </c>
      <c r="D370" s="809">
        <f t="shared" ref="D370:X370" si="140">D368*$B371</f>
        <v>60349.712368818742</v>
      </c>
      <c r="E370" s="809">
        <f t="shared" si="140"/>
        <v>65537.157037969708</v>
      </c>
      <c r="F370" s="809">
        <f t="shared" si="140"/>
        <v>71232.154493032387</v>
      </c>
      <c r="G370" s="809">
        <f t="shared" si="140"/>
        <v>100654.55442411223</v>
      </c>
      <c r="H370" s="809">
        <f t="shared" si="140"/>
        <v>70999.106165551682</v>
      </c>
      <c r="I370" s="809">
        <f t="shared" si="140"/>
        <v>112821.52006008834</v>
      </c>
      <c r="J370" s="809">
        <f t="shared" si="140"/>
        <v>78619.876945843978</v>
      </c>
      <c r="K370" s="809">
        <f t="shared" si="140"/>
        <v>78541.01915520514</v>
      </c>
      <c r="L370" s="809">
        <f t="shared" si="140"/>
        <v>103838.79541934309</v>
      </c>
      <c r="M370" s="809">
        <f t="shared" si="140"/>
        <v>62544.695884220251</v>
      </c>
      <c r="N370" s="809">
        <f t="shared" si="140"/>
        <v>46207.122398975989</v>
      </c>
      <c r="O370" s="809">
        <f t="shared" si="140"/>
        <v>46196.724756672003</v>
      </c>
      <c r="P370" s="809">
        <f t="shared" si="140"/>
        <v>37795.42977504</v>
      </c>
      <c r="Q370" s="809">
        <f t="shared" si="140"/>
        <v>82463.701113023999</v>
      </c>
      <c r="R370" s="809">
        <f t="shared" si="140"/>
        <v>48161.879152127993</v>
      </c>
      <c r="S370" s="809">
        <f t="shared" si="140"/>
        <v>52695.251196671998</v>
      </c>
      <c r="T370" s="809">
        <f t="shared" si="140"/>
        <v>57571.745437247992</v>
      </c>
      <c r="U370" s="809">
        <f t="shared" si="140"/>
        <v>85302.257462016001</v>
      </c>
      <c r="V370" s="809">
        <f t="shared" si="140"/>
        <v>7067.1475034999994</v>
      </c>
      <c r="W370" s="809">
        <f t="shared" si="140"/>
        <v>6784.4616033599996</v>
      </c>
      <c r="X370" s="809">
        <f t="shared" si="140"/>
        <v>6077.7468530099995</v>
      </c>
    </row>
    <row r="371" spans="1:24" x14ac:dyDescent="0.25">
      <c r="B371" s="810">
        <v>8.9882799999999995E-3</v>
      </c>
      <c r="C371" s="789">
        <f>C368*B371</f>
        <v>116572.08021890678</v>
      </c>
    </row>
    <row r="372" spans="1:24" ht="15.75" thickBot="1" x14ac:dyDescent="0.3"/>
    <row r="373" spans="1:24" x14ac:dyDescent="0.25">
      <c r="A373" s="990" t="s">
        <v>71</v>
      </c>
      <c r="B373" s="991"/>
      <c r="C373" s="991"/>
      <c r="D373" s="991"/>
      <c r="E373" s="991"/>
      <c r="F373" s="991"/>
      <c r="G373" s="991"/>
      <c r="H373" s="991"/>
      <c r="I373" s="991"/>
      <c r="J373" s="991"/>
      <c r="K373" s="991"/>
      <c r="L373" s="991"/>
      <c r="M373" s="991"/>
      <c r="N373" s="991"/>
      <c r="O373" s="991"/>
      <c r="P373" s="991"/>
      <c r="Q373" s="991"/>
      <c r="R373" s="991"/>
      <c r="S373" s="991"/>
      <c r="T373" s="991"/>
      <c r="U373" s="991"/>
      <c r="V373" s="991"/>
      <c r="W373" s="991"/>
      <c r="X373" s="992"/>
    </row>
    <row r="374" spans="1:24" x14ac:dyDescent="0.25">
      <c r="A374" s="791"/>
      <c r="B374" s="792" t="s">
        <v>6</v>
      </c>
      <c r="C374" s="793" t="str">
        <f t="shared" ref="C374:R378" si="141">C322</f>
        <v>1BR, Fully Fitted</v>
      </c>
      <c r="D374" s="794" t="str">
        <f t="shared" si="141"/>
        <v>1BR, Fully Fitted</v>
      </c>
      <c r="E374" s="794" t="str">
        <f t="shared" si="141"/>
        <v>1BR, Fully Fitted</v>
      </c>
      <c r="F374" s="794" t="str">
        <f t="shared" si="141"/>
        <v>1BR, Fully Fitted</v>
      </c>
      <c r="G374" s="794" t="str">
        <f t="shared" si="141"/>
        <v>1BR, Fully Fitted</v>
      </c>
      <c r="H374" s="794" t="str">
        <f t="shared" si="141"/>
        <v>1BR, Fully Fitted</v>
      </c>
      <c r="I374" s="794" t="str">
        <f t="shared" si="141"/>
        <v>1BR, Fully Fitted</v>
      </c>
      <c r="J374" s="794" t="str">
        <f t="shared" si="141"/>
        <v>1BR, Fully Fitted</v>
      </c>
      <c r="K374" s="794" t="str">
        <f t="shared" si="141"/>
        <v>1BR, Fully Fitted</v>
      </c>
      <c r="L374" s="794" t="str">
        <f t="shared" si="141"/>
        <v>1BR, Fully Fitted</v>
      </c>
      <c r="M374" s="794" t="str">
        <f t="shared" si="141"/>
        <v>1BR, Fully Fitted</v>
      </c>
      <c r="N374" s="794">
        <f t="shared" ref="N374:X375" si="142">N112</f>
        <v>0</v>
      </c>
      <c r="O374" s="794">
        <f t="shared" si="142"/>
        <v>0</v>
      </c>
      <c r="P374" s="794">
        <f t="shared" si="142"/>
        <v>0</v>
      </c>
      <c r="Q374" s="794">
        <f t="shared" si="142"/>
        <v>0</v>
      </c>
      <c r="R374" s="794">
        <f t="shared" si="142"/>
        <v>0</v>
      </c>
      <c r="S374" s="794">
        <f t="shared" si="142"/>
        <v>0</v>
      </c>
      <c r="T374" s="794">
        <f t="shared" si="142"/>
        <v>0</v>
      </c>
      <c r="U374" s="794">
        <f t="shared" si="142"/>
        <v>0</v>
      </c>
      <c r="V374" s="794">
        <f t="shared" si="142"/>
        <v>0</v>
      </c>
      <c r="W374" s="794">
        <f t="shared" si="142"/>
        <v>0</v>
      </c>
      <c r="X374" s="795">
        <f t="shared" si="142"/>
        <v>0</v>
      </c>
    </row>
    <row r="375" spans="1:24" x14ac:dyDescent="0.25">
      <c r="A375" s="791"/>
      <c r="B375" s="792"/>
      <c r="C375" s="793" t="str">
        <f t="shared" si="141"/>
        <v>Unit A</v>
      </c>
      <c r="D375" s="794" t="str">
        <f t="shared" si="141"/>
        <v>Unit  B</v>
      </c>
      <c r="E375" s="794" t="str">
        <f t="shared" si="141"/>
        <v>Unit C</v>
      </c>
      <c r="F375" s="794" t="str">
        <f t="shared" si="141"/>
        <v>Unit D</v>
      </c>
      <c r="G375" s="794" t="str">
        <f t="shared" si="141"/>
        <v>Unit E</v>
      </c>
      <c r="H375" s="794" t="str">
        <f t="shared" si="141"/>
        <v>Unit F</v>
      </c>
      <c r="I375" s="794" t="str">
        <f t="shared" si="141"/>
        <v>Unit G</v>
      </c>
      <c r="J375" s="794" t="str">
        <f t="shared" si="141"/>
        <v>Unit H</v>
      </c>
      <c r="K375" s="794" t="str">
        <f t="shared" si="141"/>
        <v>Unit I to K</v>
      </c>
      <c r="L375" s="794" t="str">
        <f t="shared" si="141"/>
        <v>Unit L</v>
      </c>
      <c r="M375" s="794" t="str">
        <f t="shared" si="141"/>
        <v>Unit M</v>
      </c>
      <c r="N375" s="794">
        <f t="shared" si="142"/>
        <v>44.44</v>
      </c>
      <c r="O375" s="794">
        <f t="shared" si="142"/>
        <v>44.43</v>
      </c>
      <c r="P375" s="794">
        <f t="shared" si="142"/>
        <v>36.35</v>
      </c>
      <c r="Q375" s="794">
        <f t="shared" si="142"/>
        <v>79.31</v>
      </c>
      <c r="R375" s="794">
        <f t="shared" si="142"/>
        <v>46.32</v>
      </c>
      <c r="S375" s="794">
        <f t="shared" si="142"/>
        <v>50.68</v>
      </c>
      <c r="T375" s="794">
        <f t="shared" si="142"/>
        <v>55.37</v>
      </c>
      <c r="U375" s="794">
        <f t="shared" si="142"/>
        <v>82.04</v>
      </c>
      <c r="V375" s="794">
        <f t="shared" si="142"/>
        <v>12.5</v>
      </c>
      <c r="W375" s="794">
        <f t="shared" si="142"/>
        <v>12</v>
      </c>
      <c r="X375" s="795">
        <f t="shared" si="142"/>
        <v>10.75</v>
      </c>
    </row>
    <row r="376" spans="1:24" x14ac:dyDescent="0.25">
      <c r="A376" s="791">
        <v>1</v>
      </c>
      <c r="B376" s="796" t="s">
        <v>30</v>
      </c>
      <c r="C376" s="797">
        <f t="shared" si="141"/>
        <v>98.5</v>
      </c>
      <c r="D376" s="797">
        <f t="shared" si="141"/>
        <v>51.02</v>
      </c>
      <c r="E376" s="797">
        <f t="shared" si="141"/>
        <v>55.62</v>
      </c>
      <c r="F376" s="797">
        <f t="shared" si="141"/>
        <v>60.78</v>
      </c>
      <c r="G376" s="797">
        <f t="shared" si="141"/>
        <v>83.49</v>
      </c>
      <c r="H376" s="797">
        <f t="shared" si="141"/>
        <v>61.03</v>
      </c>
      <c r="I376" s="797">
        <f t="shared" si="141"/>
        <v>94.79</v>
      </c>
      <c r="J376" s="797">
        <f t="shared" si="141"/>
        <v>67.790000000000006</v>
      </c>
      <c r="K376" s="797">
        <f t="shared" si="141"/>
        <v>67.72</v>
      </c>
      <c r="L376" s="797">
        <f t="shared" si="141"/>
        <v>86.15</v>
      </c>
      <c r="M376" s="797">
        <f t="shared" si="141"/>
        <v>53.53</v>
      </c>
      <c r="N376" s="797">
        <f t="shared" si="141"/>
        <v>44.44</v>
      </c>
      <c r="O376" s="797">
        <f t="shared" si="141"/>
        <v>44.43</v>
      </c>
      <c r="P376" s="797">
        <f t="shared" si="141"/>
        <v>36.35</v>
      </c>
      <c r="Q376" s="797">
        <f t="shared" si="141"/>
        <v>79.31</v>
      </c>
      <c r="R376" s="797">
        <f t="shared" si="141"/>
        <v>46.32</v>
      </c>
      <c r="S376" s="797">
        <f t="shared" ref="S376:X377" si="143">S324</f>
        <v>50.68</v>
      </c>
      <c r="T376" s="797">
        <f t="shared" si="143"/>
        <v>55.37</v>
      </c>
      <c r="U376" s="797">
        <f t="shared" si="143"/>
        <v>82.04</v>
      </c>
      <c r="V376" s="797">
        <f t="shared" si="143"/>
        <v>12.5</v>
      </c>
      <c r="W376" s="797">
        <f t="shared" si="143"/>
        <v>12</v>
      </c>
      <c r="X376" s="798">
        <f t="shared" si="143"/>
        <v>10.75</v>
      </c>
    </row>
    <row r="377" spans="1:24" x14ac:dyDescent="0.25">
      <c r="A377" s="791">
        <v>2</v>
      </c>
      <c r="B377" s="796" t="s">
        <v>31</v>
      </c>
      <c r="C377" s="797">
        <f t="shared" si="141"/>
        <v>10.46</v>
      </c>
      <c r="D377" s="797">
        <f t="shared" si="141"/>
        <v>5.36</v>
      </c>
      <c r="E377" s="797">
        <f t="shared" si="141"/>
        <v>5.37</v>
      </c>
      <c r="F377" s="797">
        <f t="shared" si="141"/>
        <v>5.15</v>
      </c>
      <c r="G377" s="797">
        <f t="shared" si="141"/>
        <v>12.309999999999999</v>
      </c>
      <c r="H377" s="797">
        <f t="shared" si="141"/>
        <v>4.1900000000000004</v>
      </c>
      <c r="I377" s="797">
        <f t="shared" si="141"/>
        <v>11.260000000000002</v>
      </c>
      <c r="J377" s="797">
        <f t="shared" si="141"/>
        <v>4.2</v>
      </c>
      <c r="K377" s="797">
        <f t="shared" si="141"/>
        <v>4.2</v>
      </c>
      <c r="L377" s="797">
        <f t="shared" si="141"/>
        <v>12.66</v>
      </c>
      <c r="M377" s="797">
        <f t="shared" si="141"/>
        <v>4.18</v>
      </c>
      <c r="N377" s="797">
        <f t="shared" si="141"/>
        <v>0</v>
      </c>
      <c r="O377" s="797">
        <f t="shared" si="141"/>
        <v>0</v>
      </c>
      <c r="P377" s="797">
        <f t="shared" si="141"/>
        <v>0</v>
      </c>
      <c r="Q377" s="797">
        <f t="shared" si="141"/>
        <v>0</v>
      </c>
      <c r="R377" s="797">
        <f t="shared" si="141"/>
        <v>0</v>
      </c>
      <c r="S377" s="797">
        <f t="shared" si="143"/>
        <v>0</v>
      </c>
      <c r="T377" s="797">
        <f t="shared" si="143"/>
        <v>0</v>
      </c>
      <c r="U377" s="797">
        <f t="shared" si="143"/>
        <v>0</v>
      </c>
      <c r="V377" s="797">
        <f t="shared" si="143"/>
        <v>0</v>
      </c>
      <c r="W377" s="797">
        <f t="shared" si="143"/>
        <v>0</v>
      </c>
      <c r="X377" s="798">
        <f t="shared" si="143"/>
        <v>0</v>
      </c>
    </row>
    <row r="378" spans="1:24" x14ac:dyDescent="0.25">
      <c r="A378" s="791">
        <v>3</v>
      </c>
      <c r="B378" s="796" t="s">
        <v>32</v>
      </c>
      <c r="C378" s="797">
        <f t="shared" si="141"/>
        <v>108.96000000000001</v>
      </c>
      <c r="D378" s="797">
        <f t="shared" si="141"/>
        <v>56.38</v>
      </c>
      <c r="E378" s="797">
        <f t="shared" si="141"/>
        <v>60.989999999999995</v>
      </c>
      <c r="F378" s="797">
        <f t="shared" si="141"/>
        <v>65.930000000000007</v>
      </c>
      <c r="G378" s="797">
        <f t="shared" si="141"/>
        <v>95.8</v>
      </c>
      <c r="H378" s="797">
        <f t="shared" si="141"/>
        <v>65.22</v>
      </c>
      <c r="I378" s="797">
        <f t="shared" si="141"/>
        <v>106.05000000000001</v>
      </c>
      <c r="J378" s="797">
        <f t="shared" si="141"/>
        <v>71.990000000000009</v>
      </c>
      <c r="K378" s="797">
        <f t="shared" si="141"/>
        <v>71.92</v>
      </c>
      <c r="L378" s="797">
        <f t="shared" si="141"/>
        <v>98.81</v>
      </c>
      <c r="M378" s="797">
        <f t="shared" si="141"/>
        <v>57.71</v>
      </c>
      <c r="N378" s="797">
        <f t="shared" ref="N378" si="144">SUM(N376:N377)</f>
        <v>44.44</v>
      </c>
      <c r="O378" s="797">
        <f t="shared" ref="O378:X378" si="145">SUM(O376:O377)</f>
        <v>44.43</v>
      </c>
      <c r="P378" s="797">
        <f t="shared" si="145"/>
        <v>36.35</v>
      </c>
      <c r="Q378" s="797">
        <f t="shared" si="145"/>
        <v>79.31</v>
      </c>
      <c r="R378" s="797">
        <f t="shared" si="145"/>
        <v>46.32</v>
      </c>
      <c r="S378" s="797">
        <f t="shared" si="145"/>
        <v>50.68</v>
      </c>
      <c r="T378" s="797">
        <f t="shared" si="145"/>
        <v>55.37</v>
      </c>
      <c r="U378" s="797">
        <f t="shared" si="145"/>
        <v>82.04</v>
      </c>
      <c r="V378" s="797">
        <f t="shared" si="145"/>
        <v>12.5</v>
      </c>
      <c r="W378" s="797">
        <f t="shared" si="145"/>
        <v>12</v>
      </c>
      <c r="X378" s="797">
        <f t="shared" si="145"/>
        <v>10.75</v>
      </c>
    </row>
    <row r="379" spans="1:24" x14ac:dyDescent="0.25">
      <c r="A379" s="791"/>
      <c r="B379" s="796"/>
      <c r="C379" s="797"/>
      <c r="D379" s="797"/>
      <c r="E379" s="797"/>
      <c r="F379" s="797"/>
      <c r="G379" s="797"/>
      <c r="H379" s="797"/>
      <c r="I379" s="797"/>
      <c r="J379" s="797"/>
      <c r="K379" s="797"/>
      <c r="L379" s="797"/>
      <c r="M379" s="797"/>
      <c r="N379" s="797"/>
      <c r="O379" s="797"/>
      <c r="P379" s="797"/>
      <c r="Q379" s="797"/>
      <c r="R379" s="797"/>
      <c r="S379" s="797"/>
      <c r="T379" s="797"/>
      <c r="U379" s="797"/>
      <c r="V379" s="797"/>
      <c r="W379" s="797"/>
      <c r="X379" s="798"/>
    </row>
    <row r="380" spans="1:24" x14ac:dyDescent="0.25">
      <c r="A380" s="791">
        <v>4</v>
      </c>
      <c r="B380" s="796" t="s">
        <v>33</v>
      </c>
      <c r="C380" s="797">
        <f>'[15]Priority Selling List'!O18</f>
        <v>142149.56249999994</v>
      </c>
      <c r="D380" s="797">
        <f t="shared" ref="D380:J380" si="146">$C$380</f>
        <v>142149.56249999994</v>
      </c>
      <c r="E380" s="797">
        <f t="shared" si="146"/>
        <v>142149.56249999994</v>
      </c>
      <c r="F380" s="797">
        <f t="shared" si="146"/>
        <v>142149.56249999994</v>
      </c>
      <c r="G380" s="797">
        <f t="shared" si="146"/>
        <v>142149.56249999994</v>
      </c>
      <c r="H380" s="797">
        <f t="shared" si="146"/>
        <v>142149.56249999994</v>
      </c>
      <c r="I380" s="797">
        <f t="shared" si="146"/>
        <v>142149.56249999994</v>
      </c>
      <c r="J380" s="797">
        <f t="shared" si="146"/>
        <v>142149.56249999994</v>
      </c>
      <c r="K380" s="797">
        <v>138682.5</v>
      </c>
      <c r="L380" s="797">
        <v>138683.5</v>
      </c>
      <c r="M380" s="797">
        <v>138682.5</v>
      </c>
      <c r="N380" s="797">
        <v>160000</v>
      </c>
      <c r="O380" s="797">
        <v>160000</v>
      </c>
      <c r="P380" s="797">
        <v>160000</v>
      </c>
      <c r="Q380" s="797">
        <v>160000</v>
      </c>
      <c r="R380" s="797">
        <v>160000</v>
      </c>
      <c r="S380" s="797">
        <v>160000</v>
      </c>
      <c r="T380" s="797">
        <v>160000</v>
      </c>
      <c r="U380" s="797">
        <v>160000</v>
      </c>
      <c r="V380" s="797">
        <v>69600</v>
      </c>
      <c r="W380" s="797">
        <v>69600</v>
      </c>
      <c r="X380" s="798">
        <v>69600</v>
      </c>
    </row>
    <row r="381" spans="1:24" x14ac:dyDescent="0.25">
      <c r="A381" s="791">
        <v>5</v>
      </c>
      <c r="B381" s="796" t="s">
        <v>34</v>
      </c>
      <c r="C381" s="797">
        <f>C376*C380</f>
        <v>14001731.906249994</v>
      </c>
      <c r="D381" s="797">
        <f t="shared" ref="D381:G381" si="147">D376*D380</f>
        <v>7252470.6787499972</v>
      </c>
      <c r="E381" s="797">
        <f t="shared" si="147"/>
        <v>7906358.6662499961</v>
      </c>
      <c r="F381" s="797">
        <f t="shared" si="147"/>
        <v>8639850.4087499958</v>
      </c>
      <c r="G381" s="797">
        <f t="shared" si="147"/>
        <v>11868066.973124994</v>
      </c>
      <c r="H381" s="797">
        <f>H380*H376</f>
        <v>8675387.7993749958</v>
      </c>
      <c r="I381" s="797">
        <f t="shared" ref="I381:M381" si="148">I380*I376</f>
        <v>13474357.029374996</v>
      </c>
      <c r="J381" s="797">
        <f t="shared" si="148"/>
        <v>9636318.8418749962</v>
      </c>
      <c r="K381" s="797">
        <f t="shared" si="148"/>
        <v>9391578.9000000004</v>
      </c>
      <c r="L381" s="797">
        <f t="shared" si="148"/>
        <v>11947583.525</v>
      </c>
      <c r="M381" s="797">
        <f t="shared" si="148"/>
        <v>7423674.2250000006</v>
      </c>
      <c r="N381" s="797">
        <f>N380*N378</f>
        <v>7110400</v>
      </c>
      <c r="O381" s="797">
        <f>O380*O378</f>
        <v>7108800</v>
      </c>
      <c r="P381" s="797">
        <f>P380*P378</f>
        <v>5816000</v>
      </c>
      <c r="Q381" s="797">
        <f>Q380*Q378</f>
        <v>12689600</v>
      </c>
      <c r="R381" s="797">
        <f>R380*R378</f>
        <v>7411200</v>
      </c>
      <c r="S381" s="797">
        <f t="shared" ref="S381:X381" si="149">S380*S378</f>
        <v>8108800</v>
      </c>
      <c r="T381" s="797">
        <f t="shared" si="149"/>
        <v>8859200</v>
      </c>
      <c r="U381" s="797">
        <f t="shared" si="149"/>
        <v>13126400.000000002</v>
      </c>
      <c r="V381" s="797">
        <f t="shared" si="149"/>
        <v>870000</v>
      </c>
      <c r="W381" s="797">
        <f t="shared" si="149"/>
        <v>835200</v>
      </c>
      <c r="X381" s="797">
        <f t="shared" si="149"/>
        <v>748200</v>
      </c>
    </row>
    <row r="382" spans="1:24" x14ac:dyDescent="0.25">
      <c r="A382" s="791">
        <v>6</v>
      </c>
      <c r="B382" s="796" t="s">
        <v>35</v>
      </c>
      <c r="C382" s="797">
        <v>66000</v>
      </c>
      <c r="D382" s="797">
        <v>66000</v>
      </c>
      <c r="E382" s="797">
        <v>66000</v>
      </c>
      <c r="F382" s="797">
        <v>66000</v>
      </c>
      <c r="G382" s="797">
        <v>66000</v>
      </c>
      <c r="H382" s="797">
        <v>66000</v>
      </c>
      <c r="I382" s="797">
        <v>66000</v>
      </c>
      <c r="J382" s="797">
        <v>66000</v>
      </c>
      <c r="K382" s="797">
        <v>66000</v>
      </c>
      <c r="L382" s="797">
        <v>66000</v>
      </c>
      <c r="M382" s="797">
        <v>66000</v>
      </c>
      <c r="N382" s="797"/>
      <c r="O382" s="797"/>
      <c r="P382" s="797"/>
      <c r="Q382" s="797"/>
      <c r="R382" s="797"/>
      <c r="S382" s="797"/>
      <c r="T382" s="797"/>
      <c r="U382" s="797"/>
      <c r="V382" s="797"/>
      <c r="W382" s="797"/>
      <c r="X382" s="798"/>
    </row>
    <row r="383" spans="1:24" x14ac:dyDescent="0.25">
      <c r="A383" s="791">
        <v>7</v>
      </c>
      <c r="B383" s="796" t="s">
        <v>36</v>
      </c>
      <c r="C383" s="797">
        <f>C382*C377</f>
        <v>690360</v>
      </c>
      <c r="D383" s="797">
        <f t="shared" ref="D383:M383" si="150">D382*D377</f>
        <v>353760</v>
      </c>
      <c r="E383" s="797">
        <f t="shared" si="150"/>
        <v>354420</v>
      </c>
      <c r="F383" s="797">
        <f t="shared" si="150"/>
        <v>339900</v>
      </c>
      <c r="G383" s="797">
        <f t="shared" si="150"/>
        <v>812459.99999999988</v>
      </c>
      <c r="H383" s="797">
        <f t="shared" si="150"/>
        <v>276540</v>
      </c>
      <c r="I383" s="797">
        <f t="shared" si="150"/>
        <v>743160.00000000012</v>
      </c>
      <c r="J383" s="797">
        <f t="shared" si="150"/>
        <v>277200</v>
      </c>
      <c r="K383" s="797">
        <f t="shared" si="150"/>
        <v>277200</v>
      </c>
      <c r="L383" s="797">
        <f t="shared" si="150"/>
        <v>835560</v>
      </c>
      <c r="M383" s="797">
        <f t="shared" si="150"/>
        <v>275880</v>
      </c>
      <c r="N383" s="797"/>
      <c r="O383" s="797"/>
      <c r="P383" s="797"/>
      <c r="Q383" s="797"/>
      <c r="R383" s="797"/>
      <c r="S383" s="797"/>
      <c r="T383" s="797"/>
      <c r="U383" s="797"/>
      <c r="V383" s="797"/>
      <c r="W383" s="797"/>
      <c r="X383" s="798"/>
    </row>
    <row r="384" spans="1:24" x14ac:dyDescent="0.25">
      <c r="A384" s="791"/>
      <c r="B384" s="792" t="s">
        <v>37</v>
      </c>
      <c r="C384" s="799">
        <f t="shared" ref="C384:M384" si="151">C381+C383</f>
        <v>14692091.906249994</v>
      </c>
      <c r="D384" s="799">
        <f t="shared" si="151"/>
        <v>7606230.6787499972</v>
      </c>
      <c r="E384" s="799">
        <f t="shared" si="151"/>
        <v>8260778.6662499961</v>
      </c>
      <c r="F384" s="799">
        <f t="shared" si="151"/>
        <v>8979750.4087499958</v>
      </c>
      <c r="G384" s="799">
        <f t="shared" si="151"/>
        <v>12680526.973124994</v>
      </c>
      <c r="H384" s="799">
        <f t="shared" si="151"/>
        <v>8951927.7993749958</v>
      </c>
      <c r="I384" s="799">
        <f t="shared" si="151"/>
        <v>14217517.029374996</v>
      </c>
      <c r="J384" s="799">
        <f t="shared" si="151"/>
        <v>9913518.8418749962</v>
      </c>
      <c r="K384" s="799">
        <f t="shared" si="151"/>
        <v>9668778.9000000004</v>
      </c>
      <c r="L384" s="799">
        <f t="shared" si="151"/>
        <v>12783143.525</v>
      </c>
      <c r="M384" s="799">
        <f t="shared" si="151"/>
        <v>7699554.2250000006</v>
      </c>
      <c r="N384" s="799">
        <f>N381</f>
        <v>7110400</v>
      </c>
      <c r="O384" s="799">
        <f>O381</f>
        <v>7108800</v>
      </c>
      <c r="P384" s="799">
        <f>P381</f>
        <v>5816000</v>
      </c>
      <c r="Q384" s="799">
        <f>Q381</f>
        <v>12689600</v>
      </c>
      <c r="R384" s="799">
        <f>R381</f>
        <v>7411200</v>
      </c>
      <c r="S384" s="799">
        <f t="shared" ref="S384:X384" si="152">S381</f>
        <v>8108800</v>
      </c>
      <c r="T384" s="799">
        <f t="shared" si="152"/>
        <v>8859200</v>
      </c>
      <c r="U384" s="799">
        <f t="shared" si="152"/>
        <v>13126400.000000002</v>
      </c>
      <c r="V384" s="799">
        <f t="shared" si="152"/>
        <v>870000</v>
      </c>
      <c r="W384" s="799">
        <f t="shared" si="152"/>
        <v>835200</v>
      </c>
      <c r="X384" s="799">
        <f t="shared" si="152"/>
        <v>748200</v>
      </c>
    </row>
    <row r="385" spans="1:24" x14ac:dyDescent="0.25">
      <c r="A385" s="791"/>
      <c r="B385" s="796"/>
      <c r="C385" s="797"/>
      <c r="D385" s="797"/>
      <c r="E385" s="797"/>
      <c r="F385" s="797"/>
      <c r="G385" s="797"/>
      <c r="H385" s="797"/>
      <c r="I385" s="797"/>
      <c r="J385" s="797"/>
      <c r="K385" s="797"/>
      <c r="L385" s="797"/>
      <c r="M385" s="797"/>
      <c r="N385" s="797"/>
      <c r="O385" s="797"/>
      <c r="P385" s="797"/>
      <c r="Q385" s="797"/>
      <c r="R385" s="797"/>
      <c r="S385" s="797"/>
      <c r="T385" s="797"/>
      <c r="U385" s="797"/>
      <c r="V385" s="797"/>
      <c r="W385" s="797"/>
      <c r="X385" s="798"/>
    </row>
    <row r="386" spans="1:24" x14ac:dyDescent="0.25">
      <c r="A386" s="791">
        <v>8</v>
      </c>
      <c r="B386" s="796" t="s">
        <v>38</v>
      </c>
      <c r="C386" s="797">
        <f t="shared" ref="C386:X386" si="153">C384*12%</f>
        <v>1763051.0287499994</v>
      </c>
      <c r="D386" s="797">
        <f t="shared" si="153"/>
        <v>912747.68144999968</v>
      </c>
      <c r="E386" s="797">
        <f t="shared" si="153"/>
        <v>991293.43994999945</v>
      </c>
      <c r="F386" s="797">
        <f t="shared" si="153"/>
        <v>1077570.0490499996</v>
      </c>
      <c r="G386" s="797">
        <f t="shared" si="153"/>
        <v>1521663.2367749992</v>
      </c>
      <c r="H386" s="797">
        <f t="shared" si="153"/>
        <v>1074231.3359249996</v>
      </c>
      <c r="I386" s="797">
        <f t="shared" si="153"/>
        <v>1706102.0435249994</v>
      </c>
      <c r="J386" s="797">
        <f t="shared" si="153"/>
        <v>1189622.2610249994</v>
      </c>
      <c r="K386" s="797">
        <f t="shared" si="153"/>
        <v>1160253.4680000001</v>
      </c>
      <c r="L386" s="797">
        <f t="shared" si="153"/>
        <v>1533977.223</v>
      </c>
      <c r="M386" s="797">
        <f t="shared" si="153"/>
        <v>923946.50699999998</v>
      </c>
      <c r="N386" s="797">
        <f t="shared" si="153"/>
        <v>853248</v>
      </c>
      <c r="O386" s="797">
        <f t="shared" si="153"/>
        <v>853056</v>
      </c>
      <c r="P386" s="797">
        <f t="shared" si="153"/>
        <v>697920</v>
      </c>
      <c r="Q386" s="797">
        <f t="shared" si="153"/>
        <v>1522752</v>
      </c>
      <c r="R386" s="797">
        <f t="shared" si="153"/>
        <v>889344</v>
      </c>
      <c r="S386" s="797">
        <f t="shared" si="153"/>
        <v>973056</v>
      </c>
      <c r="T386" s="797">
        <f t="shared" si="153"/>
        <v>1063104</v>
      </c>
      <c r="U386" s="797">
        <f t="shared" si="153"/>
        <v>1575168.0000000002</v>
      </c>
      <c r="V386" s="797">
        <f t="shared" si="153"/>
        <v>104400</v>
      </c>
      <c r="W386" s="797">
        <f t="shared" si="153"/>
        <v>100224</v>
      </c>
      <c r="X386" s="797">
        <f t="shared" si="153"/>
        <v>89784</v>
      </c>
    </row>
    <row r="387" spans="1:24" x14ac:dyDescent="0.25">
      <c r="A387" s="791">
        <v>9</v>
      </c>
      <c r="B387" s="796" t="s">
        <v>39</v>
      </c>
      <c r="C387" s="797">
        <f>C384*6%</f>
        <v>881525.51437499968</v>
      </c>
      <c r="D387" s="797">
        <f t="shared" ref="D387:X387" si="154">D384*6%</f>
        <v>456373.84072499984</v>
      </c>
      <c r="E387" s="797">
        <f t="shared" si="154"/>
        <v>495646.71997499972</v>
      </c>
      <c r="F387" s="797">
        <f t="shared" si="154"/>
        <v>538785.02452499978</v>
      </c>
      <c r="G387" s="797">
        <f t="shared" si="154"/>
        <v>760831.61838749959</v>
      </c>
      <c r="H387" s="797">
        <f t="shared" si="154"/>
        <v>537115.66796249978</v>
      </c>
      <c r="I387" s="797">
        <f t="shared" si="154"/>
        <v>853051.0217624997</v>
      </c>
      <c r="J387" s="797">
        <f t="shared" si="154"/>
        <v>594811.13051249972</v>
      </c>
      <c r="K387" s="797">
        <f t="shared" si="154"/>
        <v>580126.73400000005</v>
      </c>
      <c r="L387" s="797">
        <f t="shared" si="154"/>
        <v>766988.6115</v>
      </c>
      <c r="M387" s="797">
        <f t="shared" si="154"/>
        <v>461973.25349999999</v>
      </c>
      <c r="N387" s="797">
        <f t="shared" si="154"/>
        <v>426624</v>
      </c>
      <c r="O387" s="797">
        <f t="shared" si="154"/>
        <v>426528</v>
      </c>
      <c r="P387" s="797">
        <f t="shared" si="154"/>
        <v>348960</v>
      </c>
      <c r="Q387" s="797">
        <f t="shared" si="154"/>
        <v>761376</v>
      </c>
      <c r="R387" s="797">
        <f t="shared" si="154"/>
        <v>444672</v>
      </c>
      <c r="S387" s="797">
        <f t="shared" si="154"/>
        <v>486528</v>
      </c>
      <c r="T387" s="797">
        <f t="shared" si="154"/>
        <v>531552</v>
      </c>
      <c r="U387" s="797">
        <f t="shared" si="154"/>
        <v>787584.00000000012</v>
      </c>
      <c r="V387" s="797">
        <f t="shared" si="154"/>
        <v>52200</v>
      </c>
      <c r="W387" s="797">
        <f t="shared" si="154"/>
        <v>50112</v>
      </c>
      <c r="X387" s="797">
        <f t="shared" si="154"/>
        <v>44892</v>
      </c>
    </row>
    <row r="388" spans="1:24" x14ac:dyDescent="0.25">
      <c r="A388" s="791">
        <v>10</v>
      </c>
      <c r="B388" s="796" t="s">
        <v>40</v>
      </c>
      <c r="C388" s="797">
        <f>C384*2.5%</f>
        <v>367302.2976562499</v>
      </c>
      <c r="D388" s="797">
        <f t="shared" ref="D388:X388" si="155">D384*2.5%</f>
        <v>190155.76696874993</v>
      </c>
      <c r="E388" s="797">
        <f t="shared" si="155"/>
        <v>206519.46665624992</v>
      </c>
      <c r="F388" s="797">
        <f t="shared" si="155"/>
        <v>224493.7602187499</v>
      </c>
      <c r="G388" s="797">
        <f t="shared" si="155"/>
        <v>317013.17432812485</v>
      </c>
      <c r="H388" s="797">
        <f t="shared" si="155"/>
        <v>223798.19498437492</v>
      </c>
      <c r="I388" s="797">
        <f t="shared" si="155"/>
        <v>355437.92573437491</v>
      </c>
      <c r="J388" s="797">
        <f t="shared" si="155"/>
        <v>247837.97104687491</v>
      </c>
      <c r="K388" s="797">
        <f t="shared" si="155"/>
        <v>241719.47250000003</v>
      </c>
      <c r="L388" s="797">
        <f t="shared" si="155"/>
        <v>319578.58812500001</v>
      </c>
      <c r="M388" s="797">
        <f t="shared" si="155"/>
        <v>192488.85562500003</v>
      </c>
      <c r="N388" s="797">
        <f t="shared" si="155"/>
        <v>177760</v>
      </c>
      <c r="O388" s="797">
        <f t="shared" si="155"/>
        <v>177720</v>
      </c>
      <c r="P388" s="797">
        <f t="shared" si="155"/>
        <v>145400</v>
      </c>
      <c r="Q388" s="797">
        <f t="shared" si="155"/>
        <v>317240</v>
      </c>
      <c r="R388" s="797">
        <f t="shared" si="155"/>
        <v>185280</v>
      </c>
      <c r="S388" s="797">
        <f t="shared" si="155"/>
        <v>202720</v>
      </c>
      <c r="T388" s="797">
        <f t="shared" si="155"/>
        <v>221480</v>
      </c>
      <c r="U388" s="797">
        <f t="shared" si="155"/>
        <v>328160.00000000006</v>
      </c>
      <c r="V388" s="797">
        <f t="shared" si="155"/>
        <v>21750</v>
      </c>
      <c r="W388" s="797">
        <f t="shared" si="155"/>
        <v>20880</v>
      </c>
      <c r="X388" s="797">
        <f t="shared" si="155"/>
        <v>18705</v>
      </c>
    </row>
    <row r="389" spans="1:24" x14ac:dyDescent="0.25">
      <c r="A389" s="791"/>
      <c r="B389" s="796"/>
      <c r="C389" s="797"/>
      <c r="D389" s="797"/>
      <c r="E389" s="797"/>
      <c r="F389" s="797"/>
      <c r="G389" s="797"/>
      <c r="H389" s="797"/>
      <c r="I389" s="797"/>
      <c r="J389" s="797"/>
      <c r="K389" s="797"/>
      <c r="L389" s="797"/>
      <c r="M389" s="797"/>
      <c r="N389" s="797"/>
      <c r="O389" s="797"/>
      <c r="P389" s="797"/>
      <c r="Q389" s="797"/>
      <c r="R389" s="797"/>
      <c r="S389" s="797"/>
      <c r="T389" s="797"/>
      <c r="U389" s="797"/>
      <c r="V389" s="797"/>
      <c r="W389" s="797"/>
      <c r="X389" s="798"/>
    </row>
    <row r="390" spans="1:24" x14ac:dyDescent="0.25">
      <c r="A390" s="791"/>
      <c r="B390" s="792" t="s">
        <v>41</v>
      </c>
      <c r="C390" s="799">
        <f t="shared" ref="C390:X390" si="156">C384+C386+C387+C388</f>
        <v>17703970.747031242</v>
      </c>
      <c r="D390" s="799">
        <f t="shared" si="156"/>
        <v>9165507.9678937458</v>
      </c>
      <c r="E390" s="799">
        <f t="shared" si="156"/>
        <v>9954238.2928312439</v>
      </c>
      <c r="F390" s="799">
        <f t="shared" si="156"/>
        <v>10820599.242543746</v>
      </c>
      <c r="G390" s="799">
        <f t="shared" si="156"/>
        <v>15280035.002615618</v>
      </c>
      <c r="H390" s="799">
        <f t="shared" si="156"/>
        <v>10787072.998246869</v>
      </c>
      <c r="I390" s="799">
        <f t="shared" si="156"/>
        <v>17132108.02039687</v>
      </c>
      <c r="J390" s="799">
        <f t="shared" si="156"/>
        <v>11945790.204459369</v>
      </c>
      <c r="K390" s="799">
        <f t="shared" si="156"/>
        <v>11650878.5745</v>
      </c>
      <c r="L390" s="799">
        <f t="shared" si="156"/>
        <v>15403687.947625</v>
      </c>
      <c r="M390" s="799">
        <f t="shared" si="156"/>
        <v>9277962.8411250003</v>
      </c>
      <c r="N390" s="799">
        <f t="shared" si="156"/>
        <v>8568032</v>
      </c>
      <c r="O390" s="799">
        <f t="shared" si="156"/>
        <v>8566104</v>
      </c>
      <c r="P390" s="799">
        <f t="shared" si="156"/>
        <v>7008280</v>
      </c>
      <c r="Q390" s="799">
        <f t="shared" si="156"/>
        <v>15290968</v>
      </c>
      <c r="R390" s="799">
        <f t="shared" si="156"/>
        <v>8930496</v>
      </c>
      <c r="S390" s="799">
        <f t="shared" si="156"/>
        <v>9771104</v>
      </c>
      <c r="T390" s="799">
        <f t="shared" si="156"/>
        <v>10675336</v>
      </c>
      <c r="U390" s="799">
        <f t="shared" si="156"/>
        <v>15817312.000000002</v>
      </c>
      <c r="V390" s="799">
        <f t="shared" si="156"/>
        <v>1048350</v>
      </c>
      <c r="W390" s="799">
        <f t="shared" si="156"/>
        <v>1006416</v>
      </c>
      <c r="X390" s="799">
        <f t="shared" si="156"/>
        <v>901581</v>
      </c>
    </row>
    <row r="391" spans="1:24" x14ac:dyDescent="0.25">
      <c r="A391" s="791">
        <v>11</v>
      </c>
      <c r="B391" s="796" t="s">
        <v>33</v>
      </c>
      <c r="C391" s="797">
        <f t="shared" ref="C391:X391" si="157">C390/C378</f>
        <v>162481.37616585207</v>
      </c>
      <c r="D391" s="797">
        <f t="shared" si="157"/>
        <v>162566.65427268084</v>
      </c>
      <c r="E391" s="797">
        <f t="shared" si="157"/>
        <v>163210.99020874314</v>
      </c>
      <c r="F391" s="797">
        <f t="shared" si="157"/>
        <v>164122.54273538213</v>
      </c>
      <c r="G391" s="797">
        <f t="shared" si="157"/>
        <v>159499.32153043442</v>
      </c>
      <c r="H391" s="797">
        <f t="shared" si="157"/>
        <v>165395.17016631202</v>
      </c>
      <c r="I391" s="797">
        <f t="shared" si="157"/>
        <v>161547.45893820716</v>
      </c>
      <c r="J391" s="797">
        <f t="shared" si="157"/>
        <v>165936.79961743808</v>
      </c>
      <c r="K391" s="797">
        <f t="shared" si="157"/>
        <v>161997.75548526141</v>
      </c>
      <c r="L391" s="797">
        <f t="shared" si="157"/>
        <v>155891.99420731707</v>
      </c>
      <c r="M391" s="797">
        <f t="shared" si="157"/>
        <v>160768.72017198059</v>
      </c>
      <c r="N391" s="797">
        <f t="shared" si="157"/>
        <v>192800</v>
      </c>
      <c r="O391" s="797">
        <f t="shared" si="157"/>
        <v>192800</v>
      </c>
      <c r="P391" s="797">
        <f t="shared" si="157"/>
        <v>192800</v>
      </c>
      <c r="Q391" s="797">
        <f t="shared" si="157"/>
        <v>192800</v>
      </c>
      <c r="R391" s="797">
        <f t="shared" si="157"/>
        <v>192800</v>
      </c>
      <c r="S391" s="797">
        <f t="shared" si="157"/>
        <v>192800</v>
      </c>
      <c r="T391" s="797">
        <f t="shared" si="157"/>
        <v>192800</v>
      </c>
      <c r="U391" s="797">
        <f t="shared" si="157"/>
        <v>192800</v>
      </c>
      <c r="V391" s="797">
        <f t="shared" si="157"/>
        <v>83868</v>
      </c>
      <c r="W391" s="797">
        <f t="shared" si="157"/>
        <v>83868</v>
      </c>
      <c r="X391" s="797">
        <f t="shared" si="157"/>
        <v>83868</v>
      </c>
    </row>
    <row r="392" spans="1:24" x14ac:dyDescent="0.25">
      <c r="A392" s="791">
        <v>12</v>
      </c>
      <c r="B392" s="796" t="s">
        <v>42</v>
      </c>
      <c r="C392" s="800">
        <v>0.25</v>
      </c>
      <c r="D392" s="800">
        <v>0.25</v>
      </c>
      <c r="E392" s="800">
        <v>0.25</v>
      </c>
      <c r="F392" s="800">
        <v>0.25</v>
      </c>
      <c r="G392" s="800">
        <v>0.25</v>
      </c>
      <c r="H392" s="800">
        <v>0.25</v>
      </c>
      <c r="I392" s="800">
        <v>0.25</v>
      </c>
      <c r="J392" s="800">
        <v>0.25</v>
      </c>
      <c r="K392" s="800">
        <v>0.25</v>
      </c>
      <c r="L392" s="800">
        <v>0.25</v>
      </c>
      <c r="M392" s="800">
        <v>0.25</v>
      </c>
      <c r="N392" s="800">
        <v>0.4</v>
      </c>
      <c r="O392" s="800">
        <v>0.4</v>
      </c>
      <c r="P392" s="800">
        <v>0.4</v>
      </c>
      <c r="Q392" s="800">
        <v>0.4</v>
      </c>
      <c r="R392" s="800">
        <v>0.4</v>
      </c>
      <c r="S392" s="800">
        <v>0.4</v>
      </c>
      <c r="T392" s="800">
        <v>0.4</v>
      </c>
      <c r="U392" s="800">
        <v>0.4</v>
      </c>
      <c r="V392" s="800">
        <v>0.25</v>
      </c>
      <c r="W392" s="800">
        <v>0.25</v>
      </c>
      <c r="X392" s="800">
        <v>0.25</v>
      </c>
    </row>
    <row r="393" spans="1:24" x14ac:dyDescent="0.25">
      <c r="A393" s="791">
        <v>13</v>
      </c>
      <c r="B393" s="796" t="s">
        <v>43</v>
      </c>
      <c r="C393" s="797">
        <f t="shared" ref="C393:X393" si="158">C390*C392</f>
        <v>4425992.6867578104</v>
      </c>
      <c r="D393" s="797">
        <f t="shared" si="158"/>
        <v>2291376.9919734364</v>
      </c>
      <c r="E393" s="797">
        <f t="shared" si="158"/>
        <v>2488559.573207811</v>
      </c>
      <c r="F393" s="797">
        <f t="shared" si="158"/>
        <v>2705149.8106359364</v>
      </c>
      <c r="G393" s="797">
        <f t="shared" si="158"/>
        <v>3820008.7506539044</v>
      </c>
      <c r="H393" s="797">
        <f t="shared" si="158"/>
        <v>2696768.2495617173</v>
      </c>
      <c r="I393" s="797">
        <f t="shared" si="158"/>
        <v>4283027.0050992174</v>
      </c>
      <c r="J393" s="797">
        <f t="shared" si="158"/>
        <v>2986447.5511148423</v>
      </c>
      <c r="K393" s="797">
        <f t="shared" si="158"/>
        <v>2912719.643625</v>
      </c>
      <c r="L393" s="797">
        <f t="shared" si="158"/>
        <v>3850921.98690625</v>
      </c>
      <c r="M393" s="797">
        <f t="shared" si="158"/>
        <v>2319490.7102812501</v>
      </c>
      <c r="N393" s="797">
        <f t="shared" si="158"/>
        <v>3427212.8000000003</v>
      </c>
      <c r="O393" s="797">
        <f t="shared" si="158"/>
        <v>3426441.6</v>
      </c>
      <c r="P393" s="797">
        <f t="shared" si="158"/>
        <v>2803312</v>
      </c>
      <c r="Q393" s="797">
        <f t="shared" si="158"/>
        <v>6116387.2000000002</v>
      </c>
      <c r="R393" s="797">
        <f t="shared" si="158"/>
        <v>3572198.4000000004</v>
      </c>
      <c r="S393" s="797">
        <f t="shared" si="158"/>
        <v>3908441.6</v>
      </c>
      <c r="T393" s="797">
        <f t="shared" si="158"/>
        <v>4270134.4000000004</v>
      </c>
      <c r="U393" s="797">
        <f t="shared" si="158"/>
        <v>6326924.8000000007</v>
      </c>
      <c r="V393" s="797">
        <f t="shared" si="158"/>
        <v>262087.5</v>
      </c>
      <c r="W393" s="797">
        <f t="shared" si="158"/>
        <v>251604</v>
      </c>
      <c r="X393" s="797">
        <f t="shared" si="158"/>
        <v>225395.25</v>
      </c>
    </row>
    <row r="394" spans="1:24" x14ac:dyDescent="0.25">
      <c r="A394" s="791">
        <v>14</v>
      </c>
      <c r="B394" s="796" t="s">
        <v>44</v>
      </c>
      <c r="C394" s="797">
        <v>50000</v>
      </c>
      <c r="D394" s="797">
        <v>50000</v>
      </c>
      <c r="E394" s="797">
        <v>50000</v>
      </c>
      <c r="F394" s="797">
        <v>50000</v>
      </c>
      <c r="G394" s="797">
        <v>50000</v>
      </c>
      <c r="H394" s="797">
        <v>50000</v>
      </c>
      <c r="I394" s="797">
        <v>50000</v>
      </c>
      <c r="J394" s="797">
        <v>50000</v>
      </c>
      <c r="K394" s="797">
        <v>50000</v>
      </c>
      <c r="L394" s="797">
        <v>50001</v>
      </c>
      <c r="M394" s="797">
        <v>50000</v>
      </c>
      <c r="N394" s="797">
        <f>'[16]Project Data'!$E$113</f>
        <v>100000</v>
      </c>
      <c r="O394" s="797">
        <f>'[16]Project Data'!$E$113</f>
        <v>100000</v>
      </c>
      <c r="P394" s="797">
        <f>'[16]Project Data'!$E$113</f>
        <v>100000</v>
      </c>
      <c r="Q394" s="797">
        <f>'[16]Project Data'!$E$113</f>
        <v>100000</v>
      </c>
      <c r="R394" s="797">
        <f>'[16]Project Data'!$E$113</f>
        <v>100000</v>
      </c>
      <c r="S394" s="797">
        <f>'[16]Project Data'!$E$113</f>
        <v>100000</v>
      </c>
      <c r="T394" s="797">
        <f>'[16]Project Data'!$E$113</f>
        <v>100000</v>
      </c>
      <c r="U394" s="797">
        <f>'[16]Project Data'!$E$113</f>
        <v>100000</v>
      </c>
      <c r="V394" s="797">
        <v>30000</v>
      </c>
      <c r="W394" s="797">
        <v>30000</v>
      </c>
      <c r="X394" s="797">
        <v>30000</v>
      </c>
    </row>
    <row r="395" spans="1:24" x14ac:dyDescent="0.25">
      <c r="A395" s="791">
        <v>15</v>
      </c>
      <c r="B395" s="796" t="s">
        <v>45</v>
      </c>
      <c r="C395" s="797">
        <f t="shared" ref="C395:X395" si="159">C393-C394</f>
        <v>4375992.6867578104</v>
      </c>
      <c r="D395" s="797">
        <f t="shared" si="159"/>
        <v>2241376.9919734364</v>
      </c>
      <c r="E395" s="797">
        <f t="shared" si="159"/>
        <v>2438559.573207811</v>
      </c>
      <c r="F395" s="797">
        <f t="shared" si="159"/>
        <v>2655149.8106359364</v>
      </c>
      <c r="G395" s="797">
        <f t="shared" si="159"/>
        <v>3770008.7506539044</v>
      </c>
      <c r="H395" s="797">
        <f t="shared" si="159"/>
        <v>2646768.2495617173</v>
      </c>
      <c r="I395" s="797">
        <f t="shared" si="159"/>
        <v>4233027.0050992174</v>
      </c>
      <c r="J395" s="797">
        <f t="shared" si="159"/>
        <v>2936447.5511148423</v>
      </c>
      <c r="K395" s="797">
        <f t="shared" si="159"/>
        <v>2862719.643625</v>
      </c>
      <c r="L395" s="797">
        <f t="shared" si="159"/>
        <v>3800920.98690625</v>
      </c>
      <c r="M395" s="797">
        <f t="shared" si="159"/>
        <v>2269490.7102812501</v>
      </c>
      <c r="N395" s="797">
        <f t="shared" si="159"/>
        <v>3327212.8000000003</v>
      </c>
      <c r="O395" s="797">
        <f t="shared" si="159"/>
        <v>3326441.6</v>
      </c>
      <c r="P395" s="797">
        <f t="shared" si="159"/>
        <v>2703312</v>
      </c>
      <c r="Q395" s="797">
        <f t="shared" si="159"/>
        <v>6016387.2000000002</v>
      </c>
      <c r="R395" s="797">
        <f t="shared" si="159"/>
        <v>3472198.4000000004</v>
      </c>
      <c r="S395" s="797">
        <f t="shared" si="159"/>
        <v>3808441.6</v>
      </c>
      <c r="T395" s="797">
        <f t="shared" si="159"/>
        <v>4170134.4000000004</v>
      </c>
      <c r="U395" s="797">
        <f t="shared" si="159"/>
        <v>6226924.8000000007</v>
      </c>
      <c r="V395" s="797">
        <f t="shared" si="159"/>
        <v>232087.5</v>
      </c>
      <c r="W395" s="797">
        <f t="shared" si="159"/>
        <v>221604</v>
      </c>
      <c r="X395" s="797">
        <f t="shared" si="159"/>
        <v>195395.25</v>
      </c>
    </row>
    <row r="396" spans="1:24" hidden="1" x14ac:dyDescent="0.25">
      <c r="A396" s="791">
        <v>18</v>
      </c>
      <c r="B396" s="796" t="s">
        <v>46</v>
      </c>
      <c r="C396" s="797">
        <f>'[16]Project Data'!$E$115</f>
        <v>34</v>
      </c>
      <c r="D396" s="797"/>
      <c r="E396" s="797"/>
      <c r="F396" s="797"/>
      <c r="G396" s="797"/>
      <c r="H396" s="797"/>
      <c r="I396" s="797"/>
      <c r="J396" s="797"/>
      <c r="K396" s="797"/>
      <c r="L396" s="797"/>
      <c r="M396" s="797"/>
      <c r="N396" s="797"/>
      <c r="O396" s="797"/>
      <c r="P396" s="797"/>
      <c r="Q396" s="797"/>
      <c r="R396" s="797"/>
      <c r="S396" s="797"/>
      <c r="T396" s="797"/>
      <c r="U396" s="797"/>
      <c r="V396" s="797"/>
      <c r="W396" s="797"/>
      <c r="X396" s="798">
        <f>'[16]Project Data'!$E$115</f>
        <v>34</v>
      </c>
    </row>
    <row r="397" spans="1:24" hidden="1" x14ac:dyDescent="0.25">
      <c r="A397" s="791">
        <v>19</v>
      </c>
      <c r="B397" s="796" t="s">
        <v>47</v>
      </c>
      <c r="C397" s="797">
        <f>C395/C396</f>
        <v>128705.66725758265</v>
      </c>
      <c r="D397" s="797"/>
      <c r="E397" s="797"/>
      <c r="F397" s="797"/>
      <c r="G397" s="797"/>
      <c r="H397" s="797"/>
      <c r="I397" s="797"/>
      <c r="J397" s="797"/>
      <c r="K397" s="797"/>
      <c r="L397" s="797"/>
      <c r="M397" s="797"/>
      <c r="N397" s="797"/>
      <c r="O397" s="797"/>
      <c r="P397" s="797"/>
      <c r="Q397" s="797"/>
      <c r="R397" s="797"/>
      <c r="S397" s="797"/>
      <c r="T397" s="797"/>
      <c r="U397" s="797"/>
      <c r="V397" s="797"/>
      <c r="W397" s="797"/>
      <c r="X397" s="798">
        <f>X395/X396</f>
        <v>5746.9191176470586</v>
      </c>
    </row>
    <row r="398" spans="1:24" hidden="1" x14ac:dyDescent="0.25">
      <c r="A398" s="791"/>
      <c r="B398" s="796"/>
      <c r="C398" s="797"/>
      <c r="D398" s="797"/>
      <c r="E398" s="797"/>
      <c r="F398" s="797"/>
      <c r="G398" s="797"/>
      <c r="H398" s="797"/>
      <c r="I398" s="797"/>
      <c r="J398" s="797"/>
      <c r="K398" s="797"/>
      <c r="L398" s="797"/>
      <c r="M398" s="797"/>
      <c r="N398" s="797"/>
      <c r="O398" s="797"/>
      <c r="P398" s="797"/>
      <c r="Q398" s="797"/>
      <c r="R398" s="797"/>
      <c r="S398" s="797"/>
      <c r="T398" s="797"/>
      <c r="U398" s="797"/>
      <c r="V398" s="797"/>
      <c r="W398" s="797"/>
      <c r="X398" s="798"/>
    </row>
    <row r="399" spans="1:24" hidden="1" x14ac:dyDescent="0.25">
      <c r="A399" s="791">
        <v>20</v>
      </c>
      <c r="B399" s="796" t="s">
        <v>48</v>
      </c>
      <c r="C399" s="797">
        <f>C390-C393</f>
        <v>13277978.060273431</v>
      </c>
      <c r="D399" s="797"/>
      <c r="E399" s="797"/>
      <c r="F399" s="797"/>
      <c r="G399" s="797"/>
      <c r="H399" s="797"/>
      <c r="I399" s="797"/>
      <c r="J399" s="797"/>
      <c r="K399" s="797"/>
      <c r="L399" s="797"/>
      <c r="M399" s="797"/>
      <c r="N399" s="797"/>
      <c r="O399" s="797"/>
      <c r="P399" s="797"/>
      <c r="Q399" s="797"/>
      <c r="R399" s="797"/>
      <c r="S399" s="797"/>
      <c r="T399" s="797"/>
      <c r="U399" s="797"/>
      <c r="V399" s="797"/>
      <c r="W399" s="797"/>
      <c r="X399" s="798">
        <f>X390-X393</f>
        <v>676185.75</v>
      </c>
    </row>
    <row r="400" spans="1:24" hidden="1" x14ac:dyDescent="0.25">
      <c r="A400" s="791">
        <v>21</v>
      </c>
      <c r="B400" s="796" t="s">
        <v>49</v>
      </c>
      <c r="C400" s="797">
        <f>C399*$AA$7</f>
        <v>0</v>
      </c>
      <c r="D400" s="797"/>
      <c r="E400" s="797"/>
      <c r="F400" s="797"/>
      <c r="G400" s="797"/>
      <c r="H400" s="797"/>
      <c r="I400" s="797"/>
      <c r="J400" s="797"/>
      <c r="K400" s="797"/>
      <c r="L400" s="797"/>
      <c r="M400" s="797"/>
      <c r="N400" s="797"/>
      <c r="O400" s="797"/>
      <c r="P400" s="797"/>
      <c r="Q400" s="797"/>
      <c r="R400" s="797"/>
      <c r="S400" s="797"/>
      <c r="T400" s="797"/>
      <c r="U400" s="797"/>
      <c r="V400" s="797"/>
      <c r="W400" s="797"/>
      <c r="X400" s="798">
        <f>X399*$AA$7</f>
        <v>0</v>
      </c>
    </row>
    <row r="401" spans="1:24" hidden="1" x14ac:dyDescent="0.25">
      <c r="A401" s="791">
        <v>22</v>
      </c>
      <c r="B401" s="796" t="s">
        <v>50</v>
      </c>
      <c r="C401" s="797">
        <f>C399*$AA$9</f>
        <v>0</v>
      </c>
      <c r="D401" s="797"/>
      <c r="E401" s="797"/>
      <c r="F401" s="797"/>
      <c r="G401" s="797"/>
      <c r="H401" s="797"/>
      <c r="I401" s="797"/>
      <c r="J401" s="797"/>
      <c r="K401" s="797"/>
      <c r="L401" s="797"/>
      <c r="M401" s="797"/>
      <c r="N401" s="797"/>
      <c r="O401" s="797"/>
      <c r="P401" s="797"/>
      <c r="Q401" s="797"/>
      <c r="R401" s="797"/>
      <c r="S401" s="797"/>
      <c r="T401" s="797"/>
      <c r="U401" s="797"/>
      <c r="V401" s="797"/>
      <c r="W401" s="797"/>
      <c r="X401" s="798">
        <f>X399*$AA$9</f>
        <v>0</v>
      </c>
    </row>
    <row r="402" spans="1:24" hidden="1" x14ac:dyDescent="0.25">
      <c r="A402" s="791">
        <v>23</v>
      </c>
      <c r="B402" s="796" t="s">
        <v>51</v>
      </c>
      <c r="C402" s="801">
        <f>C399*$AA$10</f>
        <v>0</v>
      </c>
      <c r="D402" s="801"/>
      <c r="E402" s="801"/>
      <c r="F402" s="801"/>
      <c r="G402" s="801"/>
      <c r="H402" s="801"/>
      <c r="I402" s="801"/>
      <c r="J402" s="801"/>
      <c r="K402" s="801"/>
      <c r="L402" s="801"/>
      <c r="M402" s="801"/>
      <c r="N402" s="801"/>
      <c r="O402" s="801"/>
      <c r="P402" s="801"/>
      <c r="Q402" s="801"/>
      <c r="R402" s="801"/>
      <c r="S402" s="801"/>
      <c r="T402" s="801"/>
      <c r="U402" s="801"/>
      <c r="V402" s="801"/>
      <c r="W402" s="801"/>
      <c r="X402" s="802">
        <f>X399*$AA$10</f>
        <v>0</v>
      </c>
    </row>
    <row r="403" spans="1:24" hidden="1" x14ac:dyDescent="0.25">
      <c r="A403" s="803">
        <f>A402+1</f>
        <v>24</v>
      </c>
      <c r="B403" s="804" t="s">
        <v>52</v>
      </c>
      <c r="C403" s="804" t="e">
        <f>'[17]Project Data'!E490*'[17]Project Data'!E484</f>
        <v>#REF!</v>
      </c>
      <c r="D403" s="804"/>
      <c r="E403" s="804"/>
      <c r="F403" s="804"/>
      <c r="G403" s="804"/>
      <c r="H403" s="804"/>
      <c r="I403" s="804"/>
      <c r="J403" s="804"/>
      <c r="K403" s="804"/>
      <c r="L403" s="804"/>
      <c r="M403" s="804"/>
      <c r="N403" s="804"/>
      <c r="O403" s="804"/>
      <c r="P403" s="804"/>
      <c r="Q403" s="804"/>
      <c r="R403" s="804"/>
      <c r="S403" s="804"/>
      <c r="T403" s="804"/>
      <c r="U403" s="804"/>
      <c r="V403" s="804"/>
      <c r="W403" s="804"/>
      <c r="X403" s="805"/>
    </row>
    <row r="404" spans="1:24" hidden="1" x14ac:dyDescent="0.25">
      <c r="A404" s="803">
        <f>A403+1</f>
        <v>25</v>
      </c>
      <c r="B404" s="804" t="s">
        <v>53</v>
      </c>
      <c r="C404" s="804" t="e">
        <f>C398+C402+C403</f>
        <v>#REF!</v>
      </c>
      <c r="D404" s="804"/>
      <c r="E404" s="804"/>
      <c r="F404" s="804"/>
      <c r="G404" s="804"/>
      <c r="H404" s="804"/>
      <c r="I404" s="804"/>
      <c r="J404" s="804"/>
      <c r="K404" s="804"/>
      <c r="L404" s="804"/>
      <c r="M404" s="804"/>
      <c r="N404" s="804"/>
      <c r="O404" s="804"/>
      <c r="P404" s="804"/>
      <c r="Q404" s="804"/>
      <c r="R404" s="804"/>
      <c r="S404" s="804"/>
      <c r="T404" s="804"/>
      <c r="U404" s="804"/>
      <c r="V404" s="804"/>
      <c r="W404" s="804"/>
      <c r="X404" s="805"/>
    </row>
    <row r="405" spans="1:24" hidden="1" x14ac:dyDescent="0.25">
      <c r="A405" s="803"/>
      <c r="B405" s="804"/>
      <c r="C405" s="804"/>
      <c r="D405" s="804"/>
      <c r="E405" s="804"/>
      <c r="F405" s="804"/>
      <c r="G405" s="804"/>
      <c r="H405" s="804"/>
      <c r="I405" s="804"/>
      <c r="J405" s="804"/>
      <c r="K405" s="804"/>
      <c r="L405" s="804"/>
      <c r="M405" s="804"/>
      <c r="N405" s="804"/>
      <c r="O405" s="804"/>
      <c r="P405" s="804"/>
      <c r="Q405" s="804"/>
      <c r="R405" s="804"/>
      <c r="S405" s="804"/>
      <c r="T405" s="804"/>
      <c r="U405" s="804"/>
      <c r="V405" s="804"/>
      <c r="W405" s="804"/>
      <c r="X405" s="805"/>
    </row>
    <row r="406" spans="1:24" hidden="1" x14ac:dyDescent="0.25">
      <c r="A406" s="803" t="s">
        <v>54</v>
      </c>
      <c r="B406" s="804"/>
      <c r="C406" s="806"/>
      <c r="D406" s="806"/>
      <c r="E406" s="806"/>
      <c r="F406" s="806"/>
      <c r="G406" s="806"/>
      <c r="H406" s="806"/>
      <c r="I406" s="806"/>
      <c r="J406" s="806"/>
      <c r="K406" s="806"/>
      <c r="L406" s="806"/>
      <c r="M406" s="806"/>
      <c r="N406" s="804"/>
      <c r="O406" s="804"/>
      <c r="P406" s="804"/>
      <c r="Q406" s="804"/>
      <c r="R406" s="804"/>
      <c r="S406" s="804"/>
      <c r="T406" s="804"/>
      <c r="U406" s="804"/>
      <c r="V406" s="804"/>
      <c r="W406" s="804"/>
      <c r="X406" s="805"/>
    </row>
    <row r="407" spans="1:24" hidden="1" x14ac:dyDescent="0.25">
      <c r="A407" s="803">
        <v>1</v>
      </c>
      <c r="B407" s="804" t="s">
        <v>55</v>
      </c>
      <c r="C407" s="804" t="e">
        <f>'[17]Project Data'!E452</f>
        <v>#REF!</v>
      </c>
      <c r="D407" s="804"/>
      <c r="E407" s="804"/>
      <c r="F407" s="804"/>
      <c r="G407" s="804"/>
      <c r="H407" s="804"/>
      <c r="I407" s="804"/>
      <c r="J407" s="804"/>
      <c r="K407" s="804"/>
      <c r="L407" s="804"/>
      <c r="M407" s="804"/>
      <c r="N407" s="804"/>
      <c r="O407" s="804"/>
      <c r="P407" s="804"/>
      <c r="Q407" s="804"/>
      <c r="R407" s="804"/>
      <c r="S407" s="804"/>
      <c r="T407" s="804"/>
      <c r="U407" s="804"/>
      <c r="V407" s="804"/>
      <c r="W407" s="804"/>
      <c r="X407" s="805"/>
    </row>
    <row r="408" spans="1:24" hidden="1" x14ac:dyDescent="0.25">
      <c r="A408" s="803">
        <f>A407+1</f>
        <v>2</v>
      </c>
      <c r="B408" s="804" t="s">
        <v>56</v>
      </c>
      <c r="C408" s="804" t="e">
        <f>'[17]Project Data'!E451</f>
        <v>#REF!</v>
      </c>
      <c r="D408" s="804"/>
      <c r="E408" s="804"/>
      <c r="F408" s="804"/>
      <c r="G408" s="804"/>
      <c r="H408" s="804"/>
      <c r="I408" s="804"/>
      <c r="J408" s="804"/>
      <c r="K408" s="804"/>
      <c r="L408" s="804"/>
      <c r="M408" s="804"/>
      <c r="N408" s="804"/>
      <c r="O408" s="804"/>
      <c r="P408" s="804"/>
      <c r="Q408" s="804"/>
      <c r="R408" s="804"/>
      <c r="S408" s="804"/>
      <c r="T408" s="804"/>
      <c r="U408" s="804"/>
      <c r="V408" s="804"/>
      <c r="W408" s="804"/>
      <c r="X408" s="805"/>
    </row>
    <row r="409" spans="1:24" hidden="1" x14ac:dyDescent="0.25">
      <c r="A409" s="803">
        <f t="shared" ref="A409:A415" si="160">A408+1</f>
        <v>3</v>
      </c>
      <c r="B409" s="804" t="s">
        <v>57</v>
      </c>
      <c r="C409" s="804" t="e">
        <f>C407*C410</f>
        <v>#REF!</v>
      </c>
      <c r="D409" s="804"/>
      <c r="E409" s="804"/>
      <c r="F409" s="804"/>
      <c r="G409" s="804"/>
      <c r="H409" s="804"/>
      <c r="I409" s="804"/>
      <c r="J409" s="804"/>
      <c r="K409" s="804"/>
      <c r="L409" s="804"/>
      <c r="M409" s="804"/>
      <c r="N409" s="804"/>
      <c r="O409" s="804"/>
      <c r="P409" s="804"/>
      <c r="Q409" s="804"/>
      <c r="R409" s="804"/>
      <c r="S409" s="804"/>
      <c r="T409" s="804"/>
      <c r="U409" s="804"/>
      <c r="V409" s="804"/>
      <c r="W409" s="804"/>
      <c r="X409" s="805"/>
    </row>
    <row r="410" spans="1:24" hidden="1" x14ac:dyDescent="0.25">
      <c r="A410" s="803">
        <f t="shared" si="160"/>
        <v>4</v>
      </c>
      <c r="B410" s="804" t="s">
        <v>58</v>
      </c>
      <c r="C410" s="804" t="e">
        <f>'[17]Project Data'!E455</f>
        <v>#REF!</v>
      </c>
      <c r="D410" s="804"/>
      <c r="E410" s="804"/>
      <c r="F410" s="804"/>
      <c r="G410" s="804"/>
      <c r="H410" s="804"/>
      <c r="I410" s="804"/>
      <c r="J410" s="804"/>
      <c r="K410" s="804"/>
      <c r="L410" s="804"/>
      <c r="M410" s="804"/>
      <c r="N410" s="804"/>
      <c r="O410" s="804"/>
      <c r="P410" s="804"/>
      <c r="Q410" s="804"/>
      <c r="R410" s="804"/>
      <c r="S410" s="804"/>
      <c r="T410" s="804"/>
      <c r="U410" s="804"/>
      <c r="V410" s="804"/>
      <c r="W410" s="804"/>
      <c r="X410" s="805"/>
    </row>
    <row r="411" spans="1:24" hidden="1" x14ac:dyDescent="0.25">
      <c r="A411" s="803">
        <f t="shared" si="160"/>
        <v>5</v>
      </c>
      <c r="B411" s="804" t="s">
        <v>59</v>
      </c>
      <c r="C411" s="804" t="e">
        <f>'[17]Project Data'!E487</f>
        <v>#REF!</v>
      </c>
      <c r="D411" s="804"/>
      <c r="E411" s="804"/>
      <c r="F411" s="804"/>
      <c r="G411" s="804"/>
      <c r="H411" s="804"/>
      <c r="I411" s="804"/>
      <c r="J411" s="804"/>
      <c r="K411" s="804"/>
      <c r="L411" s="804"/>
      <c r="M411" s="804"/>
      <c r="N411" s="804"/>
      <c r="O411" s="804"/>
      <c r="P411" s="804"/>
      <c r="Q411" s="804"/>
      <c r="R411" s="804"/>
      <c r="S411" s="804"/>
      <c r="T411" s="804"/>
      <c r="U411" s="804"/>
      <c r="V411" s="804"/>
      <c r="W411" s="804"/>
      <c r="X411" s="805"/>
    </row>
    <row r="412" spans="1:24" hidden="1" x14ac:dyDescent="0.25">
      <c r="A412" s="803">
        <f t="shared" si="160"/>
        <v>6</v>
      </c>
      <c r="B412" s="804" t="s">
        <v>60</v>
      </c>
      <c r="C412" s="804" t="e">
        <f>C411/C408</f>
        <v>#REF!</v>
      </c>
      <c r="D412" s="804"/>
      <c r="E412" s="804"/>
      <c r="F412" s="804"/>
      <c r="G412" s="804"/>
      <c r="H412" s="804"/>
      <c r="I412" s="804"/>
      <c r="J412" s="804"/>
      <c r="K412" s="804"/>
      <c r="L412" s="804"/>
      <c r="M412" s="804"/>
      <c r="N412" s="804"/>
      <c r="O412" s="804"/>
      <c r="P412" s="804"/>
      <c r="Q412" s="804"/>
      <c r="R412" s="804"/>
      <c r="S412" s="804"/>
      <c r="T412" s="804"/>
      <c r="U412" s="804"/>
      <c r="V412" s="804"/>
      <c r="W412" s="804"/>
      <c r="X412" s="805"/>
    </row>
    <row r="413" spans="1:24" hidden="1" x14ac:dyDescent="0.25">
      <c r="A413" s="803">
        <f t="shared" si="160"/>
        <v>7</v>
      </c>
      <c r="B413" s="804" t="s">
        <v>61</v>
      </c>
      <c r="C413" s="804" t="e">
        <f>C411*2</f>
        <v>#REF!</v>
      </c>
      <c r="D413" s="804"/>
      <c r="E413" s="804"/>
      <c r="F413" s="804"/>
      <c r="G413" s="804"/>
      <c r="H413" s="804"/>
      <c r="I413" s="804"/>
      <c r="J413" s="804"/>
      <c r="K413" s="804"/>
      <c r="L413" s="804"/>
      <c r="M413" s="804"/>
      <c r="N413" s="804"/>
      <c r="O413" s="804"/>
      <c r="P413" s="804"/>
      <c r="Q413" s="804"/>
      <c r="R413" s="804"/>
      <c r="S413" s="804"/>
      <c r="T413" s="804"/>
      <c r="U413" s="804"/>
      <c r="V413" s="804"/>
      <c r="W413" s="804"/>
      <c r="X413" s="805"/>
    </row>
    <row r="414" spans="1:24" hidden="1" x14ac:dyDescent="0.25">
      <c r="A414" s="803">
        <f t="shared" si="160"/>
        <v>8</v>
      </c>
      <c r="B414" s="804" t="s">
        <v>52</v>
      </c>
      <c r="C414" s="804" t="e">
        <f>'[17]Project Data'!E490*'[17]Project Data'!E487</f>
        <v>#REF!</v>
      </c>
      <c r="D414" s="804"/>
      <c r="E414" s="804"/>
      <c r="F414" s="804"/>
      <c r="G414" s="804"/>
      <c r="H414" s="804"/>
      <c r="I414" s="804"/>
      <c r="J414" s="804"/>
      <c r="K414" s="804"/>
      <c r="L414" s="804"/>
      <c r="M414" s="804"/>
      <c r="N414" s="804"/>
      <c r="O414" s="804"/>
      <c r="P414" s="804"/>
      <c r="Q414" s="804"/>
      <c r="R414" s="804"/>
      <c r="S414" s="804"/>
      <c r="T414" s="804"/>
      <c r="U414" s="804"/>
      <c r="V414" s="804"/>
      <c r="W414" s="804"/>
      <c r="X414" s="805"/>
    </row>
    <row r="415" spans="1:24" hidden="1" x14ac:dyDescent="0.25">
      <c r="A415" s="803">
        <f t="shared" si="160"/>
        <v>9</v>
      </c>
      <c r="B415" s="804" t="s">
        <v>53</v>
      </c>
      <c r="C415" s="804" t="e">
        <f>C409+C413+C414</f>
        <v>#REF!</v>
      </c>
      <c r="D415" s="804"/>
      <c r="E415" s="804"/>
      <c r="F415" s="804"/>
      <c r="G415" s="804"/>
      <c r="H415" s="804"/>
      <c r="I415" s="804"/>
      <c r="J415" s="804"/>
      <c r="K415" s="804"/>
      <c r="L415" s="804"/>
      <c r="M415" s="804"/>
      <c r="N415" s="804"/>
      <c r="O415" s="804"/>
      <c r="P415" s="804"/>
      <c r="Q415" s="804"/>
      <c r="R415" s="804"/>
      <c r="S415" s="804"/>
      <c r="T415" s="804"/>
      <c r="U415" s="804"/>
      <c r="V415" s="804"/>
      <c r="W415" s="804"/>
      <c r="X415" s="805"/>
    </row>
    <row r="416" spans="1:24" hidden="1" x14ac:dyDescent="0.25">
      <c r="A416" s="803"/>
      <c r="B416" s="804"/>
      <c r="C416" s="804"/>
      <c r="D416" s="804"/>
      <c r="E416" s="804"/>
      <c r="F416" s="804"/>
      <c r="G416" s="804"/>
      <c r="H416" s="804"/>
      <c r="I416" s="804"/>
      <c r="J416" s="804"/>
      <c r="K416" s="804"/>
      <c r="L416" s="804"/>
      <c r="M416" s="804"/>
      <c r="N416" s="804"/>
      <c r="O416" s="804"/>
      <c r="P416" s="804"/>
      <c r="Q416" s="804"/>
      <c r="R416" s="804"/>
      <c r="S416" s="804"/>
      <c r="T416" s="804"/>
      <c r="U416" s="804"/>
      <c r="V416" s="804"/>
      <c r="W416" s="804"/>
      <c r="X416" s="805"/>
    </row>
    <row r="417" spans="1:24" hidden="1" x14ac:dyDescent="0.25">
      <c r="A417" s="803"/>
      <c r="B417" s="804"/>
      <c r="C417" s="804"/>
      <c r="D417" s="804"/>
      <c r="E417" s="804"/>
      <c r="F417" s="804"/>
      <c r="G417" s="804"/>
      <c r="H417" s="804"/>
      <c r="I417" s="804"/>
      <c r="J417" s="804"/>
      <c r="K417" s="804"/>
      <c r="L417" s="804"/>
      <c r="M417" s="804"/>
      <c r="N417" s="804"/>
      <c r="O417" s="804"/>
      <c r="P417" s="804"/>
      <c r="Q417" s="804"/>
      <c r="R417" s="804"/>
      <c r="S417" s="804"/>
      <c r="T417" s="804"/>
      <c r="U417" s="804"/>
      <c r="V417" s="804"/>
      <c r="W417" s="804"/>
      <c r="X417" s="805"/>
    </row>
    <row r="418" spans="1:24" s="789" customFormat="1" x14ac:dyDescent="0.25">
      <c r="A418" s="803">
        <v>16</v>
      </c>
      <c r="B418" s="804" t="s">
        <v>62</v>
      </c>
      <c r="C418" s="804">
        <f>C395/43</f>
        <v>101767.27178506536</v>
      </c>
      <c r="D418" s="804">
        <f t="shared" ref="D418:X418" si="161">D395/43</f>
        <v>52125.046324963638</v>
      </c>
      <c r="E418" s="804">
        <f t="shared" si="161"/>
        <v>56710.687749018864</v>
      </c>
      <c r="F418" s="804">
        <f t="shared" si="161"/>
        <v>61747.670014789219</v>
      </c>
      <c r="G418" s="804">
        <f t="shared" si="161"/>
        <v>87674.622108230338</v>
      </c>
      <c r="H418" s="804">
        <f t="shared" si="161"/>
        <v>61552.74998980738</v>
      </c>
      <c r="I418" s="804">
        <f t="shared" si="161"/>
        <v>98442.488490679476</v>
      </c>
      <c r="J418" s="804">
        <f t="shared" si="161"/>
        <v>68289.477932903304</v>
      </c>
      <c r="K418" s="804">
        <f t="shared" si="161"/>
        <v>66574.875433139532</v>
      </c>
      <c r="L418" s="804">
        <f t="shared" si="161"/>
        <v>88393.511323401166</v>
      </c>
      <c r="M418" s="804">
        <f t="shared" si="161"/>
        <v>52778.853727470931</v>
      </c>
      <c r="N418" s="804">
        <f t="shared" si="161"/>
        <v>77377.04186046512</v>
      </c>
      <c r="O418" s="804">
        <f t="shared" si="161"/>
        <v>77359.106976744195</v>
      </c>
      <c r="P418" s="804">
        <f t="shared" si="161"/>
        <v>62867.720930232557</v>
      </c>
      <c r="Q418" s="804">
        <f t="shared" si="161"/>
        <v>139915.98139534885</v>
      </c>
      <c r="R418" s="804">
        <f t="shared" si="161"/>
        <v>80748.800000000003</v>
      </c>
      <c r="S418" s="804">
        <f t="shared" si="161"/>
        <v>88568.409302325585</v>
      </c>
      <c r="T418" s="804">
        <f t="shared" si="161"/>
        <v>96979.869767441865</v>
      </c>
      <c r="U418" s="804">
        <f t="shared" si="161"/>
        <v>144812.20465116281</v>
      </c>
      <c r="V418" s="804">
        <f t="shared" si="161"/>
        <v>5397.3837209302328</v>
      </c>
      <c r="W418" s="804">
        <f t="shared" si="161"/>
        <v>5153.5813953488368</v>
      </c>
      <c r="X418" s="804">
        <f t="shared" si="161"/>
        <v>4544.0755813953492</v>
      </c>
    </row>
    <row r="419" spans="1:24" x14ac:dyDescent="0.25">
      <c r="A419" s="803"/>
      <c r="B419" s="804"/>
      <c r="C419" s="804"/>
      <c r="D419" s="804"/>
      <c r="E419" s="804"/>
      <c r="F419" s="804"/>
      <c r="G419" s="804"/>
      <c r="H419" s="804"/>
      <c r="I419" s="804"/>
      <c r="J419" s="804"/>
      <c r="K419" s="804"/>
      <c r="L419" s="804"/>
      <c r="M419" s="804"/>
      <c r="N419" s="804"/>
      <c r="O419" s="804"/>
      <c r="P419" s="804"/>
      <c r="Q419" s="804"/>
      <c r="R419" s="804"/>
      <c r="S419" s="804"/>
      <c r="T419" s="804"/>
      <c r="U419" s="804"/>
      <c r="V419" s="804"/>
      <c r="W419" s="804"/>
      <c r="X419" s="805"/>
    </row>
    <row r="420" spans="1:24" x14ac:dyDescent="0.25">
      <c r="A420" s="803">
        <v>17</v>
      </c>
      <c r="B420" s="807" t="s">
        <v>63</v>
      </c>
      <c r="C420" s="804">
        <f>C390-C393</f>
        <v>13277978.060273431</v>
      </c>
      <c r="D420" s="804">
        <f t="shared" ref="D420:X420" si="162">D390-D393</f>
        <v>6874130.9759203093</v>
      </c>
      <c r="E420" s="804">
        <f t="shared" si="162"/>
        <v>7465678.7196234334</v>
      </c>
      <c r="F420" s="804">
        <f t="shared" si="162"/>
        <v>8115449.4319078093</v>
      </c>
      <c r="G420" s="804">
        <f t="shared" si="162"/>
        <v>11460026.251961714</v>
      </c>
      <c r="H420" s="804">
        <f t="shared" si="162"/>
        <v>8090304.7486851513</v>
      </c>
      <c r="I420" s="804">
        <f t="shared" si="162"/>
        <v>12849081.015297651</v>
      </c>
      <c r="J420" s="804">
        <f t="shared" si="162"/>
        <v>8959342.6533445269</v>
      </c>
      <c r="K420" s="804">
        <f t="shared" si="162"/>
        <v>8738158.9308749996</v>
      </c>
      <c r="L420" s="804">
        <f t="shared" si="162"/>
        <v>11552765.960718751</v>
      </c>
      <c r="M420" s="804">
        <f t="shared" si="162"/>
        <v>6958472.1308437502</v>
      </c>
      <c r="N420" s="804">
        <f t="shared" si="162"/>
        <v>5140819.1999999993</v>
      </c>
      <c r="O420" s="804">
        <f t="shared" si="162"/>
        <v>5139662.4000000004</v>
      </c>
      <c r="P420" s="804">
        <f t="shared" si="162"/>
        <v>4204968</v>
      </c>
      <c r="Q420" s="804">
        <f t="shared" si="162"/>
        <v>9174580.8000000007</v>
      </c>
      <c r="R420" s="804">
        <f t="shared" si="162"/>
        <v>5358297.5999999996</v>
      </c>
      <c r="S420" s="804">
        <f t="shared" si="162"/>
        <v>5862662.4000000004</v>
      </c>
      <c r="T420" s="804">
        <f t="shared" si="162"/>
        <v>6405201.5999999996</v>
      </c>
      <c r="U420" s="804">
        <f t="shared" si="162"/>
        <v>9490387.2000000011</v>
      </c>
      <c r="V420" s="804">
        <f t="shared" si="162"/>
        <v>786262.5</v>
      </c>
      <c r="W420" s="804">
        <f t="shared" si="162"/>
        <v>754812</v>
      </c>
      <c r="X420" s="804">
        <f t="shared" si="162"/>
        <v>676185.75</v>
      </c>
    </row>
    <row r="421" spans="1:24" hidden="1" x14ac:dyDescent="0.25">
      <c r="A421" s="803">
        <v>18</v>
      </c>
      <c r="B421" s="804" t="s">
        <v>64</v>
      </c>
      <c r="C421" s="804">
        <v>69820.214423232668</v>
      </c>
      <c r="D421" s="804">
        <v>73795.417969823291</v>
      </c>
      <c r="E421" s="804">
        <v>78474.428045974215</v>
      </c>
      <c r="F421" s="804">
        <v>78852.398219256604</v>
      </c>
      <c r="G421" s="804"/>
      <c r="H421" s="804"/>
      <c r="I421" s="804"/>
      <c r="J421" s="804"/>
      <c r="K421" s="804"/>
      <c r="L421" s="804"/>
      <c r="M421" s="804"/>
      <c r="N421" s="804">
        <v>127975.48729171579</v>
      </c>
      <c r="O421" s="804">
        <v>69820.214423232668</v>
      </c>
      <c r="P421" s="804">
        <v>73795.417969823291</v>
      </c>
      <c r="Q421" s="804">
        <v>78852.398219256604</v>
      </c>
      <c r="R421" s="804">
        <v>143016.09349750457</v>
      </c>
      <c r="S421" s="804"/>
      <c r="T421" s="804"/>
      <c r="U421" s="804"/>
      <c r="V421" s="804">
        <v>10861.211875930661</v>
      </c>
      <c r="W421" s="804"/>
      <c r="X421" s="805">
        <v>11730.108826005115</v>
      </c>
    </row>
    <row r="422" spans="1:24" ht="15.75" thickBot="1" x14ac:dyDescent="0.3">
      <c r="A422" s="808">
        <v>19</v>
      </c>
      <c r="B422" s="809" t="s">
        <v>65</v>
      </c>
      <c r="C422" s="809">
        <f>C420*$B423</f>
        <v>119346.18463959447</v>
      </c>
      <c r="D422" s="809">
        <f t="shared" ref="D422:X422" si="163">D420*$B423</f>
        <v>61786.613968244994</v>
      </c>
      <c r="E422" s="809">
        <f t="shared" si="163"/>
        <v>67103.610722016907</v>
      </c>
      <c r="F422" s="809">
        <f t="shared" si="163"/>
        <v>72943.931819828314</v>
      </c>
      <c r="G422" s="809">
        <f t="shared" si="163"/>
        <v>103005.92475998243</v>
      </c>
      <c r="H422" s="809">
        <f t="shared" si="163"/>
        <v>72717.924366511768</v>
      </c>
      <c r="I422" s="809">
        <f t="shared" si="163"/>
        <v>115491.13790817956</v>
      </c>
      <c r="J422" s="809">
        <f t="shared" si="163"/>
        <v>80529.080384203538</v>
      </c>
      <c r="K422" s="809">
        <f t="shared" si="163"/>
        <v>78541.01915520514</v>
      </c>
      <c r="L422" s="809">
        <f t="shared" si="163"/>
        <v>103839.49522940913</v>
      </c>
      <c r="M422" s="809">
        <f t="shared" si="163"/>
        <v>62544.695884220258</v>
      </c>
      <c r="N422" s="809">
        <f t="shared" si="163"/>
        <v>46207.122398975989</v>
      </c>
      <c r="O422" s="809">
        <f t="shared" si="163"/>
        <v>46196.724756672003</v>
      </c>
      <c r="P422" s="809">
        <f t="shared" si="163"/>
        <v>37795.42977504</v>
      </c>
      <c r="Q422" s="809">
        <f t="shared" si="163"/>
        <v>82463.701113023999</v>
      </c>
      <c r="R422" s="809">
        <f t="shared" si="163"/>
        <v>48161.879152127993</v>
      </c>
      <c r="S422" s="809">
        <f t="shared" si="163"/>
        <v>52695.251196671998</v>
      </c>
      <c r="T422" s="809">
        <f t="shared" si="163"/>
        <v>57571.745437247992</v>
      </c>
      <c r="U422" s="809">
        <f t="shared" si="163"/>
        <v>85302.257462016001</v>
      </c>
      <c r="V422" s="809">
        <f t="shared" si="163"/>
        <v>7067.1475034999994</v>
      </c>
      <c r="W422" s="809">
        <f t="shared" si="163"/>
        <v>6784.4616033599996</v>
      </c>
      <c r="X422" s="809">
        <f t="shared" si="163"/>
        <v>6077.7468530099995</v>
      </c>
    </row>
    <row r="423" spans="1:24" x14ac:dyDescent="0.25">
      <c r="B423" s="810">
        <v>8.9882799999999995E-3</v>
      </c>
      <c r="C423" s="789">
        <f>C420*B423</f>
        <v>119346.18463959447</v>
      </c>
    </row>
  </sheetData>
  <sheetProtection algorithmName="SHA-512" hashValue="1qKqli3IaSFuqPS3oeTeCp87vvdOJBhirOZ34OGVjQL/7WVhlzW7kExEIUB2BH6rk0lV0rUov7wQJSN9tAXobA==" saltValue="j8huvtuAvR51RisLKM1kaw==" spinCount="100000" sheet="1" objects="1" scenarios="1" selectLockedCells="1" selectUnlockedCells="1"/>
  <mergeCells count="8">
    <mergeCell ref="A321:X321"/>
    <mergeCell ref="A373:X373"/>
    <mergeCell ref="A6:X6"/>
    <mergeCell ref="A58:X58"/>
    <mergeCell ref="A110:X110"/>
    <mergeCell ref="A162:X162"/>
    <mergeCell ref="A214:X214"/>
    <mergeCell ref="A268:X268"/>
  </mergeCells>
  <pageMargins left="0.75" right="0.75" top="1" bottom="1" header="0.5" footer="0.5"/>
  <pageSetup orientation="portrait" horizontalDpi="4294967293"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0D27B5-689E-4151-86B7-F4060E946372}">
  <sheetPr codeName="Sheet19"/>
  <dimension ref="A1:EV315"/>
  <sheetViews>
    <sheetView topLeftCell="ET1" workbookViewId="0">
      <selection activeCell="FE12" sqref="FE12"/>
    </sheetView>
  </sheetViews>
  <sheetFormatPr defaultColWidth="9.28515625" defaultRowHeight="12.75" x14ac:dyDescent="0.2"/>
  <cols>
    <col min="1" max="1" width="15.7109375" style="721" hidden="1" customWidth="1"/>
    <col min="2" max="2" width="6.7109375" style="722" hidden="1" customWidth="1"/>
    <col min="3" max="3" width="11" style="722" hidden="1" customWidth="1"/>
    <col min="4" max="11" width="15.7109375" style="722" hidden="1" customWidth="1"/>
    <col min="12" max="12" width="17.28515625" style="722" hidden="1" customWidth="1"/>
    <col min="13" max="14" width="15.7109375" style="722" hidden="1" customWidth="1"/>
    <col min="15" max="16" width="15.7109375" style="723" hidden="1" customWidth="1"/>
    <col min="17" max="17" width="16.7109375" style="722" hidden="1" customWidth="1"/>
    <col min="18" max="22" width="15.7109375" style="723" hidden="1" customWidth="1"/>
    <col min="23" max="23" width="17.28515625" style="722" hidden="1" customWidth="1"/>
    <col min="24" max="26" width="15.7109375" style="722" hidden="1" customWidth="1"/>
    <col min="27" max="28" width="17" style="722" hidden="1" customWidth="1"/>
    <col min="29" max="29" width="17" style="724" hidden="1" customWidth="1"/>
    <col min="30" max="30" width="15.7109375" style="722" hidden="1" customWidth="1"/>
    <col min="31" max="31" width="15.7109375" style="723" hidden="1" customWidth="1"/>
    <col min="32" max="32" width="15.7109375" style="722" hidden="1" customWidth="1"/>
    <col min="33" max="33" width="15.7109375" style="725" hidden="1" customWidth="1"/>
    <col min="34" max="34" width="17" style="722" hidden="1" customWidth="1"/>
    <col min="35" max="35" width="17.28515625" style="722" hidden="1" customWidth="1"/>
    <col min="36" max="36" width="17" style="722" hidden="1" customWidth="1"/>
    <col min="37" max="40" width="15.7109375" style="723" hidden="1" customWidth="1"/>
    <col min="41" max="83" width="15.7109375" style="727" hidden="1" customWidth="1"/>
    <col min="84" max="149" width="9.28515625" style="721" hidden="1" customWidth="1"/>
    <col min="150" max="151" width="9.28515625" style="721"/>
    <col min="152" max="152" width="11" style="721" hidden="1" customWidth="1"/>
    <col min="153" max="16384" width="9.28515625" style="721"/>
  </cols>
  <sheetData>
    <row r="1" spans="1:152" x14ac:dyDescent="0.2">
      <c r="O1" s="723">
        <v>500</v>
      </c>
      <c r="P1" s="723">
        <v>2000</v>
      </c>
      <c r="Q1" s="785">
        <v>5.0000000000000001E-3</v>
      </c>
      <c r="R1" s="723">
        <v>1000</v>
      </c>
      <c r="S1" s="723">
        <v>1000</v>
      </c>
      <c r="AH1" s="726"/>
    </row>
    <row r="2" spans="1:152" s="722" customFormat="1" x14ac:dyDescent="0.2">
      <c r="A2" s="736" t="s">
        <v>72</v>
      </c>
      <c r="B2" s="736" t="s">
        <v>73</v>
      </c>
      <c r="C2" s="736" t="s">
        <v>74</v>
      </c>
      <c r="D2" s="736" t="s">
        <v>75</v>
      </c>
      <c r="E2" s="736" t="s">
        <v>76</v>
      </c>
      <c r="F2" s="736" t="s">
        <v>77</v>
      </c>
      <c r="G2" s="736" t="s">
        <v>78</v>
      </c>
      <c r="H2" s="736" t="s">
        <v>79</v>
      </c>
      <c r="I2" s="736" t="s">
        <v>80</v>
      </c>
      <c r="J2" s="737" t="s">
        <v>81</v>
      </c>
      <c r="K2" s="736" t="s">
        <v>32</v>
      </c>
      <c r="L2" s="736" t="s">
        <v>37</v>
      </c>
      <c r="M2" s="736" t="s">
        <v>82</v>
      </c>
      <c r="N2" s="736" t="s">
        <v>83</v>
      </c>
      <c r="O2" s="738" t="s">
        <v>84</v>
      </c>
      <c r="P2" s="738" t="s">
        <v>85</v>
      </c>
      <c r="Q2" s="736" t="s">
        <v>86</v>
      </c>
      <c r="R2" s="738" t="s">
        <v>87</v>
      </c>
      <c r="S2" s="738" t="s">
        <v>88</v>
      </c>
      <c r="T2" s="738" t="s">
        <v>89</v>
      </c>
      <c r="U2" s="738" t="s">
        <v>90</v>
      </c>
      <c r="V2" s="738" t="s">
        <v>91</v>
      </c>
      <c r="W2" s="736" t="s">
        <v>92</v>
      </c>
      <c r="X2" s="736" t="s">
        <v>93</v>
      </c>
      <c r="Y2" s="736" t="s">
        <v>94</v>
      </c>
      <c r="Z2" s="736" t="s">
        <v>95</v>
      </c>
      <c r="AA2" s="736" t="s">
        <v>96</v>
      </c>
      <c r="AB2" s="736" t="s">
        <v>97</v>
      </c>
      <c r="AC2" s="739" t="s">
        <v>98</v>
      </c>
      <c r="AD2" s="736" t="s">
        <v>42</v>
      </c>
      <c r="AE2" s="738" t="s">
        <v>99</v>
      </c>
      <c r="AF2" s="736" t="s">
        <v>100</v>
      </c>
      <c r="AG2" s="740" t="s">
        <v>46</v>
      </c>
      <c r="AH2" s="736" t="s">
        <v>48</v>
      </c>
      <c r="AI2" s="736" t="s">
        <v>101</v>
      </c>
      <c r="AJ2" s="736" t="s">
        <v>102</v>
      </c>
      <c r="AK2" s="728">
        <v>44470</v>
      </c>
      <c r="AL2" s="728">
        <v>44521</v>
      </c>
      <c r="AM2" s="728">
        <v>44551</v>
      </c>
      <c r="AN2" s="728">
        <v>44562</v>
      </c>
      <c r="AO2" s="728">
        <v>44593</v>
      </c>
      <c r="AP2" s="728">
        <v>44621</v>
      </c>
      <c r="AQ2" s="728">
        <v>44652</v>
      </c>
      <c r="AR2" s="728">
        <v>44682</v>
      </c>
      <c r="AS2" s="728">
        <v>44713</v>
      </c>
      <c r="AT2" s="728">
        <v>44743</v>
      </c>
      <c r="AU2" s="728">
        <v>44774</v>
      </c>
      <c r="AV2" s="728">
        <v>44805</v>
      </c>
      <c r="AW2" s="728">
        <v>44835</v>
      </c>
      <c r="AX2" s="728">
        <v>44866</v>
      </c>
      <c r="AY2" s="728">
        <v>44896</v>
      </c>
      <c r="AZ2" s="728">
        <v>44927</v>
      </c>
      <c r="BA2" s="728">
        <v>44958</v>
      </c>
      <c r="BB2" s="728">
        <v>44986</v>
      </c>
      <c r="BC2" s="728">
        <v>45017</v>
      </c>
      <c r="BD2" s="728">
        <v>45047</v>
      </c>
      <c r="BE2" s="728">
        <v>45078</v>
      </c>
      <c r="BF2" s="728">
        <v>45108</v>
      </c>
      <c r="BG2" s="728">
        <v>45139</v>
      </c>
      <c r="BH2" s="728">
        <v>45170</v>
      </c>
      <c r="BI2" s="728">
        <v>45200</v>
      </c>
      <c r="BJ2" s="728">
        <v>45231</v>
      </c>
      <c r="BK2" s="728">
        <v>45261</v>
      </c>
      <c r="BL2" s="728">
        <v>45292</v>
      </c>
      <c r="BM2" s="728">
        <v>45323</v>
      </c>
      <c r="BN2" s="728">
        <v>45352</v>
      </c>
      <c r="BO2" s="728">
        <v>45383</v>
      </c>
      <c r="BP2" s="728">
        <v>45413</v>
      </c>
      <c r="BQ2" s="728">
        <v>45444</v>
      </c>
      <c r="BR2" s="728">
        <v>45474</v>
      </c>
      <c r="BS2" s="728">
        <v>45505</v>
      </c>
      <c r="BT2" s="728">
        <v>45536</v>
      </c>
      <c r="BU2" s="728">
        <v>45566</v>
      </c>
      <c r="BV2" s="728">
        <v>45597</v>
      </c>
      <c r="BW2" s="728">
        <v>45627</v>
      </c>
      <c r="BX2" s="728">
        <v>45658</v>
      </c>
      <c r="BY2" s="728">
        <v>45689</v>
      </c>
      <c r="BZ2" s="728">
        <v>45717</v>
      </c>
      <c r="CA2" s="728">
        <v>45748</v>
      </c>
      <c r="CB2" s="728">
        <v>45778</v>
      </c>
      <c r="CC2" s="728">
        <v>45809</v>
      </c>
      <c r="CD2" s="728">
        <v>45839</v>
      </c>
      <c r="CE2" s="728">
        <v>45870</v>
      </c>
      <c r="CF2" s="728">
        <v>45901</v>
      </c>
      <c r="CG2" s="728">
        <v>45931</v>
      </c>
      <c r="CH2" s="728">
        <v>45962</v>
      </c>
      <c r="CI2" s="728">
        <v>45992</v>
      </c>
      <c r="CJ2" s="728">
        <v>46023</v>
      </c>
      <c r="CK2" s="728">
        <v>46054</v>
      </c>
      <c r="CL2" s="728">
        <v>46082</v>
      </c>
      <c r="CM2" s="728">
        <v>46113</v>
      </c>
      <c r="CN2" s="728">
        <v>46143</v>
      </c>
      <c r="CO2" s="728">
        <v>46174</v>
      </c>
      <c r="CP2" s="728">
        <v>46204</v>
      </c>
      <c r="CQ2" s="728">
        <v>46235</v>
      </c>
      <c r="CR2" s="728">
        <v>46266</v>
      </c>
      <c r="CS2" s="728">
        <v>46296</v>
      </c>
      <c r="CT2" s="728">
        <v>46327</v>
      </c>
      <c r="CU2" s="728">
        <v>46357</v>
      </c>
      <c r="CV2" s="728">
        <v>46388</v>
      </c>
      <c r="CW2" s="728">
        <v>46419</v>
      </c>
      <c r="CX2" s="728">
        <v>46447</v>
      </c>
      <c r="CY2" s="728">
        <v>46478</v>
      </c>
      <c r="CZ2" s="728">
        <v>46508</v>
      </c>
      <c r="DA2" s="728">
        <v>46539</v>
      </c>
      <c r="DB2" s="728">
        <v>46569</v>
      </c>
      <c r="DC2" s="728">
        <v>46600</v>
      </c>
      <c r="DD2" s="728">
        <v>46631</v>
      </c>
      <c r="DE2" s="728">
        <v>46661</v>
      </c>
      <c r="DF2" s="728">
        <v>46692</v>
      </c>
      <c r="DG2" s="728">
        <v>46722</v>
      </c>
      <c r="DH2" s="728">
        <v>46753</v>
      </c>
      <c r="DI2" s="728">
        <v>46784</v>
      </c>
      <c r="DJ2" s="728">
        <v>46813</v>
      </c>
      <c r="DK2" s="728">
        <v>46844</v>
      </c>
      <c r="DL2" s="728">
        <v>46874</v>
      </c>
      <c r="DM2" s="728">
        <v>46905</v>
      </c>
      <c r="DN2" s="728">
        <v>46935</v>
      </c>
      <c r="DO2" s="728">
        <v>46966</v>
      </c>
      <c r="DP2" s="728">
        <v>46997</v>
      </c>
      <c r="DQ2" s="728">
        <v>47027</v>
      </c>
      <c r="DR2" s="728">
        <v>47058</v>
      </c>
      <c r="DS2" s="728">
        <v>47088</v>
      </c>
      <c r="DT2" s="728">
        <v>47119</v>
      </c>
      <c r="DU2" s="728">
        <v>47150</v>
      </c>
      <c r="DV2" s="728">
        <v>47178</v>
      </c>
      <c r="DW2" s="728">
        <v>47209</v>
      </c>
      <c r="DX2" s="728">
        <v>47239</v>
      </c>
      <c r="DY2" s="728">
        <v>47270</v>
      </c>
      <c r="DZ2" s="728">
        <v>47300</v>
      </c>
      <c r="EA2" s="728">
        <v>47331</v>
      </c>
      <c r="EB2" s="728">
        <v>47362</v>
      </c>
      <c r="EC2" s="728">
        <v>47392</v>
      </c>
      <c r="ED2" s="728">
        <v>47423</v>
      </c>
      <c r="EE2" s="728">
        <v>47453</v>
      </c>
      <c r="EF2" s="728">
        <v>47484</v>
      </c>
      <c r="EG2" s="728">
        <v>47515</v>
      </c>
      <c r="EH2" s="728">
        <v>47543</v>
      </c>
      <c r="EI2" s="728">
        <v>47574</v>
      </c>
      <c r="EJ2" s="728">
        <v>47604</v>
      </c>
      <c r="EK2" s="728">
        <v>47635</v>
      </c>
      <c r="EL2" s="728">
        <v>47665</v>
      </c>
      <c r="EM2" s="728">
        <v>47696</v>
      </c>
      <c r="EN2" s="728">
        <v>47727</v>
      </c>
      <c r="EO2" s="728">
        <v>47757</v>
      </c>
      <c r="EP2" s="728">
        <v>47788</v>
      </c>
      <c r="EQ2" s="728">
        <v>47818</v>
      </c>
      <c r="ER2" s="728">
        <v>47849</v>
      </c>
      <c r="ES2" s="728">
        <v>47880</v>
      </c>
      <c r="EV2" s="722" t="s">
        <v>103</v>
      </c>
    </row>
    <row r="3" spans="1:152" s="722" customFormat="1" x14ac:dyDescent="0.2">
      <c r="A3" s="993">
        <v>1</v>
      </c>
      <c r="B3" s="736">
        <v>1</v>
      </c>
      <c r="C3" s="736" t="s">
        <v>104</v>
      </c>
      <c r="D3" s="736" t="s">
        <v>105</v>
      </c>
      <c r="E3" s="736" t="s">
        <v>106</v>
      </c>
      <c r="F3" s="736" t="s">
        <v>107</v>
      </c>
      <c r="G3" s="736" t="s">
        <v>108</v>
      </c>
      <c r="H3" s="736" t="s">
        <v>109</v>
      </c>
      <c r="I3" s="740">
        <f>'[18]Collection Unsold 10.15.21'!G4</f>
        <v>98.5</v>
      </c>
      <c r="J3" s="741">
        <f>'[18]Collection Unsold 10.15.21'!H4</f>
        <v>10.46</v>
      </c>
      <c r="K3" s="740">
        <f t="shared" ref="K3:K98" si="0">I3+J3</f>
        <v>108.96000000000001</v>
      </c>
      <c r="L3" s="742">
        <f>'Package Breakdown - Casas 10.21'!C69</f>
        <v>12447600</v>
      </c>
      <c r="M3" s="742"/>
      <c r="N3" s="736">
        <v>1</v>
      </c>
      <c r="O3" s="738">
        <f t="shared" ref="O3:O66" si="1">I3*N3*500</f>
        <v>49250</v>
      </c>
      <c r="P3" s="738"/>
      <c r="Q3" s="742"/>
      <c r="R3" s="738">
        <f>I3*1000</f>
        <v>98500</v>
      </c>
      <c r="S3" s="738">
        <f>I3*1000</f>
        <v>98500</v>
      </c>
      <c r="T3" s="738" t="s">
        <v>110</v>
      </c>
      <c r="U3" s="738"/>
      <c r="V3" s="738">
        <f>SUM(O3:S3)</f>
        <v>246250</v>
      </c>
      <c r="W3" s="742">
        <f>L3-M3+V3</f>
        <v>12693850</v>
      </c>
      <c r="X3" s="742">
        <f>W3*6%</f>
        <v>761631</v>
      </c>
      <c r="Y3" s="742">
        <f>W3*2.5%</f>
        <v>317346.25</v>
      </c>
      <c r="Z3" s="742">
        <f t="shared" ref="Z3:Z28" si="2">W3*12%</f>
        <v>1523262</v>
      </c>
      <c r="AA3" s="742">
        <f t="shared" ref="AA3:AA66" si="3">W3+X3+Y3+Z3</f>
        <v>15296089.25</v>
      </c>
      <c r="AB3" s="742">
        <f t="shared" ref="AB3:AB66" si="4">AA3/K3</f>
        <v>140382.61059104258</v>
      </c>
      <c r="AC3" s="739">
        <v>0.25</v>
      </c>
      <c r="AD3" s="742">
        <f t="shared" ref="AD3:AD94" si="5">AA3*AC3</f>
        <v>3824022.3125</v>
      </c>
      <c r="AE3" s="738">
        <v>50000</v>
      </c>
      <c r="AF3" s="742">
        <f t="shared" ref="AF3:AF66" si="6">(AD3-AE3)/(AG3)</f>
        <v>87767.960755813954</v>
      </c>
      <c r="AG3" s="743">
        <v>43</v>
      </c>
      <c r="AH3" s="742">
        <f t="shared" ref="AH3:AH66" si="7">AA3-AD3</f>
        <v>11472066.9375</v>
      </c>
      <c r="AI3" s="738">
        <f t="shared" ref="AI3:AI8" si="8">SUM(AK3:CK3)</f>
        <v>0</v>
      </c>
      <c r="AJ3" s="742">
        <f>AI3-AA3</f>
        <v>-15296089.25</v>
      </c>
      <c r="AK3" s="723"/>
      <c r="AL3" s="723"/>
      <c r="AM3" s="723"/>
      <c r="AN3" s="723"/>
      <c r="AO3" s="723"/>
      <c r="AP3" s="723"/>
      <c r="AQ3" s="723"/>
      <c r="AR3" s="723"/>
      <c r="AS3" s="723"/>
      <c r="AT3" s="723"/>
      <c r="AU3" s="723"/>
      <c r="AV3" s="723"/>
      <c r="AW3" s="723"/>
      <c r="AX3" s="723"/>
      <c r="AY3" s="723"/>
      <c r="AZ3" s="723"/>
      <c r="BA3" s="723"/>
      <c r="BB3" s="723"/>
      <c r="BC3" s="723"/>
      <c r="BD3" s="723"/>
      <c r="BE3" s="723"/>
      <c r="BF3" s="723"/>
      <c r="BG3" s="723"/>
      <c r="BH3" s="723"/>
      <c r="BI3" s="723"/>
      <c r="BJ3" s="723"/>
      <c r="BK3" s="723"/>
      <c r="BL3" s="723"/>
      <c r="BM3" s="723"/>
      <c r="BN3" s="723"/>
      <c r="BO3" s="723"/>
      <c r="BP3" s="723"/>
      <c r="BQ3" s="723"/>
      <c r="BR3" s="723"/>
      <c r="BS3" s="723"/>
      <c r="BT3" s="723"/>
      <c r="BU3" s="723"/>
      <c r="BV3" s="723"/>
      <c r="BW3" s="723"/>
      <c r="BX3" s="723"/>
      <c r="BY3" s="723"/>
      <c r="BZ3" s="723"/>
      <c r="CA3" s="723"/>
      <c r="CB3" s="723"/>
      <c r="CC3" s="723"/>
      <c r="CD3" s="723"/>
      <c r="CE3" s="723"/>
      <c r="CF3" s="723"/>
      <c r="CG3" s="723"/>
      <c r="CH3" s="723"/>
      <c r="CI3" s="723"/>
      <c r="CJ3" s="723"/>
      <c r="CK3" s="723"/>
      <c r="CL3" s="723"/>
      <c r="CM3" s="723"/>
      <c r="CN3" s="723"/>
      <c r="CO3" s="723"/>
      <c r="CP3" s="723"/>
      <c r="CQ3" s="723"/>
      <c r="CR3" s="723"/>
      <c r="CS3" s="723"/>
      <c r="CT3" s="723"/>
      <c r="CU3" s="723"/>
      <c r="CV3" s="723"/>
      <c r="CW3" s="723"/>
      <c r="CX3" s="723"/>
      <c r="CY3" s="723"/>
      <c r="CZ3" s="723"/>
      <c r="DA3" s="723"/>
      <c r="DB3" s="723"/>
      <c r="DC3" s="723"/>
      <c r="DD3" s="723"/>
      <c r="DE3" s="723"/>
      <c r="DF3" s="723"/>
      <c r="DG3" s="723"/>
      <c r="DH3" s="723"/>
      <c r="DI3" s="723"/>
      <c r="DJ3" s="723"/>
      <c r="DK3" s="723"/>
      <c r="DL3" s="723"/>
      <c r="DM3" s="723"/>
      <c r="DN3" s="723"/>
      <c r="DO3" s="723"/>
      <c r="DP3" s="723"/>
      <c r="DQ3" s="723"/>
      <c r="DR3" s="723"/>
      <c r="DS3" s="723"/>
      <c r="DT3" s="723"/>
      <c r="DU3" s="723"/>
      <c r="DV3" s="723"/>
      <c r="DW3" s="723"/>
      <c r="DX3" s="723"/>
      <c r="DY3" s="723"/>
      <c r="DZ3" s="723"/>
      <c r="EA3" s="723"/>
      <c r="EB3" s="723"/>
      <c r="EC3" s="723"/>
      <c r="ED3" s="723"/>
      <c r="EE3" s="723"/>
      <c r="EF3" s="723"/>
      <c r="EG3" s="723"/>
      <c r="EH3" s="723"/>
      <c r="EI3" s="723"/>
      <c r="EJ3" s="728"/>
      <c r="EK3" s="728"/>
      <c r="EL3" s="728"/>
      <c r="EM3" s="728"/>
      <c r="EN3" s="728"/>
      <c r="EO3" s="728"/>
      <c r="EP3" s="728"/>
      <c r="EQ3" s="728"/>
      <c r="ER3" s="728"/>
      <c r="ES3" s="728"/>
      <c r="EV3" s="784">
        <f t="shared" ref="EV3:EV66" si="9">W3/K3</f>
        <v>116500.09177679881</v>
      </c>
    </row>
    <row r="4" spans="1:152" s="722" customFormat="1" x14ac:dyDescent="0.2">
      <c r="A4" s="993"/>
      <c r="B4" s="736">
        <v>2</v>
      </c>
      <c r="C4" s="736" t="s">
        <v>104</v>
      </c>
      <c r="D4" s="736" t="s">
        <v>105</v>
      </c>
      <c r="E4" s="736" t="s">
        <v>106</v>
      </c>
      <c r="F4" s="736" t="s">
        <v>111</v>
      </c>
      <c r="G4" s="736" t="s">
        <v>112</v>
      </c>
      <c r="H4" s="736" t="s">
        <v>113</v>
      </c>
      <c r="I4" s="740">
        <f>'[18]Collection Unsold 10.15.21'!G5</f>
        <v>51.02</v>
      </c>
      <c r="J4" s="741">
        <f>'[18]Collection Unsold 10.15.21'!H5</f>
        <v>5.36</v>
      </c>
      <c r="K4" s="740">
        <f t="shared" si="0"/>
        <v>56.38</v>
      </c>
      <c r="L4" s="742">
        <f>'Package Breakdown - Casas 10.21'!D69</f>
        <v>6444000</v>
      </c>
      <c r="M4" s="742"/>
      <c r="N4" s="736">
        <v>1</v>
      </c>
      <c r="O4" s="738">
        <f t="shared" si="1"/>
        <v>25510</v>
      </c>
      <c r="P4" s="738"/>
      <c r="Q4" s="742"/>
      <c r="R4" s="738"/>
      <c r="S4" s="738">
        <f>I4*1000</f>
        <v>51020</v>
      </c>
      <c r="T4" s="738" t="s">
        <v>114</v>
      </c>
      <c r="U4" s="738"/>
      <c r="V4" s="738">
        <f t="shared" ref="V4:V28" si="10">SUM(O4:S4)</f>
        <v>76530</v>
      </c>
      <c r="W4" s="742">
        <f t="shared" ref="W4:W66" si="11">L4-M4+V4</f>
        <v>6520530</v>
      </c>
      <c r="X4" s="742">
        <f t="shared" ref="X4:X67" si="12">W4*6%</f>
        <v>391231.8</v>
      </c>
      <c r="Y4" s="742">
        <f t="shared" ref="Y4:Y67" si="13">W4*2.5%</f>
        <v>163013.25</v>
      </c>
      <c r="Z4" s="742">
        <f t="shared" si="2"/>
        <v>782463.6</v>
      </c>
      <c r="AA4" s="742">
        <f t="shared" si="3"/>
        <v>7857238.6499999994</v>
      </c>
      <c r="AB4" s="742">
        <f t="shared" si="4"/>
        <v>139362.16122738557</v>
      </c>
      <c r="AC4" s="739">
        <v>0.25</v>
      </c>
      <c r="AD4" s="742">
        <f t="shared" si="5"/>
        <v>1964309.6624999999</v>
      </c>
      <c r="AE4" s="738">
        <v>50000</v>
      </c>
      <c r="AF4" s="742">
        <f t="shared" si="6"/>
        <v>44518.829360465112</v>
      </c>
      <c r="AG4" s="743">
        <v>43</v>
      </c>
      <c r="AH4" s="742">
        <f t="shared" si="7"/>
        <v>5892928.9874999998</v>
      </c>
      <c r="AI4" s="738">
        <f t="shared" si="8"/>
        <v>0</v>
      </c>
      <c r="AJ4" s="742">
        <f t="shared" ref="AJ4:AJ67" si="14">AI4-AA4</f>
        <v>-7857238.6499999994</v>
      </c>
      <c r="AK4" s="723"/>
      <c r="AL4" s="723"/>
      <c r="AM4" s="723"/>
      <c r="AN4" s="723"/>
      <c r="AO4" s="723"/>
      <c r="AP4" s="723"/>
      <c r="AQ4" s="723"/>
      <c r="AR4" s="723"/>
      <c r="AS4" s="723"/>
      <c r="AT4" s="723"/>
      <c r="AU4" s="723"/>
      <c r="AV4" s="723"/>
      <c r="AW4" s="723"/>
      <c r="AX4" s="723"/>
      <c r="AY4" s="723"/>
      <c r="AZ4" s="723"/>
      <c r="BA4" s="723"/>
      <c r="BB4" s="723"/>
      <c r="BC4" s="723"/>
      <c r="BD4" s="723"/>
      <c r="BE4" s="723"/>
      <c r="BF4" s="723"/>
      <c r="BG4" s="723"/>
      <c r="BH4" s="723"/>
      <c r="BI4" s="723"/>
      <c r="BJ4" s="723"/>
      <c r="BK4" s="723"/>
      <c r="BL4" s="723"/>
      <c r="BM4" s="723"/>
      <c r="BN4" s="723"/>
      <c r="BO4" s="723"/>
      <c r="BP4" s="723"/>
      <c r="BQ4" s="723"/>
      <c r="BR4" s="723"/>
      <c r="BS4" s="723"/>
      <c r="BT4" s="723"/>
      <c r="BU4" s="723"/>
      <c r="BV4" s="723"/>
      <c r="BW4" s="723"/>
      <c r="BX4" s="723"/>
      <c r="BY4" s="723"/>
      <c r="BZ4" s="723"/>
      <c r="CA4" s="723"/>
      <c r="CB4" s="723"/>
      <c r="CC4" s="723"/>
      <c r="CD4" s="723"/>
      <c r="CE4" s="723"/>
      <c r="CF4" s="723"/>
      <c r="CG4" s="723"/>
      <c r="CH4" s="723"/>
      <c r="CI4" s="723"/>
      <c r="CJ4" s="723"/>
      <c r="CK4" s="723"/>
      <c r="CL4" s="723"/>
      <c r="CM4" s="723"/>
      <c r="CN4" s="723"/>
      <c r="CO4" s="723"/>
      <c r="CP4" s="723"/>
      <c r="CQ4" s="723"/>
      <c r="CR4" s="723"/>
      <c r="CS4" s="723"/>
      <c r="CT4" s="723"/>
      <c r="CU4" s="723"/>
      <c r="CV4" s="723"/>
      <c r="CW4" s="723"/>
      <c r="CX4" s="723"/>
      <c r="CY4" s="723"/>
      <c r="CZ4" s="723"/>
      <c r="DA4" s="723"/>
      <c r="DB4" s="723"/>
      <c r="DC4" s="723"/>
      <c r="DD4" s="723"/>
      <c r="DE4" s="723"/>
      <c r="DF4" s="723"/>
      <c r="DG4" s="723"/>
      <c r="DH4" s="723"/>
      <c r="DI4" s="723"/>
      <c r="DJ4" s="723"/>
      <c r="DK4" s="723"/>
      <c r="DL4" s="723"/>
      <c r="DM4" s="723"/>
      <c r="DN4" s="723"/>
      <c r="DO4" s="723"/>
      <c r="DP4" s="723"/>
      <c r="DQ4" s="723"/>
      <c r="DR4" s="723"/>
      <c r="DS4" s="723"/>
      <c r="DT4" s="723"/>
      <c r="DU4" s="723"/>
      <c r="DV4" s="723"/>
      <c r="DW4" s="723"/>
      <c r="DX4" s="723"/>
      <c r="DY4" s="723"/>
      <c r="DZ4" s="723"/>
      <c r="EA4" s="723"/>
      <c r="EB4" s="723"/>
      <c r="EC4" s="723"/>
      <c r="ED4" s="723"/>
      <c r="EE4" s="723"/>
      <c r="EF4" s="723"/>
      <c r="EG4" s="723"/>
      <c r="EH4" s="723"/>
      <c r="EI4" s="723"/>
      <c r="EJ4" s="728"/>
      <c r="EK4" s="728"/>
      <c r="EL4" s="728"/>
      <c r="EM4" s="728"/>
      <c r="EN4" s="728"/>
      <c r="EO4" s="728"/>
      <c r="EP4" s="728"/>
      <c r="EQ4" s="728"/>
      <c r="ER4" s="728"/>
      <c r="ES4" s="728"/>
      <c r="EV4" s="784">
        <f t="shared" si="9"/>
        <v>115653.24583185527</v>
      </c>
    </row>
    <row r="5" spans="1:152" s="722" customFormat="1" x14ac:dyDescent="0.2">
      <c r="A5" s="993"/>
      <c r="B5" s="736">
        <v>3</v>
      </c>
      <c r="C5" s="736" t="s">
        <v>104</v>
      </c>
      <c r="D5" s="736" t="s">
        <v>105</v>
      </c>
      <c r="E5" s="736" t="s">
        <v>106</v>
      </c>
      <c r="F5" s="736" t="s">
        <v>115</v>
      </c>
      <c r="G5" s="736" t="s">
        <v>116</v>
      </c>
      <c r="H5" s="736" t="s">
        <v>109</v>
      </c>
      <c r="I5" s="740">
        <f>'[18]Collection Unsold 10.15.21'!G6</f>
        <v>55.62</v>
      </c>
      <c r="J5" s="741">
        <f>'[18]Collection Unsold 10.15.21'!H6</f>
        <v>5.37</v>
      </c>
      <c r="K5" s="740">
        <f t="shared" si="0"/>
        <v>60.989999999999995</v>
      </c>
      <c r="L5" s="742">
        <f>'Package Breakdown - Casas 10.21'!E69</f>
        <v>6996600</v>
      </c>
      <c r="M5" s="742"/>
      <c r="N5" s="736">
        <v>1</v>
      </c>
      <c r="O5" s="738">
        <f t="shared" si="1"/>
        <v>27810</v>
      </c>
      <c r="P5" s="738"/>
      <c r="Q5" s="742"/>
      <c r="R5" s="738"/>
      <c r="S5" s="738">
        <f>I5*1000</f>
        <v>55620</v>
      </c>
      <c r="T5" s="738" t="s">
        <v>114</v>
      </c>
      <c r="U5" s="738"/>
      <c r="V5" s="738">
        <f t="shared" si="10"/>
        <v>83430</v>
      </c>
      <c r="W5" s="742">
        <f t="shared" si="11"/>
        <v>7080030</v>
      </c>
      <c r="X5" s="742">
        <f t="shared" si="12"/>
        <v>424801.8</v>
      </c>
      <c r="Y5" s="742">
        <f t="shared" si="13"/>
        <v>177000.75</v>
      </c>
      <c r="Z5" s="742">
        <f t="shared" si="2"/>
        <v>849603.6</v>
      </c>
      <c r="AA5" s="742">
        <f t="shared" si="3"/>
        <v>8531436.1500000004</v>
      </c>
      <c r="AB5" s="742">
        <f t="shared" si="4"/>
        <v>139882.54058042302</v>
      </c>
      <c r="AC5" s="739">
        <v>0.25</v>
      </c>
      <c r="AD5" s="742">
        <f t="shared" si="5"/>
        <v>2132859.0375000001</v>
      </c>
      <c r="AE5" s="738">
        <v>50000</v>
      </c>
      <c r="AF5" s="742">
        <f t="shared" si="6"/>
        <v>48438.58226744186</v>
      </c>
      <c r="AG5" s="743">
        <v>43</v>
      </c>
      <c r="AH5" s="742">
        <f t="shared" si="7"/>
        <v>6398577.1125000007</v>
      </c>
      <c r="AI5" s="738">
        <f t="shared" si="8"/>
        <v>0</v>
      </c>
      <c r="AJ5" s="742">
        <f t="shared" si="14"/>
        <v>-8531436.1500000004</v>
      </c>
      <c r="AK5" s="723"/>
      <c r="AL5" s="723"/>
      <c r="AM5" s="723"/>
      <c r="AN5" s="723"/>
      <c r="AO5" s="723"/>
      <c r="AP5" s="723"/>
      <c r="AQ5" s="723"/>
      <c r="AR5" s="723"/>
      <c r="AS5" s="723"/>
      <c r="AT5" s="723"/>
      <c r="AU5" s="723"/>
      <c r="AV5" s="723"/>
      <c r="AW5" s="723"/>
      <c r="AX5" s="723"/>
      <c r="AY5" s="723"/>
      <c r="AZ5" s="723"/>
      <c r="BA5" s="723"/>
      <c r="BB5" s="723"/>
      <c r="BC5" s="723"/>
      <c r="BD5" s="723"/>
      <c r="BE5" s="723"/>
      <c r="BF5" s="723"/>
      <c r="BG5" s="723"/>
      <c r="BH5" s="723"/>
      <c r="BI5" s="723"/>
      <c r="BJ5" s="723"/>
      <c r="BK5" s="723"/>
      <c r="BL5" s="723"/>
      <c r="BM5" s="723"/>
      <c r="BN5" s="723"/>
      <c r="BO5" s="723"/>
      <c r="BP5" s="723"/>
      <c r="BQ5" s="723"/>
      <c r="BR5" s="723"/>
      <c r="BS5" s="723"/>
      <c r="BT5" s="723"/>
      <c r="BU5" s="723"/>
      <c r="BV5" s="723"/>
      <c r="BW5" s="723"/>
      <c r="BX5" s="723"/>
      <c r="BY5" s="723"/>
      <c r="BZ5" s="723"/>
      <c r="CA5" s="723"/>
      <c r="CB5" s="723"/>
      <c r="CC5" s="723"/>
      <c r="CD5" s="723"/>
      <c r="CE5" s="723"/>
      <c r="CF5" s="723"/>
      <c r="CG5" s="723"/>
      <c r="CH5" s="723"/>
      <c r="CI5" s="723"/>
      <c r="CJ5" s="723"/>
      <c r="CK5" s="723"/>
      <c r="CL5" s="723"/>
      <c r="CM5" s="723"/>
      <c r="CN5" s="723"/>
      <c r="CO5" s="723"/>
      <c r="CP5" s="723"/>
      <c r="CQ5" s="723"/>
      <c r="CR5" s="723"/>
      <c r="CS5" s="723"/>
      <c r="CT5" s="723"/>
      <c r="CU5" s="723"/>
      <c r="CV5" s="723"/>
      <c r="CW5" s="723"/>
      <c r="CX5" s="723"/>
      <c r="CY5" s="723"/>
      <c r="CZ5" s="723"/>
      <c r="DA5" s="723"/>
      <c r="DB5" s="723"/>
      <c r="DC5" s="723"/>
      <c r="DD5" s="723"/>
      <c r="DE5" s="723"/>
      <c r="DF5" s="723"/>
      <c r="DG5" s="723"/>
      <c r="DH5" s="723"/>
      <c r="DI5" s="723"/>
      <c r="DJ5" s="723"/>
      <c r="DK5" s="723"/>
      <c r="DL5" s="723"/>
      <c r="DM5" s="723"/>
      <c r="DN5" s="723"/>
      <c r="DO5" s="723"/>
      <c r="DP5" s="723"/>
      <c r="DQ5" s="723"/>
      <c r="DR5" s="723"/>
      <c r="DS5" s="723"/>
      <c r="DT5" s="723"/>
      <c r="DU5" s="723"/>
      <c r="DV5" s="723"/>
      <c r="DW5" s="723"/>
      <c r="DX5" s="723"/>
      <c r="DY5" s="723"/>
      <c r="DZ5" s="723"/>
      <c r="EA5" s="723"/>
      <c r="EB5" s="723"/>
      <c r="EC5" s="723"/>
      <c r="ED5" s="723"/>
      <c r="EE5" s="723"/>
      <c r="EF5" s="723"/>
      <c r="EG5" s="723"/>
      <c r="EH5" s="723"/>
      <c r="EI5" s="723"/>
      <c r="EJ5" s="728"/>
      <c r="EK5" s="728"/>
      <c r="EL5" s="728"/>
      <c r="EM5" s="728"/>
      <c r="EN5" s="728"/>
      <c r="EO5" s="728"/>
      <c r="EP5" s="728"/>
      <c r="EQ5" s="728"/>
      <c r="ER5" s="728"/>
      <c r="ES5" s="728"/>
      <c r="EV5" s="784">
        <f t="shared" si="9"/>
        <v>116085.09591736351</v>
      </c>
    </row>
    <row r="6" spans="1:152" s="722" customFormat="1" x14ac:dyDescent="0.2">
      <c r="A6" s="993"/>
      <c r="B6" s="736">
        <v>4</v>
      </c>
      <c r="C6" s="736" t="s">
        <v>104</v>
      </c>
      <c r="D6" s="736" t="s">
        <v>105</v>
      </c>
      <c r="E6" s="736" t="s">
        <v>106</v>
      </c>
      <c r="F6" s="736" t="s">
        <v>117</v>
      </c>
      <c r="G6" s="736" t="s">
        <v>118</v>
      </c>
      <c r="H6" s="736" t="s">
        <v>109</v>
      </c>
      <c r="I6" s="740">
        <f>'[18]Collection Unsold 10.15.21'!G7</f>
        <v>60.78</v>
      </c>
      <c r="J6" s="741">
        <f>'[18]Collection Unsold 10.15.21'!H7</f>
        <v>5.15</v>
      </c>
      <c r="K6" s="740">
        <f t="shared" si="0"/>
        <v>65.930000000000007</v>
      </c>
      <c r="L6" s="742">
        <f>'Package Breakdown - Casas 10.21'!F69</f>
        <v>7602600</v>
      </c>
      <c r="M6" s="742"/>
      <c r="N6" s="736">
        <v>1</v>
      </c>
      <c r="O6" s="738">
        <f t="shared" si="1"/>
        <v>30390</v>
      </c>
      <c r="P6" s="738"/>
      <c r="Q6" s="742"/>
      <c r="R6" s="738"/>
      <c r="S6" s="738">
        <f>I6*1000</f>
        <v>60780</v>
      </c>
      <c r="T6" s="738" t="s">
        <v>114</v>
      </c>
      <c r="U6" s="738"/>
      <c r="V6" s="738">
        <f t="shared" si="10"/>
        <v>91170</v>
      </c>
      <c r="W6" s="742">
        <f t="shared" si="11"/>
        <v>7693770</v>
      </c>
      <c r="X6" s="742">
        <f t="shared" si="12"/>
        <v>461626.2</v>
      </c>
      <c r="Y6" s="742">
        <f t="shared" si="13"/>
        <v>192344.25</v>
      </c>
      <c r="Z6" s="742">
        <f t="shared" si="2"/>
        <v>923252.4</v>
      </c>
      <c r="AA6" s="742">
        <f t="shared" si="3"/>
        <v>9270992.8499999996</v>
      </c>
      <c r="AB6" s="742">
        <f t="shared" si="4"/>
        <v>140618.72971333232</v>
      </c>
      <c r="AC6" s="739">
        <v>0.25</v>
      </c>
      <c r="AD6" s="742">
        <f t="shared" si="5"/>
        <v>2317748.2124999999</v>
      </c>
      <c r="AE6" s="738">
        <v>50000</v>
      </c>
      <c r="AF6" s="742">
        <f t="shared" si="6"/>
        <v>52738.330523255812</v>
      </c>
      <c r="AG6" s="743">
        <v>43</v>
      </c>
      <c r="AH6" s="742">
        <f t="shared" si="7"/>
        <v>6953244.6374999993</v>
      </c>
      <c r="AI6" s="738">
        <f t="shared" si="8"/>
        <v>0</v>
      </c>
      <c r="AJ6" s="742">
        <f t="shared" si="14"/>
        <v>-9270992.8499999996</v>
      </c>
      <c r="AK6" s="723"/>
      <c r="AL6" s="723"/>
      <c r="AM6" s="723"/>
      <c r="AN6" s="723"/>
      <c r="AO6" s="723"/>
      <c r="AP6" s="723"/>
      <c r="AQ6" s="723"/>
      <c r="AR6" s="723"/>
      <c r="AS6" s="723"/>
      <c r="AT6" s="723"/>
      <c r="AU6" s="723"/>
      <c r="AV6" s="723"/>
      <c r="AW6" s="723"/>
      <c r="AX6" s="723"/>
      <c r="AY6" s="723"/>
      <c r="AZ6" s="723"/>
      <c r="BA6" s="723"/>
      <c r="BB6" s="723"/>
      <c r="BC6" s="723"/>
      <c r="BD6" s="723"/>
      <c r="BE6" s="723"/>
      <c r="BF6" s="723"/>
      <c r="BG6" s="723"/>
      <c r="BH6" s="723"/>
      <c r="BI6" s="723"/>
      <c r="BJ6" s="723"/>
      <c r="BK6" s="723"/>
      <c r="BL6" s="723"/>
      <c r="BM6" s="723"/>
      <c r="BN6" s="723"/>
      <c r="BO6" s="723"/>
      <c r="BP6" s="723"/>
      <c r="BQ6" s="723"/>
      <c r="BR6" s="723"/>
      <c r="BS6" s="723"/>
      <c r="BT6" s="723"/>
      <c r="BU6" s="723"/>
      <c r="BV6" s="723"/>
      <c r="BW6" s="723"/>
      <c r="BX6" s="723"/>
      <c r="BY6" s="723"/>
      <c r="BZ6" s="723"/>
      <c r="CA6" s="723"/>
      <c r="CB6" s="723"/>
      <c r="CC6" s="723"/>
      <c r="CD6" s="723"/>
      <c r="CE6" s="723"/>
      <c r="CF6" s="723"/>
      <c r="CG6" s="723"/>
      <c r="CH6" s="723"/>
      <c r="CI6" s="723"/>
      <c r="CJ6" s="723"/>
      <c r="CK6" s="723"/>
      <c r="CL6" s="723"/>
      <c r="CM6" s="723"/>
      <c r="CN6" s="723"/>
      <c r="CO6" s="723"/>
      <c r="CP6" s="723"/>
      <c r="CQ6" s="723"/>
      <c r="CR6" s="723"/>
      <c r="CS6" s="723"/>
      <c r="CT6" s="723"/>
      <c r="CU6" s="723"/>
      <c r="CV6" s="723"/>
      <c r="CW6" s="723"/>
      <c r="CX6" s="723"/>
      <c r="CY6" s="723"/>
      <c r="CZ6" s="723"/>
      <c r="DA6" s="723"/>
      <c r="DB6" s="723"/>
      <c r="DC6" s="723"/>
      <c r="DD6" s="723"/>
      <c r="DE6" s="723"/>
      <c r="DF6" s="723"/>
      <c r="DG6" s="723"/>
      <c r="DH6" s="723"/>
      <c r="DI6" s="723"/>
      <c r="DJ6" s="723"/>
      <c r="DK6" s="723"/>
      <c r="DL6" s="723"/>
      <c r="DM6" s="723"/>
      <c r="DN6" s="723"/>
      <c r="DO6" s="723"/>
      <c r="DP6" s="723"/>
      <c r="DQ6" s="723"/>
      <c r="DR6" s="723"/>
      <c r="DS6" s="723"/>
      <c r="DT6" s="723"/>
      <c r="DU6" s="723"/>
      <c r="DV6" s="723"/>
      <c r="DW6" s="723"/>
      <c r="DX6" s="723"/>
      <c r="DY6" s="723"/>
      <c r="DZ6" s="723"/>
      <c r="EA6" s="723"/>
      <c r="EB6" s="723"/>
      <c r="EC6" s="723"/>
      <c r="ED6" s="723"/>
      <c r="EE6" s="723"/>
      <c r="EF6" s="723"/>
      <c r="EG6" s="723"/>
      <c r="EH6" s="723"/>
      <c r="EI6" s="723"/>
      <c r="EJ6" s="728"/>
      <c r="EK6" s="728"/>
      <c r="EL6" s="728"/>
      <c r="EM6" s="728"/>
      <c r="EN6" s="728"/>
      <c r="EO6" s="728"/>
      <c r="EP6" s="728"/>
      <c r="EQ6" s="728"/>
      <c r="ER6" s="728"/>
      <c r="ES6" s="728"/>
      <c r="EV6" s="784">
        <f t="shared" si="9"/>
        <v>116696.04125587744</v>
      </c>
    </row>
    <row r="7" spans="1:152" s="722" customFormat="1" x14ac:dyDescent="0.2">
      <c r="A7" s="993"/>
      <c r="B7" s="736">
        <v>5</v>
      </c>
      <c r="C7" s="736" t="s">
        <v>104</v>
      </c>
      <c r="D7" s="736" t="s">
        <v>105</v>
      </c>
      <c r="E7" s="736" t="s">
        <v>106</v>
      </c>
      <c r="F7" s="736" t="s">
        <v>119</v>
      </c>
      <c r="G7" s="736" t="s">
        <v>120</v>
      </c>
      <c r="H7" s="736" t="s">
        <v>109</v>
      </c>
      <c r="I7" s="740">
        <f>'[18]Collection Unsold 10.15.21'!G8</f>
        <v>83.49</v>
      </c>
      <c r="J7" s="741">
        <f>'[18]Collection Unsold 10.15.21'!H8</f>
        <v>12.309999999999999</v>
      </c>
      <c r="K7" s="740">
        <f t="shared" si="0"/>
        <v>95.8</v>
      </c>
      <c r="L7" s="742">
        <f>'Package Breakdown - Casas 10.21'!G69</f>
        <v>10757400</v>
      </c>
      <c r="M7" s="742"/>
      <c r="N7" s="736">
        <v>1</v>
      </c>
      <c r="O7" s="738">
        <f t="shared" si="1"/>
        <v>41745</v>
      </c>
      <c r="P7" s="738"/>
      <c r="Q7" s="742"/>
      <c r="R7" s="738">
        <f>I7*1000</f>
        <v>83490</v>
      </c>
      <c r="S7" s="738">
        <f>I7*1000</f>
        <v>83490</v>
      </c>
      <c r="T7" s="738" t="s">
        <v>110</v>
      </c>
      <c r="U7" s="738"/>
      <c r="V7" s="738">
        <f t="shared" si="10"/>
        <v>208725</v>
      </c>
      <c r="W7" s="742">
        <f t="shared" si="11"/>
        <v>10966125</v>
      </c>
      <c r="X7" s="742">
        <f t="shared" si="12"/>
        <v>657967.5</v>
      </c>
      <c r="Y7" s="742">
        <f t="shared" si="13"/>
        <v>274153.125</v>
      </c>
      <c r="Z7" s="742">
        <f t="shared" si="2"/>
        <v>1315935</v>
      </c>
      <c r="AA7" s="742">
        <f t="shared" si="3"/>
        <v>13214180.625</v>
      </c>
      <c r="AB7" s="742">
        <f t="shared" si="4"/>
        <v>137935.07959290189</v>
      </c>
      <c r="AC7" s="739">
        <v>0.25</v>
      </c>
      <c r="AD7" s="742">
        <f t="shared" si="5"/>
        <v>3303545.15625</v>
      </c>
      <c r="AE7" s="738">
        <v>50000</v>
      </c>
      <c r="AF7" s="742">
        <f t="shared" si="6"/>
        <v>75663.840843023252</v>
      </c>
      <c r="AG7" s="743">
        <v>43</v>
      </c>
      <c r="AH7" s="742">
        <f t="shared" si="7"/>
        <v>9910635.46875</v>
      </c>
      <c r="AI7" s="738">
        <f t="shared" si="8"/>
        <v>0</v>
      </c>
      <c r="AJ7" s="742">
        <f t="shared" si="14"/>
        <v>-13214180.625</v>
      </c>
      <c r="AK7" s="723"/>
      <c r="AL7" s="723"/>
      <c r="AM7" s="723"/>
      <c r="AN7" s="723"/>
      <c r="AO7" s="723"/>
      <c r="AP7" s="723"/>
      <c r="AQ7" s="723"/>
      <c r="AR7" s="723"/>
      <c r="AS7" s="723"/>
      <c r="AT7" s="723"/>
      <c r="AU7" s="723"/>
      <c r="AV7" s="723"/>
      <c r="AW7" s="723"/>
      <c r="AX7" s="723"/>
      <c r="AY7" s="723"/>
      <c r="AZ7" s="723"/>
      <c r="BA7" s="723"/>
      <c r="BB7" s="723"/>
      <c r="BC7" s="723"/>
      <c r="BD7" s="723"/>
      <c r="BE7" s="723"/>
      <c r="BF7" s="723"/>
      <c r="BG7" s="723"/>
      <c r="BH7" s="723"/>
      <c r="BI7" s="723"/>
      <c r="BJ7" s="723"/>
      <c r="BK7" s="723"/>
      <c r="BL7" s="723"/>
      <c r="BM7" s="723"/>
      <c r="BN7" s="723"/>
      <c r="BO7" s="723"/>
      <c r="BP7" s="723"/>
      <c r="BQ7" s="723"/>
      <c r="BR7" s="723"/>
      <c r="BS7" s="723"/>
      <c r="BT7" s="723"/>
      <c r="BU7" s="723"/>
      <c r="BV7" s="723"/>
      <c r="BW7" s="723"/>
      <c r="BX7" s="723"/>
      <c r="BY7" s="723"/>
      <c r="BZ7" s="723"/>
      <c r="CA7" s="723"/>
      <c r="CB7" s="723"/>
      <c r="CC7" s="723"/>
      <c r="CD7" s="723"/>
      <c r="CE7" s="723"/>
      <c r="CF7" s="723"/>
      <c r="CG7" s="723"/>
      <c r="CH7" s="723"/>
      <c r="CI7" s="723"/>
      <c r="CJ7" s="723"/>
      <c r="CK7" s="723"/>
      <c r="CL7" s="723"/>
      <c r="CM7" s="723"/>
      <c r="CN7" s="723"/>
      <c r="CO7" s="723"/>
      <c r="CP7" s="723"/>
      <c r="CQ7" s="723"/>
      <c r="CR7" s="723"/>
      <c r="CS7" s="723"/>
      <c r="CT7" s="723"/>
      <c r="CU7" s="723"/>
      <c r="CV7" s="723"/>
      <c r="CW7" s="723"/>
      <c r="CX7" s="723"/>
      <c r="CY7" s="723"/>
      <c r="CZ7" s="723"/>
      <c r="DA7" s="723"/>
      <c r="DB7" s="723"/>
      <c r="DC7" s="723"/>
      <c r="DD7" s="723"/>
      <c r="DE7" s="723"/>
      <c r="DF7" s="723"/>
      <c r="DG7" s="723"/>
      <c r="DH7" s="723"/>
      <c r="DI7" s="723"/>
      <c r="DJ7" s="723"/>
      <c r="DK7" s="723"/>
      <c r="DL7" s="723"/>
      <c r="DM7" s="723"/>
      <c r="DN7" s="723"/>
      <c r="DO7" s="723"/>
      <c r="DP7" s="723"/>
      <c r="DQ7" s="723"/>
      <c r="DR7" s="723"/>
      <c r="DS7" s="723"/>
      <c r="DT7" s="723"/>
      <c r="DU7" s="723"/>
      <c r="DV7" s="723"/>
      <c r="DW7" s="723"/>
      <c r="DX7" s="723"/>
      <c r="DY7" s="723"/>
      <c r="DZ7" s="723"/>
      <c r="EA7" s="723"/>
      <c r="EB7" s="723"/>
      <c r="EC7" s="723"/>
      <c r="ED7" s="723"/>
      <c r="EE7" s="723"/>
      <c r="EF7" s="723"/>
      <c r="EG7" s="723"/>
      <c r="EH7" s="723"/>
      <c r="EI7" s="723"/>
      <c r="EJ7" s="728"/>
      <c r="EK7" s="728"/>
      <c r="EL7" s="728"/>
      <c r="EM7" s="728"/>
      <c r="EN7" s="728"/>
      <c r="EO7" s="728"/>
      <c r="EP7" s="728"/>
      <c r="EQ7" s="728"/>
      <c r="ER7" s="728"/>
      <c r="ES7" s="728"/>
      <c r="EV7" s="784">
        <f t="shared" si="9"/>
        <v>114468.94572025053</v>
      </c>
    </row>
    <row r="8" spans="1:152" s="722" customFormat="1" x14ac:dyDescent="0.2">
      <c r="A8" s="993"/>
      <c r="B8" s="736">
        <v>6</v>
      </c>
      <c r="C8" s="736" t="s">
        <v>104</v>
      </c>
      <c r="D8" s="736" t="s">
        <v>105</v>
      </c>
      <c r="E8" s="736" t="s">
        <v>106</v>
      </c>
      <c r="F8" s="736" t="s">
        <v>121</v>
      </c>
      <c r="G8" s="736" t="s">
        <v>122</v>
      </c>
      <c r="H8" s="736" t="s">
        <v>109</v>
      </c>
      <c r="I8" s="740">
        <f>'[18]Collection Unsold 10.15.21'!G9</f>
        <v>61.03</v>
      </c>
      <c r="J8" s="741">
        <f>'[18]Collection Unsold 10.15.21'!H9</f>
        <v>4.1900000000000004</v>
      </c>
      <c r="K8" s="740">
        <f t="shared" si="0"/>
        <v>65.22</v>
      </c>
      <c r="L8" s="742">
        <f>'Package Breakdown - Casas 10.21'!H69</f>
        <v>7575000</v>
      </c>
      <c r="M8" s="742"/>
      <c r="N8" s="736">
        <v>1</v>
      </c>
      <c r="O8" s="738">
        <f t="shared" si="1"/>
        <v>30515</v>
      </c>
      <c r="P8" s="738"/>
      <c r="Q8" s="742"/>
      <c r="R8" s="738"/>
      <c r="S8" s="738"/>
      <c r="T8" s="738" t="s">
        <v>114</v>
      </c>
      <c r="U8" s="738"/>
      <c r="V8" s="738">
        <f t="shared" si="10"/>
        <v>30515</v>
      </c>
      <c r="W8" s="742">
        <f t="shared" si="11"/>
        <v>7605515</v>
      </c>
      <c r="X8" s="742">
        <f t="shared" si="12"/>
        <v>456330.89999999997</v>
      </c>
      <c r="Y8" s="742">
        <f t="shared" si="13"/>
        <v>190137.875</v>
      </c>
      <c r="Z8" s="742">
        <f t="shared" si="2"/>
        <v>912661.79999999993</v>
      </c>
      <c r="AA8" s="742">
        <f t="shared" si="3"/>
        <v>9164645.5750000011</v>
      </c>
      <c r="AB8" s="742">
        <f t="shared" si="4"/>
        <v>140518.94472554434</v>
      </c>
      <c r="AC8" s="739">
        <v>0.25</v>
      </c>
      <c r="AD8" s="742">
        <f t="shared" si="5"/>
        <v>2291161.3937500003</v>
      </c>
      <c r="AE8" s="738">
        <v>50000</v>
      </c>
      <c r="AF8" s="742">
        <f t="shared" si="6"/>
        <v>52120.032412790701</v>
      </c>
      <c r="AG8" s="743">
        <v>43</v>
      </c>
      <c r="AH8" s="742">
        <f t="shared" si="7"/>
        <v>6873484.1812500004</v>
      </c>
      <c r="AI8" s="738">
        <f t="shared" si="8"/>
        <v>0</v>
      </c>
      <c r="AJ8" s="742">
        <f t="shared" si="14"/>
        <v>-9164645.5750000011</v>
      </c>
      <c r="AK8" s="723"/>
      <c r="AL8" s="723"/>
      <c r="AM8" s="723"/>
      <c r="AN8" s="723"/>
      <c r="AO8" s="723"/>
      <c r="AP8" s="723"/>
      <c r="AQ8" s="723"/>
      <c r="AR8" s="723"/>
      <c r="AS8" s="723"/>
      <c r="AT8" s="723"/>
      <c r="AU8" s="723"/>
      <c r="AV8" s="723"/>
      <c r="AW8" s="723"/>
      <c r="AX8" s="723"/>
      <c r="AY8" s="723"/>
      <c r="AZ8" s="723"/>
      <c r="BA8" s="723"/>
      <c r="BB8" s="723"/>
      <c r="BC8" s="723"/>
      <c r="BD8" s="723"/>
      <c r="BE8" s="723"/>
      <c r="BF8" s="723"/>
      <c r="BG8" s="723"/>
      <c r="BH8" s="723"/>
      <c r="BI8" s="723"/>
      <c r="BJ8" s="723"/>
      <c r="BK8" s="723"/>
      <c r="BL8" s="723"/>
      <c r="BM8" s="723"/>
      <c r="BN8" s="723"/>
      <c r="BO8" s="723"/>
      <c r="BP8" s="723"/>
      <c r="BQ8" s="723"/>
      <c r="BR8" s="723"/>
      <c r="BS8" s="723"/>
      <c r="BT8" s="723"/>
      <c r="BU8" s="723"/>
      <c r="BV8" s="723"/>
      <c r="BW8" s="723"/>
      <c r="BX8" s="723"/>
      <c r="BY8" s="723"/>
      <c r="BZ8" s="723"/>
      <c r="CA8" s="723"/>
      <c r="CB8" s="723"/>
      <c r="CC8" s="723"/>
      <c r="CD8" s="723"/>
      <c r="CE8" s="723"/>
      <c r="CF8" s="723"/>
      <c r="CG8" s="723"/>
      <c r="CH8" s="723"/>
      <c r="CI8" s="723"/>
      <c r="CJ8" s="723"/>
      <c r="CK8" s="723"/>
      <c r="CL8" s="723"/>
      <c r="CM8" s="723"/>
      <c r="CN8" s="723"/>
      <c r="CO8" s="723"/>
      <c r="CP8" s="723"/>
      <c r="CQ8" s="723"/>
      <c r="CR8" s="723"/>
      <c r="CS8" s="723"/>
      <c r="CT8" s="723"/>
      <c r="CU8" s="723"/>
      <c r="CV8" s="723"/>
      <c r="CW8" s="723"/>
      <c r="CX8" s="723"/>
      <c r="CY8" s="723"/>
      <c r="CZ8" s="723"/>
      <c r="DA8" s="723"/>
      <c r="DB8" s="723"/>
      <c r="DC8" s="723"/>
      <c r="DD8" s="723"/>
      <c r="DE8" s="723"/>
      <c r="DF8" s="723"/>
      <c r="DG8" s="723"/>
      <c r="DH8" s="723"/>
      <c r="DI8" s="723"/>
      <c r="DJ8" s="723"/>
      <c r="DK8" s="723"/>
      <c r="DL8" s="723"/>
      <c r="DM8" s="723"/>
      <c r="DN8" s="723"/>
      <c r="DO8" s="723"/>
      <c r="DP8" s="723"/>
      <c r="DQ8" s="723"/>
      <c r="DR8" s="723"/>
      <c r="DS8" s="723"/>
      <c r="DT8" s="723"/>
      <c r="DU8" s="723"/>
      <c r="DV8" s="723"/>
      <c r="DW8" s="723"/>
      <c r="DX8" s="723"/>
      <c r="DY8" s="723"/>
      <c r="DZ8" s="723"/>
      <c r="EA8" s="723"/>
      <c r="EB8" s="723"/>
      <c r="EC8" s="723"/>
      <c r="ED8" s="723"/>
      <c r="EE8" s="723"/>
      <c r="EF8" s="723"/>
      <c r="EG8" s="723"/>
      <c r="EH8" s="723"/>
      <c r="EI8" s="723"/>
      <c r="EJ8" s="728"/>
      <c r="EK8" s="728"/>
      <c r="EL8" s="728"/>
      <c r="EM8" s="728"/>
      <c r="EN8" s="728"/>
      <c r="EO8" s="728"/>
      <c r="EP8" s="728"/>
      <c r="EQ8" s="728"/>
      <c r="ER8" s="728"/>
      <c r="ES8" s="728"/>
      <c r="EV8" s="784">
        <f t="shared" si="9"/>
        <v>116613.23213738117</v>
      </c>
    </row>
    <row r="9" spans="1:152" s="722" customFormat="1" x14ac:dyDescent="0.2">
      <c r="A9" s="993"/>
      <c r="B9" s="736">
        <v>7</v>
      </c>
      <c r="C9" s="736" t="s">
        <v>104</v>
      </c>
      <c r="D9" s="736" t="s">
        <v>105</v>
      </c>
      <c r="E9" s="736" t="s">
        <v>106</v>
      </c>
      <c r="F9" s="736" t="s">
        <v>123</v>
      </c>
      <c r="G9" s="736" t="s">
        <v>124</v>
      </c>
      <c r="H9" s="736" t="s">
        <v>109</v>
      </c>
      <c r="I9" s="740">
        <f>'[18]Collection Unsold 10.15.21'!G10</f>
        <v>94.79</v>
      </c>
      <c r="J9" s="741">
        <f>'[18]Collection Unsold 10.15.21'!H10</f>
        <v>11.260000000000002</v>
      </c>
      <c r="K9" s="740">
        <f t="shared" si="0"/>
        <v>106.05000000000001</v>
      </c>
      <c r="L9" s="742">
        <f>'Package Breakdown - Casas 10.21'!I69</f>
        <v>12050400</v>
      </c>
      <c r="M9" s="742"/>
      <c r="N9" s="736">
        <v>1</v>
      </c>
      <c r="O9" s="738">
        <f t="shared" si="1"/>
        <v>47395</v>
      </c>
      <c r="P9" s="738"/>
      <c r="Q9" s="742"/>
      <c r="R9" s="738">
        <f>I9*1000</f>
        <v>94790</v>
      </c>
      <c r="S9" s="738"/>
      <c r="T9" s="738" t="s">
        <v>110</v>
      </c>
      <c r="U9" s="738"/>
      <c r="V9" s="738">
        <f t="shared" si="10"/>
        <v>142185</v>
      </c>
      <c r="W9" s="742">
        <f t="shared" si="11"/>
        <v>12192585</v>
      </c>
      <c r="X9" s="742">
        <f t="shared" si="12"/>
        <v>731555.1</v>
      </c>
      <c r="Y9" s="742">
        <f t="shared" si="13"/>
        <v>304814.625</v>
      </c>
      <c r="Z9" s="742">
        <f t="shared" si="2"/>
        <v>1463110.2</v>
      </c>
      <c r="AA9" s="742">
        <f t="shared" si="3"/>
        <v>14692064.924999999</v>
      </c>
      <c r="AB9" s="742">
        <f t="shared" si="4"/>
        <v>138539.03748231963</v>
      </c>
      <c r="AC9" s="739">
        <v>0.25</v>
      </c>
      <c r="AD9" s="742">
        <f t="shared" si="5"/>
        <v>3673016.2312499997</v>
      </c>
      <c r="AE9" s="738">
        <v>50000</v>
      </c>
      <c r="AF9" s="742">
        <f t="shared" si="6"/>
        <v>84256.191424418605</v>
      </c>
      <c r="AG9" s="743">
        <v>43</v>
      </c>
      <c r="AH9" s="742">
        <f t="shared" si="7"/>
        <v>11019048.69375</v>
      </c>
      <c r="AI9" s="738">
        <f t="shared" ref="AI9:AI11" si="15">SUM(AL9:CK9)</f>
        <v>0</v>
      </c>
      <c r="AJ9" s="742">
        <f t="shared" si="14"/>
        <v>-14692064.924999999</v>
      </c>
      <c r="AL9" s="723"/>
      <c r="AM9" s="723"/>
      <c r="AN9" s="723"/>
      <c r="AO9" s="723"/>
      <c r="AP9" s="723"/>
      <c r="AQ9" s="723"/>
      <c r="AR9" s="723"/>
      <c r="AS9" s="723"/>
      <c r="AT9" s="723"/>
      <c r="AU9" s="723"/>
      <c r="AV9" s="723"/>
      <c r="AW9" s="723"/>
      <c r="AX9" s="723"/>
      <c r="AY9" s="723"/>
      <c r="AZ9" s="723"/>
      <c r="BA9" s="723"/>
      <c r="BB9" s="723"/>
      <c r="BC9" s="723"/>
      <c r="BD9" s="723"/>
      <c r="BE9" s="723"/>
      <c r="BF9" s="723"/>
      <c r="BG9" s="723"/>
      <c r="BH9" s="723"/>
      <c r="BI9" s="723"/>
      <c r="BJ9" s="723"/>
      <c r="BK9" s="723"/>
      <c r="BL9" s="723"/>
      <c r="BM9" s="723"/>
      <c r="BN9" s="723"/>
      <c r="BO9" s="723"/>
      <c r="BP9" s="723"/>
      <c r="BQ9" s="723"/>
      <c r="BR9" s="723"/>
      <c r="BS9" s="723"/>
      <c r="BT9" s="723"/>
      <c r="BU9" s="723"/>
      <c r="BV9" s="723"/>
      <c r="BW9" s="723"/>
      <c r="BX9" s="723"/>
      <c r="BY9" s="723"/>
      <c r="BZ9" s="723"/>
      <c r="CA9" s="723"/>
      <c r="CB9" s="723"/>
      <c r="CC9" s="723"/>
      <c r="CD9" s="723"/>
      <c r="CE9" s="723"/>
      <c r="CF9" s="723"/>
      <c r="CG9" s="723"/>
      <c r="CH9" s="723"/>
      <c r="CI9" s="723"/>
      <c r="CJ9" s="723"/>
      <c r="CK9" s="723"/>
      <c r="CL9" s="723"/>
      <c r="CM9" s="723"/>
      <c r="CN9" s="723"/>
      <c r="CO9" s="723"/>
      <c r="CP9" s="723"/>
      <c r="CQ9" s="723"/>
      <c r="CR9" s="723"/>
      <c r="CS9" s="723"/>
      <c r="CT9" s="723"/>
      <c r="CU9" s="723"/>
      <c r="CV9" s="723"/>
      <c r="CW9" s="723"/>
      <c r="CX9" s="723"/>
      <c r="CY9" s="723"/>
      <c r="CZ9" s="723"/>
      <c r="DA9" s="723"/>
      <c r="DB9" s="723"/>
      <c r="DC9" s="723"/>
      <c r="DD9" s="723"/>
      <c r="DE9" s="723"/>
      <c r="DF9" s="723"/>
      <c r="DG9" s="723"/>
      <c r="DH9" s="723"/>
      <c r="DI9" s="723"/>
      <c r="DJ9" s="723"/>
      <c r="DK9" s="723"/>
      <c r="DL9" s="723"/>
      <c r="DM9" s="723"/>
      <c r="DN9" s="723"/>
      <c r="DO9" s="723"/>
      <c r="DP9" s="723"/>
      <c r="DQ9" s="723"/>
      <c r="DR9" s="723"/>
      <c r="DS9" s="723"/>
      <c r="DT9" s="723"/>
      <c r="DU9" s="723"/>
      <c r="DV9" s="723"/>
      <c r="DW9" s="723"/>
      <c r="DX9" s="723"/>
      <c r="DY9" s="723"/>
      <c r="DZ9" s="723"/>
      <c r="EA9" s="723"/>
      <c r="EB9" s="723"/>
      <c r="EC9" s="723"/>
      <c r="ED9" s="723"/>
      <c r="EE9" s="723"/>
      <c r="EF9" s="723"/>
      <c r="EG9" s="723"/>
      <c r="EH9" s="723"/>
      <c r="EI9" s="723"/>
      <c r="EJ9" s="728"/>
      <c r="EK9" s="728"/>
      <c r="EL9" s="728"/>
      <c r="EM9" s="728"/>
      <c r="EN9" s="728"/>
      <c r="EO9" s="728"/>
      <c r="EP9" s="728"/>
      <c r="EQ9" s="728"/>
      <c r="ER9" s="728"/>
      <c r="ES9" s="728"/>
      <c r="EV9" s="784">
        <f t="shared" si="9"/>
        <v>114970.15558698725</v>
      </c>
    </row>
    <row r="10" spans="1:152" s="722" customFormat="1" x14ac:dyDescent="0.2">
      <c r="A10" s="993"/>
      <c r="B10" s="736">
        <v>8</v>
      </c>
      <c r="C10" s="736" t="s">
        <v>104</v>
      </c>
      <c r="D10" s="736" t="s">
        <v>105</v>
      </c>
      <c r="E10" s="736" t="s">
        <v>106</v>
      </c>
      <c r="F10" s="736" t="s">
        <v>125</v>
      </c>
      <c r="G10" s="736" t="s">
        <v>126</v>
      </c>
      <c r="H10" s="736" t="s">
        <v>109</v>
      </c>
      <c r="I10" s="740">
        <f>'[18]Collection Unsold 10.15.21'!G11</f>
        <v>67.790000000000006</v>
      </c>
      <c r="J10" s="741">
        <f>'[18]Collection Unsold 10.15.21'!H11</f>
        <v>4.2</v>
      </c>
      <c r="K10" s="740">
        <f t="shared" si="0"/>
        <v>71.990000000000009</v>
      </c>
      <c r="L10" s="742">
        <f>'Package Breakdown - Casas 10.21'!J69</f>
        <v>8386800.0000000009</v>
      </c>
      <c r="M10" s="742"/>
      <c r="N10" s="736">
        <v>1</v>
      </c>
      <c r="O10" s="738">
        <f t="shared" si="1"/>
        <v>33895</v>
      </c>
      <c r="P10" s="738"/>
      <c r="Q10" s="742"/>
      <c r="R10" s="738"/>
      <c r="S10" s="738"/>
      <c r="T10" s="738" t="s">
        <v>114</v>
      </c>
      <c r="U10" s="738"/>
      <c r="V10" s="738">
        <f t="shared" si="10"/>
        <v>33895</v>
      </c>
      <c r="W10" s="742">
        <f t="shared" si="11"/>
        <v>8420695</v>
      </c>
      <c r="X10" s="742">
        <f t="shared" si="12"/>
        <v>505241.69999999995</v>
      </c>
      <c r="Y10" s="742">
        <f t="shared" si="13"/>
        <v>210517.375</v>
      </c>
      <c r="Z10" s="742">
        <f t="shared" si="2"/>
        <v>1010483.3999999999</v>
      </c>
      <c r="AA10" s="742">
        <f t="shared" si="3"/>
        <v>10146937.475</v>
      </c>
      <c r="AB10" s="742">
        <f t="shared" si="4"/>
        <v>140949.26343936656</v>
      </c>
      <c r="AC10" s="739">
        <v>0.25</v>
      </c>
      <c r="AD10" s="742">
        <f t="shared" si="5"/>
        <v>2536734.3687499999</v>
      </c>
      <c r="AE10" s="738">
        <v>50000</v>
      </c>
      <c r="AF10" s="742">
        <f t="shared" si="6"/>
        <v>57831.031831395347</v>
      </c>
      <c r="AG10" s="743">
        <v>43</v>
      </c>
      <c r="AH10" s="742">
        <f t="shared" si="7"/>
        <v>7610203.1062499993</v>
      </c>
      <c r="AI10" s="738">
        <f t="shared" si="15"/>
        <v>0</v>
      </c>
      <c r="AJ10" s="742">
        <f t="shared" si="14"/>
        <v>-10146937.475</v>
      </c>
      <c r="AL10" s="723"/>
      <c r="AM10" s="723"/>
      <c r="AN10" s="723"/>
      <c r="AO10" s="723"/>
      <c r="AP10" s="723"/>
      <c r="AQ10" s="723"/>
      <c r="AR10" s="723"/>
      <c r="AS10" s="723"/>
      <c r="AT10" s="723"/>
      <c r="AU10" s="723"/>
      <c r="AV10" s="723"/>
      <c r="AW10" s="723"/>
      <c r="AX10" s="723"/>
      <c r="AY10" s="723"/>
      <c r="AZ10" s="723"/>
      <c r="BA10" s="723"/>
      <c r="BB10" s="723"/>
      <c r="BC10" s="723"/>
      <c r="BD10" s="723"/>
      <c r="BE10" s="723"/>
      <c r="BF10" s="723"/>
      <c r="BG10" s="723"/>
      <c r="BH10" s="723"/>
      <c r="BI10" s="723"/>
      <c r="BJ10" s="723"/>
      <c r="BK10" s="723"/>
      <c r="BL10" s="723"/>
      <c r="BM10" s="723"/>
      <c r="BN10" s="723"/>
      <c r="BO10" s="723"/>
      <c r="BP10" s="723"/>
      <c r="BQ10" s="723"/>
      <c r="BR10" s="723"/>
      <c r="BS10" s="723"/>
      <c r="BT10" s="723"/>
      <c r="BU10" s="723"/>
      <c r="BV10" s="723"/>
      <c r="BW10" s="723"/>
      <c r="BX10" s="723"/>
      <c r="BY10" s="723"/>
      <c r="BZ10" s="723"/>
      <c r="CA10" s="723"/>
      <c r="CB10" s="723"/>
      <c r="CC10" s="723"/>
      <c r="CD10" s="723"/>
      <c r="CE10" s="723"/>
      <c r="CF10" s="723"/>
      <c r="CG10" s="723"/>
      <c r="CH10" s="723"/>
      <c r="CI10" s="723"/>
      <c r="CJ10" s="723"/>
      <c r="CK10" s="723"/>
      <c r="CL10" s="723"/>
      <c r="CM10" s="723"/>
      <c r="CN10" s="723"/>
      <c r="CO10" s="723"/>
      <c r="CP10" s="723"/>
      <c r="CQ10" s="723"/>
      <c r="CR10" s="723"/>
      <c r="CS10" s="723"/>
      <c r="CT10" s="723"/>
      <c r="CU10" s="723"/>
      <c r="CV10" s="723"/>
      <c r="CW10" s="723"/>
      <c r="CX10" s="723"/>
      <c r="CY10" s="723"/>
      <c r="CZ10" s="723"/>
      <c r="DA10" s="723"/>
      <c r="DB10" s="723"/>
      <c r="DC10" s="723"/>
      <c r="DD10" s="723"/>
      <c r="DE10" s="723"/>
      <c r="DF10" s="723"/>
      <c r="DG10" s="723"/>
      <c r="DH10" s="723"/>
      <c r="DI10" s="723"/>
      <c r="DJ10" s="723"/>
      <c r="DK10" s="723"/>
      <c r="DL10" s="723"/>
      <c r="DM10" s="723"/>
      <c r="DN10" s="723"/>
      <c r="DO10" s="723"/>
      <c r="DP10" s="723"/>
      <c r="DQ10" s="723"/>
      <c r="DR10" s="723"/>
      <c r="DS10" s="723"/>
      <c r="DT10" s="723"/>
      <c r="DU10" s="723"/>
      <c r="DV10" s="723"/>
      <c r="DW10" s="723"/>
      <c r="DX10" s="723"/>
      <c r="DY10" s="723"/>
      <c r="DZ10" s="723"/>
      <c r="EA10" s="723"/>
      <c r="EB10" s="723"/>
      <c r="EC10" s="723"/>
      <c r="ED10" s="723"/>
      <c r="EE10" s="723"/>
      <c r="EF10" s="723"/>
      <c r="EG10" s="723"/>
      <c r="EH10" s="723"/>
      <c r="EI10" s="723"/>
      <c r="EJ10" s="728"/>
      <c r="EK10" s="728"/>
      <c r="EL10" s="728"/>
      <c r="EM10" s="728"/>
      <c r="EN10" s="728"/>
      <c r="EO10" s="728"/>
      <c r="EP10" s="728"/>
      <c r="EQ10" s="728"/>
      <c r="ER10" s="728"/>
      <c r="ES10" s="728"/>
      <c r="EV10" s="784">
        <f t="shared" si="9"/>
        <v>116970.34310320877</v>
      </c>
    </row>
    <row r="11" spans="1:152" s="722" customFormat="1" x14ac:dyDescent="0.2">
      <c r="A11" s="993"/>
      <c r="B11" s="736">
        <v>9</v>
      </c>
      <c r="C11" s="736" t="s">
        <v>104</v>
      </c>
      <c r="D11" s="736" t="s">
        <v>105</v>
      </c>
      <c r="E11" s="736" t="s">
        <v>106</v>
      </c>
      <c r="F11" s="736" t="s">
        <v>127</v>
      </c>
      <c r="G11" s="736" t="s">
        <v>128</v>
      </c>
      <c r="H11" s="736" t="s">
        <v>109</v>
      </c>
      <c r="I11" s="740">
        <f>'[18]Collection Unsold 10.15.21'!G12</f>
        <v>67.72</v>
      </c>
      <c r="J11" s="741">
        <f>'[18]Collection Unsold 10.15.21'!H12</f>
        <v>4.2</v>
      </c>
      <c r="K11" s="740">
        <f t="shared" si="0"/>
        <v>71.92</v>
      </c>
      <c r="L11" s="742">
        <f>'Package Breakdown - Casas 10.21'!K69</f>
        <v>8378400</v>
      </c>
      <c r="M11" s="742"/>
      <c r="N11" s="736">
        <v>1</v>
      </c>
      <c r="O11" s="738">
        <f t="shared" si="1"/>
        <v>33860</v>
      </c>
      <c r="P11" s="738"/>
      <c r="Q11" s="742"/>
      <c r="R11" s="738"/>
      <c r="S11" s="738"/>
      <c r="T11" s="738" t="s">
        <v>114</v>
      </c>
      <c r="U11" s="738"/>
      <c r="V11" s="738">
        <f t="shared" si="10"/>
        <v>33860</v>
      </c>
      <c r="W11" s="742">
        <f t="shared" si="11"/>
        <v>8412260</v>
      </c>
      <c r="X11" s="742">
        <f t="shared" si="12"/>
        <v>504735.6</v>
      </c>
      <c r="Y11" s="742">
        <f t="shared" si="13"/>
        <v>210306.5</v>
      </c>
      <c r="Z11" s="742">
        <f t="shared" si="2"/>
        <v>1009471.2</v>
      </c>
      <c r="AA11" s="742">
        <f t="shared" si="3"/>
        <v>10136773.299999999</v>
      </c>
      <c r="AB11" s="742">
        <f t="shared" si="4"/>
        <v>140945.12374860953</v>
      </c>
      <c r="AC11" s="739">
        <v>0.25</v>
      </c>
      <c r="AD11" s="742">
        <f t="shared" si="5"/>
        <v>2534193.3249999997</v>
      </c>
      <c r="AE11" s="738">
        <v>50000</v>
      </c>
      <c r="AF11" s="742">
        <f t="shared" si="6"/>
        <v>57771.937790697666</v>
      </c>
      <c r="AG11" s="743">
        <v>43</v>
      </c>
      <c r="AH11" s="742">
        <f t="shared" si="7"/>
        <v>7602579.9749999996</v>
      </c>
      <c r="AI11" s="738">
        <f t="shared" si="15"/>
        <v>0</v>
      </c>
      <c r="AJ11" s="742">
        <f t="shared" si="14"/>
        <v>-10136773.299999999</v>
      </c>
      <c r="AL11" s="723"/>
      <c r="AM11" s="723"/>
      <c r="AN11" s="723"/>
      <c r="AO11" s="723"/>
      <c r="AP11" s="723"/>
      <c r="AQ11" s="723"/>
      <c r="AR11" s="723"/>
      <c r="AS11" s="723"/>
      <c r="AT11" s="723"/>
      <c r="AU11" s="723"/>
      <c r="AV11" s="723"/>
      <c r="AW11" s="723"/>
      <c r="AX11" s="723"/>
      <c r="AY11" s="723"/>
      <c r="AZ11" s="723"/>
      <c r="BA11" s="723"/>
      <c r="BB11" s="723"/>
      <c r="BC11" s="723"/>
      <c r="BD11" s="723"/>
      <c r="BE11" s="723"/>
      <c r="BF11" s="723"/>
      <c r="BG11" s="723"/>
      <c r="BH11" s="723"/>
      <c r="BI11" s="723"/>
      <c r="BJ11" s="723"/>
      <c r="BK11" s="723"/>
      <c r="BL11" s="723"/>
      <c r="BM11" s="723"/>
      <c r="BN11" s="723"/>
      <c r="BO11" s="723"/>
      <c r="BP11" s="723"/>
      <c r="BQ11" s="723"/>
      <c r="BR11" s="723"/>
      <c r="BS11" s="723"/>
      <c r="BT11" s="723"/>
      <c r="BU11" s="723"/>
      <c r="BV11" s="723"/>
      <c r="BW11" s="723"/>
      <c r="BX11" s="723"/>
      <c r="BY11" s="723"/>
      <c r="BZ11" s="723"/>
      <c r="CA11" s="723"/>
      <c r="CB11" s="723"/>
      <c r="CC11" s="723"/>
      <c r="CD11" s="723"/>
      <c r="CE11" s="723"/>
      <c r="CF11" s="723"/>
      <c r="CG11" s="723"/>
      <c r="CH11" s="723"/>
      <c r="CI11" s="723"/>
      <c r="CJ11" s="723"/>
      <c r="CK11" s="723"/>
      <c r="CL11" s="723"/>
      <c r="CM11" s="723"/>
      <c r="CN11" s="723"/>
      <c r="CO11" s="723"/>
      <c r="CP11" s="723"/>
      <c r="CQ11" s="723"/>
      <c r="CR11" s="723"/>
      <c r="CS11" s="723"/>
      <c r="CT11" s="723"/>
      <c r="CU11" s="723"/>
      <c r="CV11" s="723"/>
      <c r="CW11" s="723"/>
      <c r="CX11" s="723"/>
      <c r="CY11" s="723"/>
      <c r="CZ11" s="723"/>
      <c r="DA11" s="723"/>
      <c r="DB11" s="723"/>
      <c r="DC11" s="723"/>
      <c r="DD11" s="723"/>
      <c r="DE11" s="723"/>
      <c r="DF11" s="723"/>
      <c r="DG11" s="723"/>
      <c r="DH11" s="723"/>
      <c r="DI11" s="723"/>
      <c r="DJ11" s="723"/>
      <c r="DK11" s="723"/>
      <c r="DL11" s="723"/>
      <c r="DM11" s="723"/>
      <c r="DN11" s="723"/>
      <c r="DO11" s="723"/>
      <c r="DP11" s="723"/>
      <c r="DQ11" s="723"/>
      <c r="DR11" s="723"/>
      <c r="DS11" s="723"/>
      <c r="DT11" s="723"/>
      <c r="DU11" s="723"/>
      <c r="DV11" s="723"/>
      <c r="DW11" s="723"/>
      <c r="DX11" s="723"/>
      <c r="DY11" s="723"/>
      <c r="DZ11" s="723"/>
      <c r="EA11" s="723"/>
      <c r="EB11" s="723"/>
      <c r="EC11" s="723"/>
      <c r="ED11" s="723"/>
      <c r="EE11" s="723"/>
      <c r="EF11" s="723"/>
      <c r="EG11" s="723"/>
      <c r="EH11" s="723"/>
      <c r="EI11" s="723"/>
      <c r="EJ11" s="728"/>
      <c r="EK11" s="728"/>
      <c r="EL11" s="728"/>
      <c r="EM11" s="728"/>
      <c r="EN11" s="728"/>
      <c r="EO11" s="728"/>
      <c r="EP11" s="728"/>
      <c r="EQ11" s="728"/>
      <c r="ER11" s="728"/>
      <c r="ES11" s="728"/>
      <c r="EV11" s="784">
        <f t="shared" si="9"/>
        <v>116966.90767519466</v>
      </c>
    </row>
    <row r="12" spans="1:152" s="722" customFormat="1" x14ac:dyDescent="0.2">
      <c r="A12" s="993"/>
      <c r="B12" s="736">
        <v>10</v>
      </c>
      <c r="C12" s="736" t="s">
        <v>104</v>
      </c>
      <c r="D12" s="736" t="s">
        <v>105</v>
      </c>
      <c r="E12" s="736" t="s">
        <v>106</v>
      </c>
      <c r="F12" s="736" t="s">
        <v>129</v>
      </c>
      <c r="G12" s="736" t="s">
        <v>130</v>
      </c>
      <c r="H12" s="736" t="s">
        <v>109</v>
      </c>
      <c r="I12" s="740">
        <f>'[18]Collection Unsold 10.15.21'!G13</f>
        <v>67.72</v>
      </c>
      <c r="J12" s="741">
        <f>'[18]Collection Unsold 10.15.21'!H13</f>
        <v>4.2</v>
      </c>
      <c r="K12" s="740">
        <f t="shared" si="0"/>
        <v>71.92</v>
      </c>
      <c r="L12" s="742">
        <f>'Package Breakdown - Casas 10.21'!K69</f>
        <v>8378400</v>
      </c>
      <c r="M12" s="742"/>
      <c r="N12" s="736">
        <v>1</v>
      </c>
      <c r="O12" s="738">
        <f t="shared" si="1"/>
        <v>33860</v>
      </c>
      <c r="P12" s="738"/>
      <c r="Q12" s="742"/>
      <c r="R12" s="738"/>
      <c r="S12" s="738"/>
      <c r="T12" s="738" t="s">
        <v>114</v>
      </c>
      <c r="U12" s="738"/>
      <c r="V12" s="738">
        <f t="shared" ref="V12:V15" si="16">SUM(O12:S12)</f>
        <v>33860</v>
      </c>
      <c r="W12" s="742">
        <f t="shared" si="11"/>
        <v>8412260</v>
      </c>
      <c r="X12" s="742">
        <f t="shared" si="12"/>
        <v>504735.6</v>
      </c>
      <c r="Y12" s="742">
        <f t="shared" si="13"/>
        <v>210306.5</v>
      </c>
      <c r="Z12" s="742">
        <f t="shared" si="2"/>
        <v>1009471.2</v>
      </c>
      <c r="AA12" s="742">
        <f t="shared" si="3"/>
        <v>10136773.299999999</v>
      </c>
      <c r="AB12" s="742">
        <f t="shared" si="4"/>
        <v>140945.12374860953</v>
      </c>
      <c r="AC12" s="739">
        <v>0.25</v>
      </c>
      <c r="AD12" s="742">
        <f t="shared" si="5"/>
        <v>2534193.3249999997</v>
      </c>
      <c r="AE12" s="738">
        <v>50000</v>
      </c>
      <c r="AF12" s="742">
        <f t="shared" si="6"/>
        <v>57771.937790697666</v>
      </c>
      <c r="AG12" s="743">
        <v>43</v>
      </c>
      <c r="AH12" s="742">
        <f t="shared" si="7"/>
        <v>7602579.9749999996</v>
      </c>
      <c r="AI12" s="738">
        <f t="shared" ref="AI12:AI75" si="17">SUM(AL12:CK12)</f>
        <v>0</v>
      </c>
      <c r="AJ12" s="742">
        <f t="shared" si="14"/>
        <v>-10136773.299999999</v>
      </c>
      <c r="AL12" s="723"/>
      <c r="AM12" s="723"/>
      <c r="AN12" s="723"/>
      <c r="AO12" s="723"/>
      <c r="AP12" s="723"/>
      <c r="AQ12" s="723"/>
      <c r="AR12" s="723"/>
      <c r="AS12" s="723"/>
      <c r="AT12" s="723"/>
      <c r="AU12" s="723"/>
      <c r="AV12" s="723"/>
      <c r="AW12" s="723"/>
      <c r="AX12" s="723"/>
      <c r="AY12" s="723"/>
      <c r="AZ12" s="723"/>
      <c r="BA12" s="723"/>
      <c r="BB12" s="723"/>
      <c r="BC12" s="723"/>
      <c r="BD12" s="723"/>
      <c r="BE12" s="723"/>
      <c r="BF12" s="723"/>
      <c r="BG12" s="723"/>
      <c r="BH12" s="723"/>
      <c r="BI12" s="723"/>
      <c r="BJ12" s="723"/>
      <c r="BK12" s="723"/>
      <c r="BL12" s="723"/>
      <c r="BM12" s="723"/>
      <c r="BN12" s="723"/>
      <c r="BO12" s="723"/>
      <c r="BP12" s="723"/>
      <c r="BQ12" s="723"/>
      <c r="BR12" s="723"/>
      <c r="BS12" s="723"/>
      <c r="BT12" s="723"/>
      <c r="BU12" s="723"/>
      <c r="BV12" s="723"/>
      <c r="BW12" s="723"/>
      <c r="BX12" s="723"/>
      <c r="BY12" s="723"/>
      <c r="BZ12" s="723"/>
      <c r="CA12" s="723"/>
      <c r="CB12" s="723"/>
      <c r="CC12" s="723"/>
      <c r="CD12" s="723"/>
      <c r="CE12" s="723"/>
      <c r="CF12" s="723"/>
      <c r="CG12" s="723"/>
      <c r="CH12" s="723"/>
      <c r="CI12" s="723"/>
      <c r="CJ12" s="723"/>
      <c r="CK12" s="723"/>
      <c r="CL12" s="723"/>
      <c r="CM12" s="723"/>
      <c r="CN12" s="723"/>
      <c r="CO12" s="723"/>
      <c r="CP12" s="723"/>
      <c r="CQ12" s="723"/>
      <c r="CR12" s="723"/>
      <c r="CS12" s="723"/>
      <c r="CT12" s="723"/>
      <c r="CU12" s="723"/>
      <c r="CV12" s="723"/>
      <c r="CW12" s="723"/>
      <c r="CX12" s="723"/>
      <c r="CY12" s="723"/>
      <c r="CZ12" s="723"/>
      <c r="DA12" s="723"/>
      <c r="DB12" s="723"/>
      <c r="DC12" s="723"/>
      <c r="DD12" s="723"/>
      <c r="DE12" s="723"/>
      <c r="DF12" s="723"/>
      <c r="DG12" s="723"/>
      <c r="DH12" s="723"/>
      <c r="DI12" s="723"/>
      <c r="DJ12" s="723"/>
      <c r="DK12" s="723"/>
      <c r="DL12" s="723"/>
      <c r="DM12" s="723"/>
      <c r="DN12" s="723"/>
      <c r="DO12" s="723"/>
      <c r="DP12" s="723"/>
      <c r="DQ12" s="723"/>
      <c r="DR12" s="723"/>
      <c r="DS12" s="723"/>
      <c r="DT12" s="723"/>
      <c r="DU12" s="723"/>
      <c r="DV12" s="723"/>
      <c r="DW12" s="723"/>
      <c r="DX12" s="723"/>
      <c r="DY12" s="723"/>
      <c r="DZ12" s="723"/>
      <c r="EA12" s="723"/>
      <c r="EB12" s="723"/>
      <c r="EC12" s="723"/>
      <c r="ED12" s="723"/>
      <c r="EE12" s="723"/>
      <c r="EF12" s="723"/>
      <c r="EG12" s="723"/>
      <c r="EH12" s="723"/>
      <c r="EI12" s="723"/>
      <c r="EJ12" s="728"/>
      <c r="EK12" s="728"/>
      <c r="EL12" s="728"/>
      <c r="EM12" s="728"/>
      <c r="EN12" s="728"/>
      <c r="EO12" s="728"/>
      <c r="EP12" s="728"/>
      <c r="EQ12" s="728"/>
      <c r="ER12" s="728"/>
      <c r="ES12" s="728"/>
      <c r="EV12" s="784">
        <f t="shared" si="9"/>
        <v>116966.90767519466</v>
      </c>
    </row>
    <row r="13" spans="1:152" s="722" customFormat="1" x14ac:dyDescent="0.2">
      <c r="A13" s="993"/>
      <c r="B13" s="736">
        <v>11</v>
      </c>
      <c r="C13" s="736" t="s">
        <v>104</v>
      </c>
      <c r="D13" s="736" t="s">
        <v>105</v>
      </c>
      <c r="E13" s="736" t="s">
        <v>106</v>
      </c>
      <c r="F13" s="736" t="s">
        <v>131</v>
      </c>
      <c r="G13" s="736" t="s">
        <v>132</v>
      </c>
      <c r="H13" s="736" t="s">
        <v>109</v>
      </c>
      <c r="I13" s="740">
        <f>'[18]Collection Unsold 10.15.21'!G14</f>
        <v>67.72</v>
      </c>
      <c r="J13" s="741">
        <f>'[18]Collection Unsold 10.15.21'!H14</f>
        <v>4.2</v>
      </c>
      <c r="K13" s="740">
        <f t="shared" si="0"/>
        <v>71.92</v>
      </c>
      <c r="L13" s="742">
        <f>'Package Breakdown - Casas 10.21'!K69</f>
        <v>8378400</v>
      </c>
      <c r="M13" s="742"/>
      <c r="N13" s="736">
        <v>1</v>
      </c>
      <c r="O13" s="738">
        <f t="shared" si="1"/>
        <v>33860</v>
      </c>
      <c r="P13" s="738"/>
      <c r="Q13" s="742"/>
      <c r="R13" s="738"/>
      <c r="S13" s="738"/>
      <c r="T13" s="738" t="s">
        <v>114</v>
      </c>
      <c r="U13" s="738"/>
      <c r="V13" s="738">
        <f t="shared" si="16"/>
        <v>33860</v>
      </c>
      <c r="W13" s="742">
        <f t="shared" si="11"/>
        <v>8412260</v>
      </c>
      <c r="X13" s="742">
        <f t="shared" si="12"/>
        <v>504735.6</v>
      </c>
      <c r="Y13" s="742">
        <f t="shared" si="13"/>
        <v>210306.5</v>
      </c>
      <c r="Z13" s="742">
        <f t="shared" si="2"/>
        <v>1009471.2</v>
      </c>
      <c r="AA13" s="742">
        <f t="shared" si="3"/>
        <v>10136773.299999999</v>
      </c>
      <c r="AB13" s="742">
        <f t="shared" si="4"/>
        <v>140945.12374860953</v>
      </c>
      <c r="AC13" s="739">
        <v>0.25</v>
      </c>
      <c r="AD13" s="742">
        <f t="shared" si="5"/>
        <v>2534193.3249999997</v>
      </c>
      <c r="AE13" s="738">
        <v>50000</v>
      </c>
      <c r="AF13" s="742">
        <f t="shared" si="6"/>
        <v>57771.937790697666</v>
      </c>
      <c r="AG13" s="743">
        <v>43</v>
      </c>
      <c r="AH13" s="742">
        <f t="shared" si="7"/>
        <v>7602579.9749999996</v>
      </c>
      <c r="AI13" s="738">
        <f t="shared" si="17"/>
        <v>0</v>
      </c>
      <c r="AJ13" s="742">
        <f t="shared" si="14"/>
        <v>-10136773.299999999</v>
      </c>
      <c r="AL13" s="723"/>
      <c r="AM13" s="723"/>
      <c r="AN13" s="723"/>
      <c r="AO13" s="723"/>
      <c r="AP13" s="723"/>
      <c r="AQ13" s="723"/>
      <c r="AR13" s="723"/>
      <c r="AS13" s="723"/>
      <c r="AT13" s="723"/>
      <c r="AU13" s="723"/>
      <c r="AV13" s="723"/>
      <c r="AW13" s="723"/>
      <c r="AX13" s="723"/>
      <c r="AY13" s="723"/>
      <c r="AZ13" s="723"/>
      <c r="BA13" s="723"/>
      <c r="BB13" s="723"/>
      <c r="BC13" s="723"/>
      <c r="BD13" s="723"/>
      <c r="BE13" s="723"/>
      <c r="BF13" s="723"/>
      <c r="BG13" s="723"/>
      <c r="BH13" s="723"/>
      <c r="BI13" s="723"/>
      <c r="BJ13" s="723"/>
      <c r="BK13" s="723"/>
      <c r="BL13" s="723"/>
      <c r="BM13" s="723"/>
      <c r="BN13" s="723"/>
      <c r="BO13" s="723"/>
      <c r="BP13" s="723"/>
      <c r="BQ13" s="723"/>
      <c r="BR13" s="723"/>
      <c r="BS13" s="723"/>
      <c r="BT13" s="723"/>
      <c r="BU13" s="723"/>
      <c r="BV13" s="723"/>
      <c r="BW13" s="723"/>
      <c r="BX13" s="723"/>
      <c r="BY13" s="723"/>
      <c r="BZ13" s="723"/>
      <c r="CA13" s="723"/>
      <c r="CB13" s="723"/>
      <c r="CC13" s="723"/>
      <c r="CD13" s="723"/>
      <c r="CE13" s="723"/>
      <c r="CF13" s="723"/>
      <c r="CG13" s="723"/>
      <c r="CH13" s="723"/>
      <c r="CI13" s="723"/>
      <c r="CJ13" s="723"/>
      <c r="CK13" s="723"/>
      <c r="CL13" s="723"/>
      <c r="CM13" s="723"/>
      <c r="CN13" s="723"/>
      <c r="CO13" s="723"/>
      <c r="CP13" s="723"/>
      <c r="CQ13" s="723"/>
      <c r="CR13" s="723"/>
      <c r="CS13" s="723"/>
      <c r="CT13" s="723"/>
      <c r="CU13" s="723"/>
      <c r="CV13" s="723"/>
      <c r="CW13" s="723"/>
      <c r="CX13" s="723"/>
      <c r="CY13" s="723"/>
      <c r="CZ13" s="723"/>
      <c r="DA13" s="723"/>
      <c r="DB13" s="723"/>
      <c r="DC13" s="723"/>
      <c r="DD13" s="723"/>
      <c r="DE13" s="723"/>
      <c r="DF13" s="723"/>
      <c r="DG13" s="723"/>
      <c r="DH13" s="723"/>
      <c r="DI13" s="723"/>
      <c r="DJ13" s="723"/>
      <c r="DK13" s="723"/>
      <c r="DL13" s="723"/>
      <c r="DM13" s="723"/>
      <c r="DN13" s="723"/>
      <c r="DO13" s="723"/>
      <c r="DP13" s="723"/>
      <c r="DQ13" s="723"/>
      <c r="DR13" s="723"/>
      <c r="DS13" s="723"/>
      <c r="DT13" s="723"/>
      <c r="DU13" s="723"/>
      <c r="DV13" s="723"/>
      <c r="DW13" s="723"/>
      <c r="DX13" s="723"/>
      <c r="DY13" s="723"/>
      <c r="DZ13" s="723"/>
      <c r="EA13" s="723"/>
      <c r="EB13" s="723"/>
      <c r="EC13" s="723"/>
      <c r="ED13" s="723"/>
      <c r="EE13" s="723"/>
      <c r="EF13" s="723"/>
      <c r="EG13" s="723"/>
      <c r="EH13" s="723"/>
      <c r="EI13" s="723"/>
      <c r="EJ13" s="728"/>
      <c r="EK13" s="728"/>
      <c r="EL13" s="728"/>
      <c r="EM13" s="728"/>
      <c r="EN13" s="728"/>
      <c r="EO13" s="728"/>
      <c r="EP13" s="728"/>
      <c r="EQ13" s="728"/>
      <c r="ER13" s="728"/>
      <c r="ES13" s="728"/>
      <c r="EV13" s="784">
        <f t="shared" si="9"/>
        <v>116966.90767519466</v>
      </c>
    </row>
    <row r="14" spans="1:152" s="722" customFormat="1" x14ac:dyDescent="0.2">
      <c r="A14" s="993"/>
      <c r="B14" s="736">
        <v>12</v>
      </c>
      <c r="C14" s="736" t="s">
        <v>104</v>
      </c>
      <c r="D14" s="736" t="s">
        <v>105</v>
      </c>
      <c r="E14" s="736" t="s">
        <v>106</v>
      </c>
      <c r="F14" s="736" t="s">
        <v>133</v>
      </c>
      <c r="G14" s="736" t="s">
        <v>134</v>
      </c>
      <c r="H14" s="736" t="s">
        <v>109</v>
      </c>
      <c r="I14" s="740">
        <f>'[18]Collection Unsold 10.15.21'!G15</f>
        <v>86.15</v>
      </c>
      <c r="J14" s="741">
        <f>'[18]Collection Unsold 10.15.21'!H15</f>
        <v>12.66</v>
      </c>
      <c r="K14" s="740">
        <f t="shared" si="0"/>
        <v>98.81</v>
      </c>
      <c r="L14" s="742">
        <f>'Package Breakdown - Casas 10.21'!L69</f>
        <v>11097600</v>
      </c>
      <c r="M14" s="742"/>
      <c r="N14" s="736">
        <v>1</v>
      </c>
      <c r="O14" s="738">
        <f t="shared" si="1"/>
        <v>43075</v>
      </c>
      <c r="P14" s="738"/>
      <c r="Q14" s="742"/>
      <c r="R14" s="738">
        <f>I14*1000</f>
        <v>86150</v>
      </c>
      <c r="S14" s="738">
        <f t="shared" ref="S14:S15" si="18">I14*1000</f>
        <v>86150</v>
      </c>
      <c r="T14" s="738" t="s">
        <v>110</v>
      </c>
      <c r="U14" s="738"/>
      <c r="V14" s="738">
        <f t="shared" si="16"/>
        <v>215375</v>
      </c>
      <c r="W14" s="742">
        <f t="shared" si="11"/>
        <v>11312975</v>
      </c>
      <c r="X14" s="742">
        <f t="shared" si="12"/>
        <v>678778.5</v>
      </c>
      <c r="Y14" s="742">
        <f t="shared" si="13"/>
        <v>282824.375</v>
      </c>
      <c r="Z14" s="742">
        <f t="shared" si="2"/>
        <v>1357557</v>
      </c>
      <c r="AA14" s="742">
        <f t="shared" si="3"/>
        <v>13632134.875</v>
      </c>
      <c r="AB14" s="742">
        <f t="shared" si="4"/>
        <v>137963.10975609755</v>
      </c>
      <c r="AC14" s="739">
        <v>0.25</v>
      </c>
      <c r="AD14" s="742">
        <f t="shared" si="5"/>
        <v>3408033.71875</v>
      </c>
      <c r="AE14" s="738">
        <v>50000</v>
      </c>
      <c r="AF14" s="742">
        <f t="shared" si="6"/>
        <v>78093.807412790702</v>
      </c>
      <c r="AG14" s="743">
        <v>43</v>
      </c>
      <c r="AH14" s="742">
        <f t="shared" si="7"/>
        <v>10224101.15625</v>
      </c>
      <c r="AI14" s="738">
        <f t="shared" si="17"/>
        <v>0</v>
      </c>
      <c r="AJ14" s="742">
        <f t="shared" si="14"/>
        <v>-13632134.875</v>
      </c>
      <c r="AL14" s="723"/>
      <c r="AM14" s="723"/>
      <c r="AN14" s="723"/>
      <c r="AO14" s="723"/>
      <c r="AP14" s="723"/>
      <c r="AQ14" s="723"/>
      <c r="AR14" s="723"/>
      <c r="AS14" s="723"/>
      <c r="AT14" s="723"/>
      <c r="AU14" s="723"/>
      <c r="AV14" s="723"/>
      <c r="AW14" s="723"/>
      <c r="AX14" s="723"/>
      <c r="AY14" s="723"/>
      <c r="AZ14" s="723"/>
      <c r="BA14" s="723"/>
      <c r="BB14" s="723"/>
      <c r="BC14" s="723"/>
      <c r="BD14" s="723"/>
      <c r="BE14" s="723"/>
      <c r="BF14" s="723"/>
      <c r="BG14" s="723"/>
      <c r="BH14" s="723"/>
      <c r="BI14" s="723"/>
      <c r="BJ14" s="723"/>
      <c r="BK14" s="723"/>
      <c r="BL14" s="723"/>
      <c r="BM14" s="723"/>
      <c r="BN14" s="723"/>
      <c r="BO14" s="723"/>
      <c r="BP14" s="723"/>
      <c r="BQ14" s="723"/>
      <c r="BR14" s="723"/>
      <c r="BS14" s="723"/>
      <c r="BT14" s="723"/>
      <c r="BU14" s="723"/>
      <c r="BV14" s="723"/>
      <c r="BW14" s="723"/>
      <c r="BX14" s="723"/>
      <c r="BY14" s="723"/>
      <c r="BZ14" s="723"/>
      <c r="CA14" s="723"/>
      <c r="CB14" s="723"/>
      <c r="CC14" s="723"/>
      <c r="CD14" s="723"/>
      <c r="CE14" s="723"/>
      <c r="CF14" s="723"/>
      <c r="CG14" s="723"/>
      <c r="CH14" s="723"/>
      <c r="CI14" s="723"/>
      <c r="CJ14" s="723"/>
      <c r="CK14" s="723"/>
      <c r="CL14" s="723"/>
      <c r="CM14" s="723"/>
      <c r="CN14" s="723"/>
      <c r="CO14" s="723"/>
      <c r="CP14" s="723"/>
      <c r="CQ14" s="723"/>
      <c r="CR14" s="723"/>
      <c r="CS14" s="723"/>
      <c r="CT14" s="723"/>
      <c r="CU14" s="723"/>
      <c r="CV14" s="723"/>
      <c r="CW14" s="723"/>
      <c r="CX14" s="723"/>
      <c r="CY14" s="723"/>
      <c r="CZ14" s="723"/>
      <c r="DA14" s="723"/>
      <c r="DB14" s="723"/>
      <c r="DC14" s="723"/>
      <c r="DD14" s="723"/>
      <c r="DE14" s="723"/>
      <c r="DF14" s="723"/>
      <c r="DG14" s="723"/>
      <c r="DH14" s="723"/>
      <c r="DI14" s="723"/>
      <c r="DJ14" s="723"/>
      <c r="DK14" s="723"/>
      <c r="DL14" s="723"/>
      <c r="DM14" s="723"/>
      <c r="DN14" s="723"/>
      <c r="DO14" s="723"/>
      <c r="DP14" s="723"/>
      <c r="DQ14" s="723"/>
      <c r="DR14" s="723"/>
      <c r="DS14" s="723"/>
      <c r="DT14" s="723"/>
      <c r="DU14" s="723"/>
      <c r="DV14" s="723"/>
      <c r="DW14" s="723"/>
      <c r="DX14" s="723"/>
      <c r="DY14" s="723"/>
      <c r="DZ14" s="723"/>
      <c r="EA14" s="723"/>
      <c r="EB14" s="723"/>
      <c r="EC14" s="723"/>
      <c r="ED14" s="723"/>
      <c r="EE14" s="723"/>
      <c r="EF14" s="723"/>
      <c r="EG14" s="723"/>
      <c r="EH14" s="723"/>
      <c r="EI14" s="723"/>
      <c r="EJ14" s="728"/>
      <c r="EK14" s="728"/>
      <c r="EL14" s="728"/>
      <c r="EM14" s="728"/>
      <c r="EN14" s="728"/>
      <c r="EO14" s="728"/>
      <c r="EP14" s="728"/>
      <c r="EQ14" s="728"/>
      <c r="ER14" s="728"/>
      <c r="ES14" s="728"/>
      <c r="EV14" s="784">
        <f t="shared" si="9"/>
        <v>114492.207266471</v>
      </c>
    </row>
    <row r="15" spans="1:152" s="722" customFormat="1" x14ac:dyDescent="0.2">
      <c r="A15" s="993"/>
      <c r="B15" s="736">
        <v>13</v>
      </c>
      <c r="C15" s="736" t="s">
        <v>135</v>
      </c>
      <c r="D15" s="736" t="s">
        <v>105</v>
      </c>
      <c r="E15" s="736" t="s">
        <v>106</v>
      </c>
      <c r="F15" s="736" t="s">
        <v>136</v>
      </c>
      <c r="G15" s="736" t="s">
        <v>137</v>
      </c>
      <c r="H15" s="736" t="s">
        <v>109</v>
      </c>
      <c r="I15" s="740">
        <f>'[18]Collection Unsold 10.15.21'!G16</f>
        <v>53.53</v>
      </c>
      <c r="J15" s="741">
        <f>'[18]Collection Unsold 10.15.21'!H16</f>
        <v>4.18</v>
      </c>
      <c r="K15" s="740">
        <f t="shared" si="0"/>
        <v>57.71</v>
      </c>
      <c r="L15" s="742">
        <f>'Package Breakdown - Casas 10.21'!M69</f>
        <v>6674400</v>
      </c>
      <c r="M15" s="742"/>
      <c r="N15" s="736">
        <v>1</v>
      </c>
      <c r="O15" s="738">
        <f t="shared" si="1"/>
        <v>26765</v>
      </c>
      <c r="P15" s="738"/>
      <c r="Q15" s="742"/>
      <c r="R15" s="738"/>
      <c r="S15" s="738">
        <f t="shared" si="18"/>
        <v>53530</v>
      </c>
      <c r="T15" s="738" t="s">
        <v>114</v>
      </c>
      <c r="U15" s="738"/>
      <c r="V15" s="738">
        <f t="shared" si="16"/>
        <v>80295</v>
      </c>
      <c r="W15" s="742">
        <f t="shared" si="11"/>
        <v>6754695</v>
      </c>
      <c r="X15" s="742">
        <f t="shared" si="12"/>
        <v>405281.7</v>
      </c>
      <c r="Y15" s="742">
        <f t="shared" si="13"/>
        <v>168867.375</v>
      </c>
      <c r="Z15" s="742">
        <f t="shared" si="2"/>
        <v>810563.4</v>
      </c>
      <c r="AA15" s="742">
        <f t="shared" si="3"/>
        <v>8139407.4750000006</v>
      </c>
      <c r="AB15" s="742">
        <f t="shared" si="4"/>
        <v>141039.81069138797</v>
      </c>
      <c r="AC15" s="739">
        <v>0.25</v>
      </c>
      <c r="AD15" s="742">
        <f t="shared" si="5"/>
        <v>2034851.8687500001</v>
      </c>
      <c r="AE15" s="738">
        <v>50000</v>
      </c>
      <c r="AF15" s="742">
        <f t="shared" si="6"/>
        <v>46159.345784883721</v>
      </c>
      <c r="AG15" s="743">
        <v>43</v>
      </c>
      <c r="AH15" s="742">
        <f t="shared" si="7"/>
        <v>6104555.6062500002</v>
      </c>
      <c r="AI15" s="738">
        <f t="shared" si="17"/>
        <v>0</v>
      </c>
      <c r="AJ15" s="742">
        <f t="shared" si="14"/>
        <v>-8139407.4750000006</v>
      </c>
      <c r="AL15" s="723"/>
      <c r="AM15" s="723"/>
      <c r="AN15" s="723"/>
      <c r="AO15" s="723"/>
      <c r="AP15" s="723"/>
      <c r="AQ15" s="723"/>
      <c r="AR15" s="723"/>
      <c r="AS15" s="723"/>
      <c r="AT15" s="723"/>
      <c r="AU15" s="723"/>
      <c r="AV15" s="723"/>
      <c r="AW15" s="723"/>
      <c r="AX15" s="723"/>
      <c r="AY15" s="723"/>
      <c r="AZ15" s="723"/>
      <c r="BA15" s="723"/>
      <c r="BB15" s="723"/>
      <c r="BC15" s="723"/>
      <c r="BD15" s="723"/>
      <c r="BE15" s="723"/>
      <c r="BF15" s="723"/>
      <c r="BG15" s="723"/>
      <c r="BH15" s="723"/>
      <c r="BI15" s="723"/>
      <c r="BJ15" s="723"/>
      <c r="BK15" s="723"/>
      <c r="BL15" s="723"/>
      <c r="BM15" s="723"/>
      <c r="BN15" s="723"/>
      <c r="BO15" s="723"/>
      <c r="BP15" s="723"/>
      <c r="BQ15" s="723"/>
      <c r="BR15" s="723"/>
      <c r="BS15" s="723"/>
      <c r="BT15" s="723"/>
      <c r="BU15" s="723"/>
      <c r="BV15" s="723"/>
      <c r="BW15" s="723"/>
      <c r="BX15" s="723"/>
      <c r="BY15" s="723"/>
      <c r="BZ15" s="723"/>
      <c r="CA15" s="723"/>
      <c r="CB15" s="723"/>
      <c r="CC15" s="723"/>
      <c r="CD15" s="723"/>
      <c r="CE15" s="723"/>
      <c r="CF15" s="723"/>
      <c r="CG15" s="723"/>
      <c r="CH15" s="723"/>
      <c r="CI15" s="723"/>
      <c r="CJ15" s="723"/>
      <c r="CK15" s="723"/>
      <c r="CL15" s="723"/>
      <c r="CM15" s="723"/>
      <c r="CN15" s="723"/>
      <c r="CO15" s="723"/>
      <c r="CP15" s="723"/>
      <c r="CQ15" s="723"/>
      <c r="CR15" s="723"/>
      <c r="CS15" s="723"/>
      <c r="CT15" s="723"/>
      <c r="CU15" s="723"/>
      <c r="CV15" s="723"/>
      <c r="CW15" s="723"/>
      <c r="CX15" s="723"/>
      <c r="CY15" s="723"/>
      <c r="CZ15" s="723"/>
      <c r="DA15" s="723"/>
      <c r="DB15" s="723"/>
      <c r="DC15" s="723"/>
      <c r="DD15" s="723"/>
      <c r="DE15" s="723"/>
      <c r="DF15" s="723"/>
      <c r="DG15" s="723"/>
      <c r="DH15" s="723"/>
      <c r="DI15" s="723"/>
      <c r="DJ15" s="723"/>
      <c r="DK15" s="723"/>
      <c r="DL15" s="723"/>
      <c r="DM15" s="723"/>
      <c r="DN15" s="723"/>
      <c r="DO15" s="723"/>
      <c r="DP15" s="723"/>
      <c r="DQ15" s="723"/>
      <c r="DR15" s="723"/>
      <c r="DS15" s="723"/>
      <c r="DT15" s="723"/>
      <c r="DU15" s="723"/>
      <c r="DV15" s="723"/>
      <c r="DW15" s="723"/>
      <c r="DX15" s="723"/>
      <c r="DY15" s="723"/>
      <c r="DZ15" s="723"/>
      <c r="EA15" s="723"/>
      <c r="EB15" s="723"/>
      <c r="EC15" s="723"/>
      <c r="ED15" s="723"/>
      <c r="EE15" s="723"/>
      <c r="EF15" s="723"/>
      <c r="EG15" s="723"/>
      <c r="EH15" s="723"/>
      <c r="EI15" s="723"/>
      <c r="EJ15" s="728"/>
      <c r="EK15" s="728"/>
      <c r="EL15" s="728"/>
      <c r="EM15" s="728"/>
      <c r="EN15" s="728"/>
      <c r="EO15" s="728"/>
      <c r="EP15" s="728"/>
      <c r="EQ15" s="728"/>
      <c r="ER15" s="728"/>
      <c r="ES15" s="728"/>
      <c r="EV15" s="784">
        <f t="shared" si="9"/>
        <v>117045.48605094438</v>
      </c>
    </row>
    <row r="16" spans="1:152" s="722" customFormat="1" x14ac:dyDescent="0.2">
      <c r="A16" s="993">
        <v>2</v>
      </c>
      <c r="B16" s="736">
        <v>14</v>
      </c>
      <c r="C16" s="736" t="s">
        <v>104</v>
      </c>
      <c r="D16" s="736" t="s">
        <v>106</v>
      </c>
      <c r="E16" s="736" t="s">
        <v>138</v>
      </c>
      <c r="F16" s="736" t="s">
        <v>107</v>
      </c>
      <c r="G16" s="736" t="s">
        <v>139</v>
      </c>
      <c r="H16" s="736" t="s">
        <v>109</v>
      </c>
      <c r="I16" s="740">
        <f>'[18]Collection Unsold 10.15.21'!G17</f>
        <v>98.5</v>
      </c>
      <c r="J16" s="741">
        <f>'[18]Collection Unsold 10.15.21'!H17</f>
        <v>10.46</v>
      </c>
      <c r="K16" s="740">
        <f t="shared" si="0"/>
        <v>108.96000000000001</v>
      </c>
      <c r="L16" s="742">
        <f t="shared" ref="L16:L28" si="19">L3</f>
        <v>12447600</v>
      </c>
      <c r="M16" s="742"/>
      <c r="N16" s="736">
        <v>2</v>
      </c>
      <c r="O16" s="738">
        <f t="shared" si="1"/>
        <v>98500</v>
      </c>
      <c r="P16" s="738"/>
      <c r="Q16" s="742"/>
      <c r="R16" s="738">
        <f>I16*1000</f>
        <v>98500</v>
      </c>
      <c r="S16" s="738">
        <f>I16*1000</f>
        <v>98500</v>
      </c>
      <c r="T16" s="738" t="str">
        <f t="shared" ref="T16:T28" si="20">T3</f>
        <v>CORNER</v>
      </c>
      <c r="U16" s="738"/>
      <c r="V16" s="738">
        <f t="shared" si="10"/>
        <v>295500</v>
      </c>
      <c r="W16" s="742">
        <f t="shared" si="11"/>
        <v>12743100</v>
      </c>
      <c r="X16" s="742">
        <f t="shared" si="12"/>
        <v>764586</v>
      </c>
      <c r="Y16" s="742">
        <f t="shared" si="13"/>
        <v>318577.5</v>
      </c>
      <c r="Z16" s="742">
        <f t="shared" si="2"/>
        <v>1529172</v>
      </c>
      <c r="AA16" s="742">
        <f t="shared" si="3"/>
        <v>15355435.5</v>
      </c>
      <c r="AB16" s="742">
        <f t="shared" si="4"/>
        <v>140927.27147577092</v>
      </c>
      <c r="AC16" s="739">
        <v>0.25</v>
      </c>
      <c r="AD16" s="742">
        <f t="shared" si="5"/>
        <v>3838858.875</v>
      </c>
      <c r="AE16" s="738">
        <v>50000</v>
      </c>
      <c r="AF16" s="742">
        <f t="shared" si="6"/>
        <v>88112.997093023252</v>
      </c>
      <c r="AG16" s="743">
        <v>43</v>
      </c>
      <c r="AH16" s="742">
        <f t="shared" si="7"/>
        <v>11516576.625</v>
      </c>
      <c r="AI16" s="738">
        <f t="shared" si="17"/>
        <v>0</v>
      </c>
      <c r="AJ16" s="742">
        <f t="shared" si="14"/>
        <v>-15355435.5</v>
      </c>
      <c r="AL16" s="723"/>
      <c r="AM16" s="723"/>
      <c r="AN16" s="723"/>
      <c r="AO16" s="723"/>
      <c r="AP16" s="723"/>
      <c r="AQ16" s="723"/>
      <c r="AR16" s="723"/>
      <c r="AS16" s="723"/>
      <c r="AT16" s="723"/>
      <c r="AU16" s="723"/>
      <c r="AV16" s="723"/>
      <c r="AW16" s="723"/>
      <c r="AX16" s="723"/>
      <c r="AY16" s="723"/>
      <c r="AZ16" s="723"/>
      <c r="BA16" s="723"/>
      <c r="BB16" s="723"/>
      <c r="BC16" s="723"/>
      <c r="BD16" s="723"/>
      <c r="BE16" s="723"/>
      <c r="BF16" s="723"/>
      <c r="BG16" s="723"/>
      <c r="BH16" s="723"/>
      <c r="BI16" s="723"/>
      <c r="BJ16" s="723"/>
      <c r="BK16" s="723"/>
      <c r="BL16" s="723"/>
      <c r="BM16" s="723"/>
      <c r="BN16" s="723"/>
      <c r="BO16" s="723"/>
      <c r="BP16" s="723"/>
      <c r="BQ16" s="723"/>
      <c r="BR16" s="723"/>
      <c r="BS16" s="723"/>
      <c r="BT16" s="723"/>
      <c r="BU16" s="723"/>
      <c r="BV16" s="723"/>
      <c r="BW16" s="723"/>
      <c r="BX16" s="723"/>
      <c r="BY16" s="723"/>
      <c r="BZ16" s="723"/>
      <c r="CA16" s="723"/>
      <c r="CB16" s="723"/>
      <c r="CC16" s="723"/>
      <c r="CD16" s="723"/>
      <c r="CE16" s="723"/>
      <c r="CF16" s="723"/>
      <c r="CG16" s="723"/>
      <c r="CH16" s="723"/>
      <c r="CI16" s="723"/>
      <c r="CJ16" s="723"/>
      <c r="CK16" s="723"/>
      <c r="CL16" s="723"/>
      <c r="CM16" s="723"/>
      <c r="CN16" s="723"/>
      <c r="CO16" s="723"/>
      <c r="CP16" s="723"/>
      <c r="CQ16" s="723"/>
      <c r="CR16" s="723"/>
      <c r="CS16" s="723"/>
      <c r="CT16" s="723"/>
      <c r="CU16" s="723"/>
      <c r="CV16" s="723"/>
      <c r="CW16" s="723"/>
      <c r="CX16" s="723"/>
      <c r="CY16" s="723"/>
      <c r="CZ16" s="723"/>
      <c r="DA16" s="723"/>
      <c r="DB16" s="723"/>
      <c r="DC16" s="723"/>
      <c r="DD16" s="723"/>
      <c r="DE16" s="723"/>
      <c r="DF16" s="723"/>
      <c r="DG16" s="723"/>
      <c r="DH16" s="723"/>
      <c r="DI16" s="723"/>
      <c r="DJ16" s="723"/>
      <c r="DK16" s="723"/>
      <c r="DL16" s="723"/>
      <c r="DM16" s="723"/>
      <c r="DN16" s="723"/>
      <c r="DO16" s="723"/>
      <c r="DP16" s="723"/>
      <c r="DQ16" s="723"/>
      <c r="DR16" s="723"/>
      <c r="DS16" s="723"/>
      <c r="DT16" s="723"/>
      <c r="DU16" s="723"/>
      <c r="DV16" s="723"/>
      <c r="DW16" s="723"/>
      <c r="DX16" s="723"/>
      <c r="DY16" s="723"/>
      <c r="DZ16" s="723"/>
      <c r="EA16" s="723"/>
      <c r="EB16" s="723"/>
      <c r="EC16" s="723"/>
      <c r="ED16" s="723"/>
      <c r="EE16" s="723"/>
      <c r="EF16" s="723"/>
      <c r="EG16" s="723"/>
      <c r="EH16" s="723"/>
      <c r="EI16" s="723"/>
      <c r="EJ16" s="728"/>
      <c r="EK16" s="728"/>
      <c r="EL16" s="728"/>
      <c r="EM16" s="728"/>
      <c r="EN16" s="728"/>
      <c r="EO16" s="728"/>
      <c r="EP16" s="728"/>
      <c r="EQ16" s="728"/>
      <c r="ER16" s="728"/>
      <c r="ES16" s="728"/>
      <c r="EV16" s="784">
        <f t="shared" si="9"/>
        <v>116952.09251101321</v>
      </c>
    </row>
    <row r="17" spans="1:152" s="722" customFormat="1" x14ac:dyDescent="0.2">
      <c r="A17" s="993"/>
      <c r="B17" s="736">
        <v>15</v>
      </c>
      <c r="C17" s="736" t="s">
        <v>104</v>
      </c>
      <c r="D17" s="736" t="s">
        <v>106</v>
      </c>
      <c r="E17" s="736" t="s">
        <v>138</v>
      </c>
      <c r="F17" s="736" t="s">
        <v>111</v>
      </c>
      <c r="G17" s="736" t="s">
        <v>140</v>
      </c>
      <c r="H17" s="736" t="s">
        <v>113</v>
      </c>
      <c r="I17" s="740">
        <f>'[18]Collection Unsold 10.15.21'!G18</f>
        <v>51.02</v>
      </c>
      <c r="J17" s="741">
        <f>'[18]Collection Unsold 10.15.21'!H18</f>
        <v>5.36</v>
      </c>
      <c r="K17" s="740">
        <f t="shared" si="0"/>
        <v>56.38</v>
      </c>
      <c r="L17" s="742">
        <f t="shared" si="19"/>
        <v>6444000</v>
      </c>
      <c r="M17" s="742"/>
      <c r="N17" s="736">
        <v>2</v>
      </c>
      <c r="O17" s="738">
        <f t="shared" si="1"/>
        <v>51020</v>
      </c>
      <c r="P17" s="738"/>
      <c r="Q17" s="742"/>
      <c r="R17" s="738"/>
      <c r="S17" s="738">
        <f>I17*1000</f>
        <v>51020</v>
      </c>
      <c r="T17" s="738" t="str">
        <f t="shared" si="20"/>
        <v>INNER</v>
      </c>
      <c r="U17" s="738"/>
      <c r="V17" s="738">
        <f t="shared" si="10"/>
        <v>102040</v>
      </c>
      <c r="W17" s="742">
        <f t="shared" si="11"/>
        <v>6546040</v>
      </c>
      <c r="X17" s="742">
        <f t="shared" si="12"/>
        <v>392762.39999999997</v>
      </c>
      <c r="Y17" s="742">
        <f t="shared" si="13"/>
        <v>163651</v>
      </c>
      <c r="Z17" s="742">
        <f t="shared" si="2"/>
        <v>785524.79999999993</v>
      </c>
      <c r="AA17" s="742">
        <f t="shared" si="3"/>
        <v>7887978.2000000002</v>
      </c>
      <c r="AB17" s="742">
        <f t="shared" si="4"/>
        <v>139907.38205037246</v>
      </c>
      <c r="AC17" s="739">
        <v>0.25</v>
      </c>
      <c r="AD17" s="742">
        <f t="shared" si="5"/>
        <v>1971994.55</v>
      </c>
      <c r="AE17" s="738">
        <v>50000</v>
      </c>
      <c r="AF17" s="742">
        <f t="shared" si="6"/>
        <v>44697.547674418609</v>
      </c>
      <c r="AG17" s="743">
        <v>43</v>
      </c>
      <c r="AH17" s="742">
        <f t="shared" si="7"/>
        <v>5915983.6500000004</v>
      </c>
      <c r="AI17" s="738">
        <f t="shared" si="17"/>
        <v>0</v>
      </c>
      <c r="AJ17" s="742">
        <f t="shared" si="14"/>
        <v>-7887978.2000000002</v>
      </c>
      <c r="AL17" s="723"/>
      <c r="AM17" s="723"/>
      <c r="AN17" s="723"/>
      <c r="AO17" s="723"/>
      <c r="AP17" s="723"/>
      <c r="AQ17" s="723"/>
      <c r="AR17" s="723"/>
      <c r="AS17" s="723"/>
      <c r="AT17" s="723"/>
      <c r="AU17" s="723"/>
      <c r="AV17" s="723"/>
      <c r="AW17" s="723"/>
      <c r="AX17" s="723"/>
      <c r="AY17" s="723"/>
      <c r="AZ17" s="723"/>
      <c r="BA17" s="723"/>
      <c r="BB17" s="723"/>
      <c r="BC17" s="723"/>
      <c r="BD17" s="723"/>
      <c r="BE17" s="723"/>
      <c r="BF17" s="723"/>
      <c r="BG17" s="723"/>
      <c r="BH17" s="723"/>
      <c r="BI17" s="723"/>
      <c r="BJ17" s="723"/>
      <c r="BK17" s="723"/>
      <c r="BL17" s="723"/>
      <c r="BM17" s="723"/>
      <c r="BN17" s="723"/>
      <c r="BO17" s="723"/>
      <c r="BP17" s="723"/>
      <c r="BQ17" s="723"/>
      <c r="BR17" s="723"/>
      <c r="BS17" s="723"/>
      <c r="BT17" s="723"/>
      <c r="BU17" s="723"/>
      <c r="BV17" s="723"/>
      <c r="BW17" s="723"/>
      <c r="BX17" s="723"/>
      <c r="BY17" s="723"/>
      <c r="BZ17" s="723"/>
      <c r="CA17" s="723"/>
      <c r="CB17" s="723"/>
      <c r="CC17" s="723"/>
      <c r="CD17" s="723"/>
      <c r="CE17" s="723"/>
      <c r="CF17" s="723"/>
      <c r="CG17" s="723"/>
      <c r="CH17" s="723"/>
      <c r="CI17" s="723"/>
      <c r="CJ17" s="723"/>
      <c r="CK17" s="723"/>
      <c r="CL17" s="723"/>
      <c r="CM17" s="723"/>
      <c r="CN17" s="723"/>
      <c r="CO17" s="723"/>
      <c r="CP17" s="723"/>
      <c r="CQ17" s="723"/>
      <c r="CR17" s="723"/>
      <c r="CS17" s="723"/>
      <c r="CT17" s="723"/>
      <c r="CU17" s="723"/>
      <c r="CV17" s="723"/>
      <c r="CW17" s="723"/>
      <c r="CX17" s="723"/>
      <c r="CY17" s="723"/>
      <c r="CZ17" s="723"/>
      <c r="DA17" s="723"/>
      <c r="DB17" s="723"/>
      <c r="DC17" s="723"/>
      <c r="DD17" s="723"/>
      <c r="DE17" s="723"/>
      <c r="DF17" s="723"/>
      <c r="DG17" s="723"/>
      <c r="DH17" s="723"/>
      <c r="DI17" s="723"/>
      <c r="DJ17" s="723"/>
      <c r="DK17" s="723"/>
      <c r="DL17" s="723"/>
      <c r="DM17" s="723"/>
      <c r="DN17" s="723"/>
      <c r="DO17" s="723"/>
      <c r="DP17" s="723"/>
      <c r="DQ17" s="723"/>
      <c r="DR17" s="723"/>
      <c r="DS17" s="723"/>
      <c r="DT17" s="723"/>
      <c r="DU17" s="723"/>
      <c r="DV17" s="723"/>
      <c r="DW17" s="723"/>
      <c r="DX17" s="723"/>
      <c r="DY17" s="723"/>
      <c r="DZ17" s="723"/>
      <c r="EA17" s="723"/>
      <c r="EB17" s="723"/>
      <c r="EC17" s="723"/>
      <c r="ED17" s="723"/>
      <c r="EE17" s="723"/>
      <c r="EF17" s="723"/>
      <c r="EG17" s="723"/>
      <c r="EH17" s="723"/>
      <c r="EI17" s="723"/>
      <c r="EJ17" s="728"/>
      <c r="EK17" s="728"/>
      <c r="EL17" s="728"/>
      <c r="EM17" s="728"/>
      <c r="EN17" s="728"/>
      <c r="EO17" s="728"/>
      <c r="EP17" s="728"/>
      <c r="EQ17" s="728"/>
      <c r="ER17" s="728"/>
      <c r="ES17" s="728"/>
      <c r="EV17" s="784">
        <f t="shared" si="9"/>
        <v>116105.71124512238</v>
      </c>
    </row>
    <row r="18" spans="1:152" s="722" customFormat="1" x14ac:dyDescent="0.2">
      <c r="A18" s="993"/>
      <c r="B18" s="736">
        <v>16</v>
      </c>
      <c r="C18" s="736" t="s">
        <v>104</v>
      </c>
      <c r="D18" s="736" t="s">
        <v>106</v>
      </c>
      <c r="E18" s="736" t="s">
        <v>138</v>
      </c>
      <c r="F18" s="736" t="s">
        <v>115</v>
      </c>
      <c r="G18" s="736" t="s">
        <v>141</v>
      </c>
      <c r="H18" s="736" t="s">
        <v>109</v>
      </c>
      <c r="I18" s="740">
        <f>'[18]Collection Unsold 10.15.21'!G19</f>
        <v>55.62</v>
      </c>
      <c r="J18" s="741">
        <f>'[18]Collection Unsold 10.15.21'!H19</f>
        <v>5.37</v>
      </c>
      <c r="K18" s="740">
        <f t="shared" si="0"/>
        <v>60.989999999999995</v>
      </c>
      <c r="L18" s="742">
        <f t="shared" si="19"/>
        <v>6996600</v>
      </c>
      <c r="M18" s="742"/>
      <c r="N18" s="736">
        <v>2</v>
      </c>
      <c r="O18" s="738">
        <f t="shared" si="1"/>
        <v>55620</v>
      </c>
      <c r="P18" s="738"/>
      <c r="Q18" s="742"/>
      <c r="R18" s="738"/>
      <c r="S18" s="738">
        <f>I18*1000</f>
        <v>55620</v>
      </c>
      <c r="T18" s="738" t="str">
        <f t="shared" si="20"/>
        <v>INNER</v>
      </c>
      <c r="U18" s="738"/>
      <c r="V18" s="738">
        <f t="shared" si="10"/>
        <v>111240</v>
      </c>
      <c r="W18" s="742">
        <f t="shared" si="11"/>
        <v>7107840</v>
      </c>
      <c r="X18" s="742">
        <f t="shared" si="12"/>
        <v>426470.39999999997</v>
      </c>
      <c r="Y18" s="742">
        <f t="shared" si="13"/>
        <v>177696</v>
      </c>
      <c r="Z18" s="742">
        <f t="shared" si="2"/>
        <v>852940.79999999993</v>
      </c>
      <c r="AA18" s="742">
        <f t="shared" si="3"/>
        <v>8564947.2000000011</v>
      </c>
      <c r="AB18" s="742">
        <f t="shared" si="4"/>
        <v>140431.99212985739</v>
      </c>
      <c r="AC18" s="739">
        <v>0.25</v>
      </c>
      <c r="AD18" s="742">
        <f t="shared" si="5"/>
        <v>2141236.8000000003</v>
      </c>
      <c r="AE18" s="738">
        <v>50000</v>
      </c>
      <c r="AF18" s="742">
        <f t="shared" si="6"/>
        <v>48633.41395348838</v>
      </c>
      <c r="AG18" s="743">
        <v>43</v>
      </c>
      <c r="AH18" s="742">
        <f t="shared" si="7"/>
        <v>6423710.4000000004</v>
      </c>
      <c r="AI18" s="738">
        <f t="shared" si="17"/>
        <v>0</v>
      </c>
      <c r="AJ18" s="742">
        <f t="shared" si="14"/>
        <v>-8564947.2000000011</v>
      </c>
      <c r="AL18" s="723"/>
      <c r="AM18" s="723"/>
      <c r="AN18" s="723"/>
      <c r="AO18" s="723"/>
      <c r="AP18" s="723"/>
      <c r="AQ18" s="723"/>
      <c r="AR18" s="723"/>
      <c r="AS18" s="723"/>
      <c r="AT18" s="723"/>
      <c r="AU18" s="723"/>
      <c r="AV18" s="723"/>
      <c r="AW18" s="723"/>
      <c r="AX18" s="723"/>
      <c r="AY18" s="723"/>
      <c r="AZ18" s="723"/>
      <c r="BA18" s="723"/>
      <c r="BB18" s="723"/>
      <c r="BC18" s="723"/>
      <c r="BD18" s="723"/>
      <c r="BE18" s="723"/>
      <c r="BF18" s="723"/>
      <c r="BG18" s="723"/>
      <c r="BH18" s="723"/>
      <c r="BI18" s="723"/>
      <c r="BJ18" s="723"/>
      <c r="BK18" s="723"/>
      <c r="BL18" s="723"/>
      <c r="BM18" s="723"/>
      <c r="BN18" s="723"/>
      <c r="BO18" s="723"/>
      <c r="BP18" s="723"/>
      <c r="BQ18" s="723"/>
      <c r="BR18" s="723"/>
      <c r="BS18" s="723"/>
      <c r="BT18" s="723"/>
      <c r="BU18" s="723"/>
      <c r="BV18" s="723"/>
      <c r="BW18" s="723"/>
      <c r="BX18" s="723"/>
      <c r="BY18" s="723"/>
      <c r="BZ18" s="723"/>
      <c r="CA18" s="723"/>
      <c r="CB18" s="723"/>
      <c r="CC18" s="723"/>
      <c r="CD18" s="723"/>
      <c r="CE18" s="723"/>
      <c r="CF18" s="723"/>
      <c r="CG18" s="723"/>
      <c r="CH18" s="723"/>
      <c r="CI18" s="723"/>
      <c r="CJ18" s="723"/>
      <c r="CK18" s="723"/>
      <c r="CL18" s="723"/>
      <c r="CM18" s="723"/>
      <c r="CN18" s="723"/>
      <c r="CO18" s="723"/>
      <c r="CP18" s="723"/>
      <c r="CQ18" s="723"/>
      <c r="CR18" s="723"/>
      <c r="CS18" s="723"/>
      <c r="CT18" s="723"/>
      <c r="CU18" s="723"/>
      <c r="CV18" s="723"/>
      <c r="CW18" s="723"/>
      <c r="CX18" s="723"/>
      <c r="CY18" s="723"/>
      <c r="CZ18" s="723"/>
      <c r="DA18" s="723"/>
      <c r="DB18" s="723"/>
      <c r="DC18" s="723"/>
      <c r="DD18" s="723"/>
      <c r="DE18" s="723"/>
      <c r="DF18" s="723"/>
      <c r="DG18" s="723"/>
      <c r="DH18" s="723"/>
      <c r="DI18" s="723"/>
      <c r="DJ18" s="723"/>
      <c r="DK18" s="723"/>
      <c r="DL18" s="723"/>
      <c r="DM18" s="723"/>
      <c r="DN18" s="723"/>
      <c r="DO18" s="723"/>
      <c r="DP18" s="723"/>
      <c r="DQ18" s="723"/>
      <c r="DR18" s="723"/>
      <c r="DS18" s="723"/>
      <c r="DT18" s="723"/>
      <c r="DU18" s="723"/>
      <c r="DV18" s="723"/>
      <c r="DW18" s="723"/>
      <c r="DX18" s="723"/>
      <c r="DY18" s="723"/>
      <c r="DZ18" s="723"/>
      <c r="EA18" s="723"/>
      <c r="EB18" s="723"/>
      <c r="EC18" s="723"/>
      <c r="ED18" s="723"/>
      <c r="EE18" s="723"/>
      <c r="EF18" s="723"/>
      <c r="EG18" s="723"/>
      <c r="EH18" s="723"/>
      <c r="EI18" s="723"/>
      <c r="EJ18" s="728"/>
      <c r="EK18" s="728"/>
      <c r="EL18" s="728"/>
      <c r="EM18" s="728"/>
      <c r="EN18" s="728"/>
      <c r="EO18" s="728"/>
      <c r="EP18" s="728"/>
      <c r="EQ18" s="728"/>
      <c r="ER18" s="728"/>
      <c r="ES18" s="728"/>
      <c r="EV18" s="784">
        <f t="shared" si="9"/>
        <v>116541.07230693557</v>
      </c>
    </row>
    <row r="19" spans="1:152" s="722" customFormat="1" x14ac:dyDescent="0.2">
      <c r="A19" s="993"/>
      <c r="B19" s="736">
        <v>17</v>
      </c>
      <c r="C19" s="736" t="s">
        <v>104</v>
      </c>
      <c r="D19" s="736" t="s">
        <v>106</v>
      </c>
      <c r="E19" s="736" t="s">
        <v>138</v>
      </c>
      <c r="F19" s="736" t="s">
        <v>117</v>
      </c>
      <c r="G19" s="736" t="s">
        <v>142</v>
      </c>
      <c r="H19" s="736" t="s">
        <v>109</v>
      </c>
      <c r="I19" s="740">
        <f>'[18]Collection Unsold 10.15.21'!G20</f>
        <v>60.78</v>
      </c>
      <c r="J19" s="741">
        <f>'[18]Collection Unsold 10.15.21'!H20</f>
        <v>5.15</v>
      </c>
      <c r="K19" s="740">
        <f t="shared" si="0"/>
        <v>65.930000000000007</v>
      </c>
      <c r="L19" s="742">
        <f t="shared" si="19"/>
        <v>7602600</v>
      </c>
      <c r="M19" s="742"/>
      <c r="N19" s="736">
        <v>2</v>
      </c>
      <c r="O19" s="738">
        <f t="shared" si="1"/>
        <v>60780</v>
      </c>
      <c r="P19" s="738"/>
      <c r="Q19" s="742"/>
      <c r="R19" s="738"/>
      <c r="S19" s="738">
        <f>I19*1000</f>
        <v>60780</v>
      </c>
      <c r="T19" s="738" t="str">
        <f t="shared" si="20"/>
        <v>INNER</v>
      </c>
      <c r="U19" s="738"/>
      <c r="V19" s="738">
        <f t="shared" si="10"/>
        <v>121560</v>
      </c>
      <c r="W19" s="742">
        <f t="shared" si="11"/>
        <v>7724160</v>
      </c>
      <c r="X19" s="742">
        <f t="shared" si="12"/>
        <v>463449.59999999998</v>
      </c>
      <c r="Y19" s="742">
        <f t="shared" si="13"/>
        <v>193104</v>
      </c>
      <c r="Z19" s="742">
        <f t="shared" si="2"/>
        <v>926899.19999999995</v>
      </c>
      <c r="AA19" s="742">
        <f t="shared" si="3"/>
        <v>9307612.7999999989</v>
      </c>
      <c r="AB19" s="742">
        <f t="shared" si="4"/>
        <v>141174.16654026994</v>
      </c>
      <c r="AC19" s="739">
        <v>0.25</v>
      </c>
      <c r="AD19" s="742">
        <f t="shared" si="5"/>
        <v>2326903.1999999997</v>
      </c>
      <c r="AE19" s="738">
        <v>50000</v>
      </c>
      <c r="AF19" s="742">
        <f t="shared" si="6"/>
        <v>52951.237209302322</v>
      </c>
      <c r="AG19" s="743">
        <v>43</v>
      </c>
      <c r="AH19" s="742">
        <f t="shared" si="7"/>
        <v>6980709.5999999996</v>
      </c>
      <c r="AI19" s="738">
        <f t="shared" si="17"/>
        <v>0</v>
      </c>
      <c r="AJ19" s="742">
        <f t="shared" si="14"/>
        <v>-9307612.7999999989</v>
      </c>
      <c r="AL19" s="723"/>
      <c r="AM19" s="723"/>
      <c r="AN19" s="723"/>
      <c r="AO19" s="723"/>
      <c r="AP19" s="723"/>
      <c r="AQ19" s="723"/>
      <c r="AR19" s="723"/>
      <c r="AS19" s="723"/>
      <c r="AT19" s="723"/>
      <c r="AU19" s="723"/>
      <c r="AV19" s="723"/>
      <c r="AW19" s="723"/>
      <c r="AX19" s="723"/>
      <c r="AY19" s="723"/>
      <c r="AZ19" s="723"/>
      <c r="BA19" s="723"/>
      <c r="BB19" s="723"/>
      <c r="BC19" s="723"/>
      <c r="BD19" s="723"/>
      <c r="BE19" s="723"/>
      <c r="BF19" s="723"/>
      <c r="BG19" s="723"/>
      <c r="BH19" s="723"/>
      <c r="BI19" s="723"/>
      <c r="BJ19" s="723"/>
      <c r="BK19" s="723"/>
      <c r="BL19" s="723"/>
      <c r="BM19" s="723"/>
      <c r="BN19" s="723"/>
      <c r="BO19" s="723"/>
      <c r="BP19" s="723"/>
      <c r="BQ19" s="723"/>
      <c r="BR19" s="723"/>
      <c r="BS19" s="723"/>
      <c r="BT19" s="723"/>
      <c r="BU19" s="723"/>
      <c r="BV19" s="723"/>
      <c r="BW19" s="723"/>
      <c r="BX19" s="723"/>
      <c r="BY19" s="723"/>
      <c r="BZ19" s="723"/>
      <c r="CA19" s="723"/>
      <c r="CB19" s="723"/>
      <c r="CC19" s="723"/>
      <c r="CD19" s="723"/>
      <c r="CE19" s="723"/>
      <c r="CF19" s="723"/>
      <c r="CG19" s="723"/>
      <c r="CH19" s="723"/>
      <c r="CI19" s="723"/>
      <c r="CJ19" s="723"/>
      <c r="CK19" s="723"/>
      <c r="CL19" s="723"/>
      <c r="CM19" s="723"/>
      <c r="CN19" s="723"/>
      <c r="CO19" s="723"/>
      <c r="CP19" s="723"/>
      <c r="CQ19" s="723"/>
      <c r="CR19" s="723"/>
      <c r="CS19" s="723"/>
      <c r="CT19" s="723"/>
      <c r="CU19" s="723"/>
      <c r="CV19" s="723"/>
      <c r="CW19" s="723"/>
      <c r="CX19" s="723"/>
      <c r="CY19" s="723"/>
      <c r="CZ19" s="723"/>
      <c r="DA19" s="723"/>
      <c r="DB19" s="723"/>
      <c r="DC19" s="723"/>
      <c r="DD19" s="723"/>
      <c r="DE19" s="723"/>
      <c r="DF19" s="723"/>
      <c r="DG19" s="723"/>
      <c r="DH19" s="723"/>
      <c r="DI19" s="723"/>
      <c r="DJ19" s="723"/>
      <c r="DK19" s="723"/>
      <c r="DL19" s="723"/>
      <c r="DM19" s="723"/>
      <c r="DN19" s="723"/>
      <c r="DO19" s="723"/>
      <c r="DP19" s="723"/>
      <c r="DQ19" s="723"/>
      <c r="DR19" s="723"/>
      <c r="DS19" s="723"/>
      <c r="DT19" s="723"/>
      <c r="DU19" s="723"/>
      <c r="DV19" s="723"/>
      <c r="DW19" s="723"/>
      <c r="DX19" s="723"/>
      <c r="DY19" s="723"/>
      <c r="DZ19" s="723"/>
      <c r="EA19" s="723"/>
      <c r="EB19" s="723"/>
      <c r="EC19" s="723"/>
      <c r="ED19" s="723"/>
      <c r="EE19" s="723"/>
      <c r="EF19" s="723"/>
      <c r="EG19" s="723"/>
      <c r="EH19" s="723"/>
      <c r="EI19" s="723"/>
      <c r="EJ19" s="728"/>
      <c r="EK19" s="728"/>
      <c r="EL19" s="728"/>
      <c r="EM19" s="728"/>
      <c r="EN19" s="728"/>
      <c r="EO19" s="728"/>
      <c r="EP19" s="728"/>
      <c r="EQ19" s="728"/>
      <c r="ER19" s="728"/>
      <c r="ES19" s="728"/>
      <c r="EV19" s="784">
        <f t="shared" si="9"/>
        <v>117156.98468072197</v>
      </c>
    </row>
    <row r="20" spans="1:152" s="722" customFormat="1" x14ac:dyDescent="0.2">
      <c r="A20" s="993"/>
      <c r="B20" s="736">
        <v>18</v>
      </c>
      <c r="C20" s="736" t="s">
        <v>104</v>
      </c>
      <c r="D20" s="736" t="s">
        <v>106</v>
      </c>
      <c r="E20" s="736" t="s">
        <v>138</v>
      </c>
      <c r="F20" s="736" t="s">
        <v>119</v>
      </c>
      <c r="G20" s="736" t="s">
        <v>143</v>
      </c>
      <c r="H20" s="736" t="s">
        <v>109</v>
      </c>
      <c r="I20" s="740">
        <f>'[18]Collection Unsold 10.15.21'!G21</f>
        <v>83.49</v>
      </c>
      <c r="J20" s="741">
        <f>'[18]Collection Unsold 10.15.21'!H21</f>
        <v>12.309999999999999</v>
      </c>
      <c r="K20" s="740">
        <f t="shared" si="0"/>
        <v>95.8</v>
      </c>
      <c r="L20" s="742">
        <f t="shared" si="19"/>
        <v>10757400</v>
      </c>
      <c r="M20" s="742"/>
      <c r="N20" s="736">
        <v>2</v>
      </c>
      <c r="O20" s="738">
        <f t="shared" si="1"/>
        <v>83490</v>
      </c>
      <c r="P20" s="738"/>
      <c r="Q20" s="742"/>
      <c r="R20" s="738">
        <f>I20*1000</f>
        <v>83490</v>
      </c>
      <c r="S20" s="738">
        <f>I20*1000</f>
        <v>83490</v>
      </c>
      <c r="T20" s="738" t="str">
        <f t="shared" si="20"/>
        <v>CORNER</v>
      </c>
      <c r="U20" s="738"/>
      <c r="V20" s="738">
        <f t="shared" si="10"/>
        <v>250470</v>
      </c>
      <c r="W20" s="742">
        <f t="shared" si="11"/>
        <v>11007870</v>
      </c>
      <c r="X20" s="742">
        <f t="shared" si="12"/>
        <v>660472.19999999995</v>
      </c>
      <c r="Y20" s="742">
        <f t="shared" si="13"/>
        <v>275196.75</v>
      </c>
      <c r="Z20" s="742">
        <f t="shared" si="2"/>
        <v>1320944.3999999999</v>
      </c>
      <c r="AA20" s="742">
        <f t="shared" si="3"/>
        <v>13264483.35</v>
      </c>
      <c r="AB20" s="742">
        <f t="shared" si="4"/>
        <v>138460.16022964509</v>
      </c>
      <c r="AC20" s="739">
        <v>0.25</v>
      </c>
      <c r="AD20" s="742">
        <f t="shared" si="5"/>
        <v>3316120.8374999999</v>
      </c>
      <c r="AE20" s="738">
        <v>50000</v>
      </c>
      <c r="AF20" s="742">
        <f t="shared" si="6"/>
        <v>75956.298546511622</v>
      </c>
      <c r="AG20" s="743">
        <v>43</v>
      </c>
      <c r="AH20" s="742">
        <f t="shared" si="7"/>
        <v>9948362.5124999993</v>
      </c>
      <c r="AI20" s="738">
        <f t="shared" si="17"/>
        <v>0</v>
      </c>
      <c r="AJ20" s="742">
        <f t="shared" si="14"/>
        <v>-13264483.35</v>
      </c>
      <c r="AL20" s="723"/>
      <c r="AM20" s="723"/>
      <c r="AN20" s="723"/>
      <c r="AO20" s="723"/>
      <c r="AP20" s="723"/>
      <c r="AQ20" s="723"/>
      <c r="AR20" s="723"/>
      <c r="AS20" s="723"/>
      <c r="AT20" s="723"/>
      <c r="AU20" s="723"/>
      <c r="AV20" s="723"/>
      <c r="AW20" s="723"/>
      <c r="AX20" s="723"/>
      <c r="AY20" s="723"/>
      <c r="AZ20" s="723"/>
      <c r="BA20" s="723"/>
      <c r="BB20" s="723"/>
      <c r="BC20" s="723"/>
      <c r="BD20" s="723"/>
      <c r="BE20" s="723"/>
      <c r="BF20" s="723"/>
      <c r="BG20" s="723"/>
      <c r="BH20" s="723"/>
      <c r="BI20" s="723"/>
      <c r="BJ20" s="723"/>
      <c r="BK20" s="723"/>
      <c r="BL20" s="723"/>
      <c r="BM20" s="723"/>
      <c r="BN20" s="723"/>
      <c r="BO20" s="723"/>
      <c r="BP20" s="723"/>
      <c r="BQ20" s="723"/>
      <c r="BR20" s="723"/>
      <c r="BS20" s="723"/>
      <c r="BT20" s="723"/>
      <c r="BU20" s="723"/>
      <c r="BV20" s="723"/>
      <c r="BW20" s="723"/>
      <c r="BX20" s="723"/>
      <c r="BY20" s="723"/>
      <c r="BZ20" s="723"/>
      <c r="CA20" s="723"/>
      <c r="CB20" s="723"/>
      <c r="CC20" s="723"/>
      <c r="CD20" s="723"/>
      <c r="CE20" s="723"/>
      <c r="CF20" s="723"/>
      <c r="CG20" s="723"/>
      <c r="CH20" s="723"/>
      <c r="CI20" s="723"/>
      <c r="CJ20" s="723"/>
      <c r="CK20" s="723"/>
      <c r="CL20" s="723"/>
      <c r="CM20" s="723"/>
      <c r="CN20" s="723"/>
      <c r="CO20" s="723"/>
      <c r="CP20" s="723"/>
      <c r="CQ20" s="723"/>
      <c r="CR20" s="723"/>
      <c r="CS20" s="723"/>
      <c r="CT20" s="723"/>
      <c r="CU20" s="723"/>
      <c r="CV20" s="723"/>
      <c r="CW20" s="723"/>
      <c r="CX20" s="723"/>
      <c r="CY20" s="723"/>
      <c r="CZ20" s="723"/>
      <c r="DA20" s="723"/>
      <c r="DB20" s="723"/>
      <c r="DC20" s="723"/>
      <c r="DD20" s="723"/>
      <c r="DE20" s="723"/>
      <c r="DF20" s="723"/>
      <c r="DG20" s="723"/>
      <c r="DH20" s="723"/>
      <c r="DI20" s="723"/>
      <c r="DJ20" s="723"/>
      <c r="DK20" s="723"/>
      <c r="DL20" s="723"/>
      <c r="DM20" s="723"/>
      <c r="DN20" s="723"/>
      <c r="DO20" s="723"/>
      <c r="DP20" s="723"/>
      <c r="DQ20" s="723"/>
      <c r="DR20" s="723"/>
      <c r="DS20" s="723"/>
      <c r="DT20" s="723"/>
      <c r="DU20" s="723"/>
      <c r="DV20" s="723"/>
      <c r="DW20" s="723"/>
      <c r="DX20" s="723"/>
      <c r="DY20" s="723"/>
      <c r="DZ20" s="723"/>
      <c r="EA20" s="723"/>
      <c r="EB20" s="723"/>
      <c r="EC20" s="723"/>
      <c r="ED20" s="723"/>
      <c r="EE20" s="723"/>
      <c r="EF20" s="723"/>
      <c r="EG20" s="723"/>
      <c r="EH20" s="723"/>
      <c r="EI20" s="723"/>
      <c r="EJ20" s="728"/>
      <c r="EK20" s="728"/>
      <c r="EL20" s="728"/>
      <c r="EM20" s="728"/>
      <c r="EN20" s="728"/>
      <c r="EO20" s="728"/>
      <c r="EP20" s="728"/>
      <c r="EQ20" s="728"/>
      <c r="ER20" s="728"/>
      <c r="ES20" s="728"/>
      <c r="EV20" s="784">
        <f t="shared" si="9"/>
        <v>114904.69728601252</v>
      </c>
    </row>
    <row r="21" spans="1:152" s="722" customFormat="1" x14ac:dyDescent="0.2">
      <c r="A21" s="993"/>
      <c r="B21" s="736">
        <v>19</v>
      </c>
      <c r="C21" s="736" t="s">
        <v>104</v>
      </c>
      <c r="D21" s="736" t="s">
        <v>106</v>
      </c>
      <c r="E21" s="736" t="s">
        <v>138</v>
      </c>
      <c r="F21" s="736" t="s">
        <v>121</v>
      </c>
      <c r="G21" s="736" t="s">
        <v>144</v>
      </c>
      <c r="H21" s="736" t="s">
        <v>109</v>
      </c>
      <c r="I21" s="740">
        <f>'[18]Collection Unsold 10.15.21'!G22</f>
        <v>61.03</v>
      </c>
      <c r="J21" s="741">
        <f>'[18]Collection Unsold 10.15.21'!H22</f>
        <v>4.1900000000000004</v>
      </c>
      <c r="K21" s="740">
        <f t="shared" si="0"/>
        <v>65.22</v>
      </c>
      <c r="L21" s="742">
        <f t="shared" si="19"/>
        <v>7575000</v>
      </c>
      <c r="M21" s="742"/>
      <c r="N21" s="736">
        <v>2</v>
      </c>
      <c r="O21" s="738">
        <f t="shared" si="1"/>
        <v>61030</v>
      </c>
      <c r="P21" s="738"/>
      <c r="Q21" s="742"/>
      <c r="R21" s="738"/>
      <c r="S21" s="738"/>
      <c r="T21" s="738" t="str">
        <f t="shared" si="20"/>
        <v>INNER</v>
      </c>
      <c r="U21" s="738"/>
      <c r="V21" s="738">
        <f t="shared" si="10"/>
        <v>61030</v>
      </c>
      <c r="W21" s="742">
        <f t="shared" si="11"/>
        <v>7636030</v>
      </c>
      <c r="X21" s="742">
        <f t="shared" si="12"/>
        <v>458161.8</v>
      </c>
      <c r="Y21" s="742">
        <f t="shared" si="13"/>
        <v>190900.75</v>
      </c>
      <c r="Z21" s="742">
        <f t="shared" si="2"/>
        <v>916323.6</v>
      </c>
      <c r="AA21" s="742">
        <f t="shared" si="3"/>
        <v>9201416.1500000004</v>
      </c>
      <c r="AB21" s="742">
        <f t="shared" si="4"/>
        <v>141082.73765716038</v>
      </c>
      <c r="AC21" s="739">
        <v>0.25</v>
      </c>
      <c r="AD21" s="742">
        <f t="shared" si="5"/>
        <v>2300354.0375000001</v>
      </c>
      <c r="AE21" s="738">
        <v>50000</v>
      </c>
      <c r="AF21" s="742">
        <f t="shared" si="6"/>
        <v>52333.814825581394</v>
      </c>
      <c r="AG21" s="743">
        <v>43</v>
      </c>
      <c r="AH21" s="742">
        <f t="shared" si="7"/>
        <v>6901062.1125000007</v>
      </c>
      <c r="AI21" s="738">
        <f t="shared" si="17"/>
        <v>0</v>
      </c>
      <c r="AJ21" s="742">
        <f t="shared" si="14"/>
        <v>-9201416.1500000004</v>
      </c>
      <c r="AL21" s="723"/>
      <c r="AM21" s="723"/>
      <c r="AN21" s="723"/>
      <c r="AO21" s="723"/>
      <c r="AP21" s="723"/>
      <c r="AQ21" s="723"/>
      <c r="AR21" s="723"/>
      <c r="AS21" s="723"/>
      <c r="AT21" s="723"/>
      <c r="AU21" s="723"/>
      <c r="AV21" s="723"/>
      <c r="AW21" s="723"/>
      <c r="AX21" s="723"/>
      <c r="AY21" s="723"/>
      <c r="AZ21" s="723"/>
      <c r="BA21" s="723"/>
      <c r="BB21" s="723"/>
      <c r="BC21" s="723"/>
      <c r="BD21" s="723"/>
      <c r="BE21" s="723"/>
      <c r="BF21" s="723"/>
      <c r="BG21" s="723"/>
      <c r="BH21" s="723"/>
      <c r="BI21" s="723"/>
      <c r="BJ21" s="723"/>
      <c r="BK21" s="723"/>
      <c r="BL21" s="723"/>
      <c r="BM21" s="723"/>
      <c r="BN21" s="723"/>
      <c r="BO21" s="723"/>
      <c r="BP21" s="723"/>
      <c r="BQ21" s="723"/>
      <c r="BR21" s="723"/>
      <c r="BS21" s="723"/>
      <c r="BT21" s="723"/>
      <c r="BU21" s="723"/>
      <c r="BV21" s="723"/>
      <c r="BW21" s="723"/>
      <c r="BX21" s="723"/>
      <c r="BY21" s="723"/>
      <c r="BZ21" s="723"/>
      <c r="CA21" s="723"/>
      <c r="CB21" s="723"/>
      <c r="CC21" s="723"/>
      <c r="CD21" s="723"/>
      <c r="CE21" s="723"/>
      <c r="CF21" s="723"/>
      <c r="CG21" s="723"/>
      <c r="CH21" s="723"/>
      <c r="CI21" s="723"/>
      <c r="CJ21" s="723"/>
      <c r="CK21" s="723"/>
      <c r="CL21" s="723"/>
      <c r="CM21" s="723"/>
      <c r="CN21" s="723"/>
      <c r="CO21" s="723"/>
      <c r="CP21" s="723"/>
      <c r="CQ21" s="723"/>
      <c r="CR21" s="723"/>
      <c r="CS21" s="723"/>
      <c r="CT21" s="723"/>
      <c r="CU21" s="723"/>
      <c r="CV21" s="723"/>
      <c r="CW21" s="723"/>
      <c r="CX21" s="723"/>
      <c r="CY21" s="723"/>
      <c r="CZ21" s="723"/>
      <c r="DA21" s="723"/>
      <c r="DB21" s="723"/>
      <c r="DC21" s="723"/>
      <c r="DD21" s="723"/>
      <c r="DE21" s="723"/>
      <c r="DF21" s="723"/>
      <c r="DG21" s="723"/>
      <c r="DH21" s="723"/>
      <c r="DI21" s="723"/>
      <c r="DJ21" s="723"/>
      <c r="DK21" s="723"/>
      <c r="DL21" s="723"/>
      <c r="DM21" s="723"/>
      <c r="DN21" s="723"/>
      <c r="DO21" s="723"/>
      <c r="DP21" s="723"/>
      <c r="DQ21" s="723"/>
      <c r="DR21" s="723"/>
      <c r="DS21" s="723"/>
      <c r="DT21" s="723"/>
      <c r="DU21" s="723"/>
      <c r="DV21" s="723"/>
      <c r="DW21" s="723"/>
      <c r="DX21" s="723"/>
      <c r="DY21" s="723"/>
      <c r="DZ21" s="723"/>
      <c r="EA21" s="723"/>
      <c r="EB21" s="723"/>
      <c r="EC21" s="723"/>
      <c r="ED21" s="723"/>
      <c r="EE21" s="723"/>
      <c r="EF21" s="723"/>
      <c r="EG21" s="723"/>
      <c r="EH21" s="723"/>
      <c r="EI21" s="723"/>
      <c r="EJ21" s="728"/>
      <c r="EK21" s="728"/>
      <c r="EL21" s="728"/>
      <c r="EM21" s="728"/>
      <c r="EN21" s="728"/>
      <c r="EO21" s="728"/>
      <c r="EP21" s="728"/>
      <c r="EQ21" s="728"/>
      <c r="ER21" s="728"/>
      <c r="ES21" s="728"/>
      <c r="EV21" s="784">
        <f t="shared" si="9"/>
        <v>117081.11008892978</v>
      </c>
    </row>
    <row r="22" spans="1:152" s="722" customFormat="1" x14ac:dyDescent="0.2">
      <c r="A22" s="993"/>
      <c r="B22" s="736">
        <v>20</v>
      </c>
      <c r="C22" s="736" t="s">
        <v>104</v>
      </c>
      <c r="D22" s="736" t="s">
        <v>106</v>
      </c>
      <c r="E22" s="736" t="s">
        <v>138</v>
      </c>
      <c r="F22" s="736" t="s">
        <v>123</v>
      </c>
      <c r="G22" s="736" t="s">
        <v>145</v>
      </c>
      <c r="H22" s="736" t="s">
        <v>109</v>
      </c>
      <c r="I22" s="740">
        <f>'[18]Collection Unsold 10.15.21'!G23</f>
        <v>94.79</v>
      </c>
      <c r="J22" s="741">
        <f>'[18]Collection Unsold 10.15.21'!H23</f>
        <v>11.260000000000002</v>
      </c>
      <c r="K22" s="740">
        <f t="shared" si="0"/>
        <v>106.05000000000001</v>
      </c>
      <c r="L22" s="742">
        <f t="shared" si="19"/>
        <v>12050400</v>
      </c>
      <c r="M22" s="742"/>
      <c r="N22" s="736">
        <v>2</v>
      </c>
      <c r="O22" s="738">
        <f t="shared" si="1"/>
        <v>94790</v>
      </c>
      <c r="P22" s="738"/>
      <c r="Q22" s="742"/>
      <c r="R22" s="738">
        <f>I22*1000</f>
        <v>94790</v>
      </c>
      <c r="S22" s="738"/>
      <c r="T22" s="738" t="str">
        <f t="shared" si="20"/>
        <v>CORNER</v>
      </c>
      <c r="U22" s="738"/>
      <c r="V22" s="738">
        <f t="shared" si="10"/>
        <v>189580</v>
      </c>
      <c r="W22" s="742">
        <f t="shared" si="11"/>
        <v>12239980</v>
      </c>
      <c r="X22" s="742">
        <f t="shared" si="12"/>
        <v>734398.79999999993</v>
      </c>
      <c r="Y22" s="742">
        <f t="shared" si="13"/>
        <v>305999.5</v>
      </c>
      <c r="Z22" s="742">
        <f t="shared" si="2"/>
        <v>1468797.5999999999</v>
      </c>
      <c r="AA22" s="742">
        <f t="shared" si="3"/>
        <v>14749175.9</v>
      </c>
      <c r="AB22" s="742">
        <f t="shared" si="4"/>
        <v>139077.56624233851</v>
      </c>
      <c r="AC22" s="739">
        <v>0.25</v>
      </c>
      <c r="AD22" s="742">
        <f t="shared" si="5"/>
        <v>3687293.9750000001</v>
      </c>
      <c r="AE22" s="738">
        <v>50000</v>
      </c>
      <c r="AF22" s="742">
        <f t="shared" si="6"/>
        <v>84588.231976744195</v>
      </c>
      <c r="AG22" s="743">
        <v>43</v>
      </c>
      <c r="AH22" s="742">
        <f t="shared" si="7"/>
        <v>11061881.925000001</v>
      </c>
      <c r="AI22" s="738">
        <f t="shared" si="17"/>
        <v>0</v>
      </c>
      <c r="AJ22" s="742">
        <f t="shared" si="14"/>
        <v>-14749175.9</v>
      </c>
      <c r="AL22" s="723"/>
      <c r="AM22" s="723"/>
      <c r="AN22" s="723"/>
      <c r="AO22" s="723"/>
      <c r="AP22" s="723"/>
      <c r="AQ22" s="723"/>
      <c r="AR22" s="723"/>
      <c r="AS22" s="723"/>
      <c r="AT22" s="723"/>
      <c r="AU22" s="723"/>
      <c r="AV22" s="723"/>
      <c r="AW22" s="723"/>
      <c r="AX22" s="723"/>
      <c r="AY22" s="723"/>
      <c r="AZ22" s="723"/>
      <c r="BA22" s="723"/>
      <c r="BB22" s="723"/>
      <c r="BC22" s="723"/>
      <c r="BD22" s="723"/>
      <c r="BE22" s="723"/>
      <c r="BF22" s="723"/>
      <c r="BG22" s="723"/>
      <c r="BH22" s="723"/>
      <c r="BI22" s="723"/>
      <c r="BJ22" s="723"/>
      <c r="BK22" s="723"/>
      <c r="BL22" s="723"/>
      <c r="BM22" s="723"/>
      <c r="BN22" s="723"/>
      <c r="BO22" s="723"/>
      <c r="BP22" s="723"/>
      <c r="BQ22" s="723"/>
      <c r="BR22" s="723"/>
      <c r="BS22" s="723"/>
      <c r="BT22" s="723"/>
      <c r="BU22" s="723"/>
      <c r="BV22" s="723"/>
      <c r="BW22" s="723"/>
      <c r="BX22" s="723"/>
      <c r="BY22" s="723"/>
      <c r="BZ22" s="723"/>
      <c r="CA22" s="723"/>
      <c r="CB22" s="723"/>
      <c r="CC22" s="723"/>
      <c r="CD22" s="723"/>
      <c r="CE22" s="723"/>
      <c r="CF22" s="723"/>
      <c r="CG22" s="723"/>
      <c r="CH22" s="723"/>
      <c r="CI22" s="723"/>
      <c r="CJ22" s="723"/>
      <c r="CK22" s="723"/>
      <c r="CL22" s="723"/>
      <c r="CM22" s="723"/>
      <c r="CN22" s="723"/>
      <c r="CO22" s="723"/>
      <c r="CP22" s="723"/>
      <c r="CQ22" s="723"/>
      <c r="CR22" s="723"/>
      <c r="CS22" s="723"/>
      <c r="CT22" s="723"/>
      <c r="CU22" s="723"/>
      <c r="CV22" s="723"/>
      <c r="CW22" s="723"/>
      <c r="CX22" s="723"/>
      <c r="CY22" s="723"/>
      <c r="CZ22" s="723"/>
      <c r="DA22" s="723"/>
      <c r="DB22" s="723"/>
      <c r="DC22" s="723"/>
      <c r="DD22" s="723"/>
      <c r="DE22" s="723"/>
      <c r="DF22" s="723"/>
      <c r="DG22" s="723"/>
      <c r="DH22" s="723"/>
      <c r="DI22" s="723"/>
      <c r="DJ22" s="723"/>
      <c r="DK22" s="723"/>
      <c r="DL22" s="723"/>
      <c r="DM22" s="723"/>
      <c r="DN22" s="723"/>
      <c r="DO22" s="723"/>
      <c r="DP22" s="723"/>
      <c r="DQ22" s="723"/>
      <c r="DR22" s="723"/>
      <c r="DS22" s="723"/>
      <c r="DT22" s="723"/>
      <c r="DU22" s="723"/>
      <c r="DV22" s="723"/>
      <c r="DW22" s="723"/>
      <c r="DX22" s="723"/>
      <c r="DY22" s="723"/>
      <c r="DZ22" s="723"/>
      <c r="EA22" s="723"/>
      <c r="EB22" s="723"/>
      <c r="EC22" s="723"/>
      <c r="ED22" s="723"/>
      <c r="EE22" s="723"/>
      <c r="EF22" s="723"/>
      <c r="EG22" s="723"/>
      <c r="EH22" s="723"/>
      <c r="EI22" s="723"/>
      <c r="EJ22" s="728"/>
      <c r="EK22" s="728"/>
      <c r="EL22" s="728"/>
      <c r="EM22" s="728"/>
      <c r="EN22" s="728"/>
      <c r="EO22" s="728"/>
      <c r="EP22" s="728"/>
      <c r="EQ22" s="728"/>
      <c r="ER22" s="728"/>
      <c r="ES22" s="728"/>
      <c r="EV22" s="784">
        <f t="shared" si="9"/>
        <v>115417.06742102781</v>
      </c>
    </row>
    <row r="23" spans="1:152" s="722" customFormat="1" x14ac:dyDescent="0.2">
      <c r="A23" s="993"/>
      <c r="B23" s="736">
        <v>21</v>
      </c>
      <c r="C23" s="736" t="s">
        <v>104</v>
      </c>
      <c r="D23" s="736" t="s">
        <v>106</v>
      </c>
      <c r="E23" s="736" t="s">
        <v>138</v>
      </c>
      <c r="F23" s="736" t="s">
        <v>125</v>
      </c>
      <c r="G23" s="736" t="s">
        <v>146</v>
      </c>
      <c r="H23" s="736" t="s">
        <v>109</v>
      </c>
      <c r="I23" s="740">
        <f>'[18]Collection Unsold 10.15.21'!G24</f>
        <v>67.790000000000006</v>
      </c>
      <c r="J23" s="741">
        <f>'[18]Collection Unsold 10.15.21'!H24</f>
        <v>4.2</v>
      </c>
      <c r="K23" s="740">
        <f t="shared" si="0"/>
        <v>71.990000000000009</v>
      </c>
      <c r="L23" s="742">
        <f t="shared" si="19"/>
        <v>8386800.0000000009</v>
      </c>
      <c r="M23" s="742"/>
      <c r="N23" s="736">
        <v>2</v>
      </c>
      <c r="O23" s="738">
        <f t="shared" si="1"/>
        <v>67790</v>
      </c>
      <c r="P23" s="738"/>
      <c r="Q23" s="742"/>
      <c r="R23" s="738"/>
      <c r="S23" s="738"/>
      <c r="T23" s="738" t="str">
        <f t="shared" si="20"/>
        <v>INNER</v>
      </c>
      <c r="U23" s="738"/>
      <c r="V23" s="738">
        <f t="shared" si="10"/>
        <v>67790</v>
      </c>
      <c r="W23" s="742">
        <f t="shared" si="11"/>
        <v>8454590</v>
      </c>
      <c r="X23" s="742">
        <f t="shared" si="12"/>
        <v>507275.39999999997</v>
      </c>
      <c r="Y23" s="742">
        <f t="shared" si="13"/>
        <v>211364.75</v>
      </c>
      <c r="Z23" s="742">
        <f t="shared" si="2"/>
        <v>1014550.7999999999</v>
      </c>
      <c r="AA23" s="742">
        <f t="shared" si="3"/>
        <v>10187780.950000001</v>
      </c>
      <c r="AB23" s="742">
        <f t="shared" si="4"/>
        <v>141516.61272398944</v>
      </c>
      <c r="AC23" s="739">
        <v>0.25</v>
      </c>
      <c r="AD23" s="742">
        <f t="shared" si="5"/>
        <v>2546945.2375000003</v>
      </c>
      <c r="AE23" s="738">
        <v>50000</v>
      </c>
      <c r="AF23" s="742">
        <f t="shared" si="6"/>
        <v>58068.493895348845</v>
      </c>
      <c r="AG23" s="743">
        <v>43</v>
      </c>
      <c r="AH23" s="742">
        <f t="shared" si="7"/>
        <v>7640835.7125000004</v>
      </c>
      <c r="AI23" s="738">
        <f t="shared" si="17"/>
        <v>0</v>
      </c>
      <c r="AJ23" s="742">
        <f t="shared" si="14"/>
        <v>-10187780.950000001</v>
      </c>
      <c r="AL23" s="723"/>
      <c r="AM23" s="723"/>
      <c r="AN23" s="723"/>
      <c r="AO23" s="723"/>
      <c r="AP23" s="723"/>
      <c r="AQ23" s="723"/>
      <c r="AR23" s="723"/>
      <c r="AS23" s="723"/>
      <c r="AT23" s="723"/>
      <c r="AU23" s="723"/>
      <c r="AV23" s="723"/>
      <c r="AW23" s="723"/>
      <c r="AX23" s="723"/>
      <c r="AY23" s="723"/>
      <c r="AZ23" s="723"/>
      <c r="BA23" s="723"/>
      <c r="BB23" s="723"/>
      <c r="BC23" s="723"/>
      <c r="BD23" s="723"/>
      <c r="BE23" s="723"/>
      <c r="BF23" s="723"/>
      <c r="BG23" s="723"/>
      <c r="BH23" s="723"/>
      <c r="BI23" s="723"/>
      <c r="BJ23" s="723"/>
      <c r="BK23" s="723"/>
      <c r="BL23" s="723"/>
      <c r="BM23" s="723"/>
      <c r="BN23" s="723"/>
      <c r="BO23" s="723"/>
      <c r="BP23" s="723"/>
      <c r="BQ23" s="723"/>
      <c r="BR23" s="723"/>
      <c r="BS23" s="723"/>
      <c r="BT23" s="723"/>
      <c r="BU23" s="723"/>
      <c r="BV23" s="723"/>
      <c r="BW23" s="723"/>
      <c r="BX23" s="723"/>
      <c r="BY23" s="723"/>
      <c r="BZ23" s="723"/>
      <c r="CA23" s="723"/>
      <c r="CB23" s="723"/>
      <c r="CC23" s="723"/>
      <c r="CD23" s="723"/>
      <c r="CE23" s="723"/>
      <c r="CF23" s="723"/>
      <c r="CG23" s="723"/>
      <c r="CH23" s="723"/>
      <c r="CI23" s="723"/>
      <c r="CJ23" s="723"/>
      <c r="CK23" s="723"/>
      <c r="CL23" s="723"/>
      <c r="CM23" s="723"/>
      <c r="CN23" s="723"/>
      <c r="CO23" s="723"/>
      <c r="CP23" s="723"/>
      <c r="CQ23" s="723"/>
      <c r="CR23" s="723"/>
      <c r="CS23" s="723"/>
      <c r="CT23" s="723"/>
      <c r="CU23" s="723"/>
      <c r="CV23" s="723"/>
      <c r="CW23" s="723"/>
      <c r="CX23" s="723"/>
      <c r="CY23" s="723"/>
      <c r="CZ23" s="723"/>
      <c r="DA23" s="723"/>
      <c r="DB23" s="723"/>
      <c r="DC23" s="723"/>
      <c r="DD23" s="723"/>
      <c r="DE23" s="723"/>
      <c r="DF23" s="723"/>
      <c r="DG23" s="723"/>
      <c r="DH23" s="723"/>
      <c r="DI23" s="723"/>
      <c r="DJ23" s="723"/>
      <c r="DK23" s="723"/>
      <c r="DL23" s="723"/>
      <c r="DM23" s="723"/>
      <c r="DN23" s="723"/>
      <c r="DO23" s="723"/>
      <c r="DP23" s="723"/>
      <c r="DQ23" s="723"/>
      <c r="DR23" s="723"/>
      <c r="DS23" s="723"/>
      <c r="DT23" s="723"/>
      <c r="DU23" s="723"/>
      <c r="DV23" s="723"/>
      <c r="DW23" s="723"/>
      <c r="DX23" s="723"/>
      <c r="DY23" s="723"/>
      <c r="DZ23" s="723"/>
      <c r="EA23" s="723"/>
      <c r="EB23" s="723"/>
      <c r="EC23" s="723"/>
      <c r="ED23" s="723"/>
      <c r="EE23" s="723"/>
      <c r="EF23" s="723"/>
      <c r="EG23" s="723"/>
      <c r="EH23" s="723"/>
      <c r="EI23" s="723"/>
      <c r="EJ23" s="728"/>
      <c r="EK23" s="728"/>
      <c r="EL23" s="728"/>
      <c r="EM23" s="728"/>
      <c r="EN23" s="728"/>
      <c r="EO23" s="728"/>
      <c r="EP23" s="728"/>
      <c r="EQ23" s="728"/>
      <c r="ER23" s="728"/>
      <c r="ES23" s="728"/>
      <c r="EV23" s="784">
        <f t="shared" si="9"/>
        <v>117441.17238505346</v>
      </c>
    </row>
    <row r="24" spans="1:152" s="722" customFormat="1" x14ac:dyDescent="0.2">
      <c r="A24" s="993"/>
      <c r="B24" s="736">
        <v>22</v>
      </c>
      <c r="C24" s="736" t="s">
        <v>104</v>
      </c>
      <c r="D24" s="736" t="s">
        <v>106</v>
      </c>
      <c r="E24" s="736" t="s">
        <v>138</v>
      </c>
      <c r="F24" s="736" t="s">
        <v>127</v>
      </c>
      <c r="G24" s="736" t="s">
        <v>147</v>
      </c>
      <c r="H24" s="736" t="s">
        <v>109</v>
      </c>
      <c r="I24" s="740">
        <f>'[18]Collection Unsold 10.15.21'!G25</f>
        <v>67.72</v>
      </c>
      <c r="J24" s="741">
        <f>'[18]Collection Unsold 10.15.21'!H25</f>
        <v>4.2</v>
      </c>
      <c r="K24" s="740">
        <f t="shared" si="0"/>
        <v>71.92</v>
      </c>
      <c r="L24" s="742">
        <f t="shared" si="19"/>
        <v>8378400</v>
      </c>
      <c r="M24" s="742"/>
      <c r="N24" s="736">
        <v>2</v>
      </c>
      <c r="O24" s="738">
        <f t="shared" si="1"/>
        <v>67720</v>
      </c>
      <c r="P24" s="738"/>
      <c r="Q24" s="742"/>
      <c r="R24" s="738"/>
      <c r="S24" s="738"/>
      <c r="T24" s="738" t="str">
        <f t="shared" si="20"/>
        <v>INNER</v>
      </c>
      <c r="U24" s="738"/>
      <c r="V24" s="738">
        <f t="shared" si="10"/>
        <v>67720</v>
      </c>
      <c r="W24" s="742">
        <f t="shared" si="11"/>
        <v>8446120</v>
      </c>
      <c r="X24" s="742">
        <f t="shared" si="12"/>
        <v>506767.19999999995</v>
      </c>
      <c r="Y24" s="742">
        <f t="shared" si="13"/>
        <v>211153</v>
      </c>
      <c r="Z24" s="742">
        <f t="shared" si="2"/>
        <v>1013534.3999999999</v>
      </c>
      <c r="AA24" s="742">
        <f t="shared" si="3"/>
        <v>10177574.6</v>
      </c>
      <c r="AB24" s="742">
        <f t="shared" si="4"/>
        <v>141512.43882091212</v>
      </c>
      <c r="AC24" s="739">
        <v>0.25</v>
      </c>
      <c r="AD24" s="742">
        <f t="shared" si="5"/>
        <v>2544393.65</v>
      </c>
      <c r="AE24" s="738">
        <v>50000</v>
      </c>
      <c r="AF24" s="742">
        <f t="shared" si="6"/>
        <v>58009.154651162789</v>
      </c>
      <c r="AG24" s="743">
        <v>43</v>
      </c>
      <c r="AH24" s="742">
        <f t="shared" si="7"/>
        <v>7633180.9499999993</v>
      </c>
      <c r="AI24" s="738">
        <f t="shared" si="17"/>
        <v>0</v>
      </c>
      <c r="AJ24" s="742">
        <f t="shared" si="14"/>
        <v>-10177574.6</v>
      </c>
      <c r="AL24" s="723"/>
      <c r="AM24" s="723"/>
      <c r="AN24" s="723"/>
      <c r="AO24" s="723"/>
      <c r="AP24" s="723"/>
      <c r="AQ24" s="723"/>
      <c r="AR24" s="723"/>
      <c r="AS24" s="723"/>
      <c r="AT24" s="723"/>
      <c r="AU24" s="723"/>
      <c r="AV24" s="723"/>
      <c r="AW24" s="723"/>
      <c r="AX24" s="723"/>
      <c r="AY24" s="723"/>
      <c r="AZ24" s="723"/>
      <c r="BA24" s="723"/>
      <c r="BB24" s="723"/>
      <c r="BC24" s="723"/>
      <c r="BD24" s="723"/>
      <c r="BE24" s="723"/>
      <c r="BF24" s="723"/>
      <c r="BG24" s="723"/>
      <c r="BH24" s="723"/>
      <c r="BI24" s="723"/>
      <c r="BJ24" s="723"/>
      <c r="BK24" s="723"/>
      <c r="BL24" s="723"/>
      <c r="BM24" s="723"/>
      <c r="BN24" s="723"/>
      <c r="BO24" s="723"/>
      <c r="BP24" s="723"/>
      <c r="BQ24" s="723"/>
      <c r="BR24" s="723"/>
      <c r="BS24" s="723"/>
      <c r="BT24" s="723"/>
      <c r="BU24" s="723"/>
      <c r="BV24" s="723"/>
      <c r="BW24" s="723"/>
      <c r="BX24" s="723"/>
      <c r="BY24" s="723"/>
      <c r="BZ24" s="723"/>
      <c r="CA24" s="723"/>
      <c r="CB24" s="723"/>
      <c r="CC24" s="723"/>
      <c r="CD24" s="723"/>
      <c r="CE24" s="723"/>
      <c r="CF24" s="723"/>
      <c r="CG24" s="723"/>
      <c r="CH24" s="723"/>
      <c r="CI24" s="723"/>
      <c r="CJ24" s="723"/>
      <c r="CK24" s="723"/>
      <c r="CL24" s="723"/>
      <c r="CM24" s="723"/>
      <c r="CN24" s="723"/>
      <c r="CO24" s="723"/>
      <c r="CP24" s="723"/>
      <c r="CQ24" s="723"/>
      <c r="CR24" s="723"/>
      <c r="CS24" s="723"/>
      <c r="CT24" s="723"/>
      <c r="CU24" s="723"/>
      <c r="CV24" s="723"/>
      <c r="CW24" s="723"/>
      <c r="CX24" s="723"/>
      <c r="CY24" s="723"/>
      <c r="CZ24" s="723"/>
      <c r="DA24" s="723"/>
      <c r="DB24" s="723"/>
      <c r="DC24" s="723"/>
      <c r="DD24" s="723"/>
      <c r="DE24" s="723"/>
      <c r="DF24" s="723"/>
      <c r="DG24" s="723"/>
      <c r="DH24" s="723"/>
      <c r="DI24" s="723"/>
      <c r="DJ24" s="723"/>
      <c r="DK24" s="723"/>
      <c r="DL24" s="723"/>
      <c r="DM24" s="723"/>
      <c r="DN24" s="723"/>
      <c r="DO24" s="723"/>
      <c r="DP24" s="723"/>
      <c r="DQ24" s="723"/>
      <c r="DR24" s="723"/>
      <c r="DS24" s="723"/>
      <c r="DT24" s="723"/>
      <c r="DU24" s="723"/>
      <c r="DV24" s="723"/>
      <c r="DW24" s="723"/>
      <c r="DX24" s="723"/>
      <c r="DY24" s="723"/>
      <c r="DZ24" s="723"/>
      <c r="EA24" s="723"/>
      <c r="EB24" s="723"/>
      <c r="EC24" s="723"/>
      <c r="ED24" s="723"/>
      <c r="EE24" s="723"/>
      <c r="EF24" s="723"/>
      <c r="EG24" s="723"/>
      <c r="EH24" s="723"/>
      <c r="EI24" s="723"/>
      <c r="EJ24" s="728"/>
      <c r="EK24" s="728"/>
      <c r="EL24" s="728"/>
      <c r="EM24" s="728"/>
      <c r="EN24" s="728"/>
      <c r="EO24" s="728"/>
      <c r="EP24" s="728"/>
      <c r="EQ24" s="728"/>
      <c r="ER24" s="728"/>
      <c r="ES24" s="728"/>
      <c r="EV24" s="784">
        <f t="shared" si="9"/>
        <v>117437.7085650723</v>
      </c>
    </row>
    <row r="25" spans="1:152" s="722" customFormat="1" x14ac:dyDescent="0.2">
      <c r="A25" s="993"/>
      <c r="B25" s="736">
        <v>23</v>
      </c>
      <c r="C25" s="736" t="s">
        <v>104</v>
      </c>
      <c r="D25" s="736" t="s">
        <v>106</v>
      </c>
      <c r="E25" s="736" t="s">
        <v>138</v>
      </c>
      <c r="F25" s="736" t="s">
        <v>129</v>
      </c>
      <c r="G25" s="736" t="s">
        <v>148</v>
      </c>
      <c r="H25" s="736" t="s">
        <v>109</v>
      </c>
      <c r="I25" s="740">
        <f>'[18]Collection Unsold 10.15.21'!G26</f>
        <v>67.72</v>
      </c>
      <c r="J25" s="741">
        <f>'[18]Collection Unsold 10.15.21'!H26</f>
        <v>4.2</v>
      </c>
      <c r="K25" s="740">
        <f t="shared" si="0"/>
        <v>71.92</v>
      </c>
      <c r="L25" s="742">
        <f t="shared" si="19"/>
        <v>8378400</v>
      </c>
      <c r="M25" s="742"/>
      <c r="N25" s="736">
        <v>2</v>
      </c>
      <c r="O25" s="738">
        <f t="shared" si="1"/>
        <v>67720</v>
      </c>
      <c r="P25" s="738"/>
      <c r="Q25" s="742"/>
      <c r="R25" s="738"/>
      <c r="S25" s="738"/>
      <c r="T25" s="738" t="str">
        <f t="shared" si="20"/>
        <v>INNER</v>
      </c>
      <c r="U25" s="738"/>
      <c r="V25" s="738">
        <f t="shared" si="10"/>
        <v>67720</v>
      </c>
      <c r="W25" s="742">
        <f t="shared" si="11"/>
        <v>8446120</v>
      </c>
      <c r="X25" s="742">
        <f t="shared" si="12"/>
        <v>506767.19999999995</v>
      </c>
      <c r="Y25" s="742">
        <f t="shared" si="13"/>
        <v>211153</v>
      </c>
      <c r="Z25" s="742">
        <f t="shared" si="2"/>
        <v>1013534.3999999999</v>
      </c>
      <c r="AA25" s="742">
        <f t="shared" si="3"/>
        <v>10177574.6</v>
      </c>
      <c r="AB25" s="742">
        <f t="shared" si="4"/>
        <v>141512.43882091212</v>
      </c>
      <c r="AC25" s="739">
        <v>0.25</v>
      </c>
      <c r="AD25" s="742">
        <f t="shared" si="5"/>
        <v>2544393.65</v>
      </c>
      <c r="AE25" s="738">
        <v>50000</v>
      </c>
      <c r="AF25" s="742">
        <f t="shared" si="6"/>
        <v>58009.154651162789</v>
      </c>
      <c r="AG25" s="743">
        <v>43</v>
      </c>
      <c r="AH25" s="742">
        <f t="shared" si="7"/>
        <v>7633180.9499999993</v>
      </c>
      <c r="AI25" s="738">
        <f t="shared" si="17"/>
        <v>0</v>
      </c>
      <c r="AJ25" s="742">
        <f t="shared" si="14"/>
        <v>-10177574.6</v>
      </c>
      <c r="AL25" s="723"/>
      <c r="AM25" s="723"/>
      <c r="AN25" s="723"/>
      <c r="AO25" s="723"/>
      <c r="AP25" s="723"/>
      <c r="AQ25" s="723"/>
      <c r="AR25" s="723"/>
      <c r="AS25" s="723"/>
      <c r="AT25" s="723"/>
      <c r="AU25" s="723"/>
      <c r="AV25" s="723"/>
      <c r="AW25" s="723"/>
      <c r="AX25" s="723"/>
      <c r="AY25" s="723"/>
      <c r="AZ25" s="723"/>
      <c r="BA25" s="723"/>
      <c r="BB25" s="723"/>
      <c r="BC25" s="723"/>
      <c r="BD25" s="723"/>
      <c r="BE25" s="723"/>
      <c r="BF25" s="723"/>
      <c r="BG25" s="723"/>
      <c r="BH25" s="723"/>
      <c r="BI25" s="723"/>
      <c r="BJ25" s="723"/>
      <c r="BK25" s="723"/>
      <c r="BL25" s="723"/>
      <c r="BM25" s="723"/>
      <c r="BN25" s="723"/>
      <c r="BO25" s="723"/>
      <c r="BP25" s="723"/>
      <c r="BQ25" s="723"/>
      <c r="BR25" s="723"/>
      <c r="BS25" s="723"/>
      <c r="BT25" s="723"/>
      <c r="BU25" s="723"/>
      <c r="BV25" s="723"/>
      <c r="BW25" s="723"/>
      <c r="BX25" s="723"/>
      <c r="BY25" s="723"/>
      <c r="BZ25" s="723"/>
      <c r="CA25" s="723"/>
      <c r="CB25" s="723"/>
      <c r="CC25" s="723"/>
      <c r="CD25" s="723"/>
      <c r="CE25" s="723"/>
      <c r="CF25" s="723"/>
      <c r="CG25" s="723"/>
      <c r="CH25" s="723"/>
      <c r="CI25" s="723"/>
      <c r="CJ25" s="723"/>
      <c r="CK25" s="723"/>
      <c r="CL25" s="723"/>
      <c r="CM25" s="723"/>
      <c r="CN25" s="723"/>
      <c r="CO25" s="723"/>
      <c r="CP25" s="723"/>
      <c r="CQ25" s="723"/>
      <c r="CR25" s="723"/>
      <c r="CS25" s="723"/>
      <c r="CT25" s="723"/>
      <c r="CU25" s="723"/>
      <c r="CV25" s="723"/>
      <c r="CW25" s="723"/>
      <c r="CX25" s="723"/>
      <c r="CY25" s="723"/>
      <c r="CZ25" s="723"/>
      <c r="DA25" s="723"/>
      <c r="DB25" s="723"/>
      <c r="DC25" s="723"/>
      <c r="DD25" s="723"/>
      <c r="DE25" s="723"/>
      <c r="DF25" s="723"/>
      <c r="DG25" s="723"/>
      <c r="DH25" s="723"/>
      <c r="DI25" s="723"/>
      <c r="DJ25" s="723"/>
      <c r="DK25" s="723"/>
      <c r="DL25" s="723"/>
      <c r="DM25" s="723"/>
      <c r="DN25" s="723"/>
      <c r="DO25" s="723"/>
      <c r="DP25" s="723"/>
      <c r="DQ25" s="723"/>
      <c r="DR25" s="723"/>
      <c r="DS25" s="723"/>
      <c r="DT25" s="723"/>
      <c r="DU25" s="723"/>
      <c r="DV25" s="723"/>
      <c r="DW25" s="723"/>
      <c r="DX25" s="723"/>
      <c r="DY25" s="723"/>
      <c r="DZ25" s="723"/>
      <c r="EA25" s="723"/>
      <c r="EB25" s="723"/>
      <c r="EC25" s="723"/>
      <c r="ED25" s="723"/>
      <c r="EE25" s="723"/>
      <c r="EF25" s="723"/>
      <c r="EG25" s="723"/>
      <c r="EH25" s="723"/>
      <c r="EI25" s="723"/>
      <c r="EJ25" s="728"/>
      <c r="EK25" s="728"/>
      <c r="EL25" s="728"/>
      <c r="EM25" s="728"/>
      <c r="EN25" s="728"/>
      <c r="EO25" s="728"/>
      <c r="EP25" s="728"/>
      <c r="EQ25" s="728"/>
      <c r="ER25" s="728"/>
      <c r="ES25" s="728"/>
      <c r="EV25" s="784">
        <f t="shared" si="9"/>
        <v>117437.7085650723</v>
      </c>
    </row>
    <row r="26" spans="1:152" s="722" customFormat="1" x14ac:dyDescent="0.2">
      <c r="A26" s="993"/>
      <c r="B26" s="736">
        <v>24</v>
      </c>
      <c r="C26" s="736" t="s">
        <v>104</v>
      </c>
      <c r="D26" s="736" t="s">
        <v>106</v>
      </c>
      <c r="E26" s="736" t="s">
        <v>138</v>
      </c>
      <c r="F26" s="736" t="s">
        <v>131</v>
      </c>
      <c r="G26" s="736" t="s">
        <v>149</v>
      </c>
      <c r="H26" s="736" t="s">
        <v>109</v>
      </c>
      <c r="I26" s="740">
        <f>'[18]Collection Unsold 10.15.21'!G27</f>
        <v>67.72</v>
      </c>
      <c r="J26" s="741">
        <f>'[18]Collection Unsold 10.15.21'!H27</f>
        <v>4.2</v>
      </c>
      <c r="K26" s="740">
        <f t="shared" si="0"/>
        <v>71.92</v>
      </c>
      <c r="L26" s="742">
        <f t="shared" si="19"/>
        <v>8378400</v>
      </c>
      <c r="M26" s="742"/>
      <c r="N26" s="736">
        <v>2</v>
      </c>
      <c r="O26" s="738">
        <f t="shared" si="1"/>
        <v>67720</v>
      </c>
      <c r="P26" s="738"/>
      <c r="Q26" s="742"/>
      <c r="R26" s="738"/>
      <c r="S26" s="738"/>
      <c r="T26" s="738" t="str">
        <f t="shared" si="20"/>
        <v>INNER</v>
      </c>
      <c r="U26" s="738"/>
      <c r="V26" s="738">
        <f t="shared" si="10"/>
        <v>67720</v>
      </c>
      <c r="W26" s="742">
        <f t="shared" si="11"/>
        <v>8446120</v>
      </c>
      <c r="X26" s="742">
        <f t="shared" si="12"/>
        <v>506767.19999999995</v>
      </c>
      <c r="Y26" s="742">
        <f t="shared" si="13"/>
        <v>211153</v>
      </c>
      <c r="Z26" s="742">
        <f t="shared" si="2"/>
        <v>1013534.3999999999</v>
      </c>
      <c r="AA26" s="742">
        <f t="shared" si="3"/>
        <v>10177574.6</v>
      </c>
      <c r="AB26" s="742">
        <f t="shared" si="4"/>
        <v>141512.43882091212</v>
      </c>
      <c r="AC26" s="739">
        <v>0.25</v>
      </c>
      <c r="AD26" s="742">
        <f t="shared" si="5"/>
        <v>2544393.65</v>
      </c>
      <c r="AE26" s="738">
        <v>50000</v>
      </c>
      <c r="AF26" s="742">
        <f t="shared" si="6"/>
        <v>58009.154651162789</v>
      </c>
      <c r="AG26" s="743">
        <v>43</v>
      </c>
      <c r="AH26" s="742">
        <f t="shared" si="7"/>
        <v>7633180.9499999993</v>
      </c>
      <c r="AI26" s="738">
        <f t="shared" si="17"/>
        <v>0</v>
      </c>
      <c r="AJ26" s="742">
        <f t="shared" si="14"/>
        <v>-10177574.6</v>
      </c>
      <c r="AL26" s="723"/>
      <c r="AM26" s="723"/>
      <c r="AN26" s="723"/>
      <c r="AO26" s="723"/>
      <c r="AP26" s="723"/>
      <c r="AQ26" s="723"/>
      <c r="AR26" s="723"/>
      <c r="AS26" s="723"/>
      <c r="AT26" s="723"/>
      <c r="AU26" s="723"/>
      <c r="AV26" s="723"/>
      <c r="AW26" s="723"/>
      <c r="AX26" s="723"/>
      <c r="AY26" s="723"/>
      <c r="AZ26" s="723"/>
      <c r="BA26" s="723"/>
      <c r="BB26" s="723"/>
      <c r="BC26" s="723"/>
      <c r="BD26" s="723"/>
      <c r="BE26" s="723"/>
      <c r="BF26" s="723"/>
      <c r="BG26" s="723"/>
      <c r="BH26" s="723"/>
      <c r="BI26" s="723"/>
      <c r="BJ26" s="723"/>
      <c r="BK26" s="723"/>
      <c r="BL26" s="723"/>
      <c r="BM26" s="723"/>
      <c r="BN26" s="723"/>
      <c r="BO26" s="723"/>
      <c r="BP26" s="723"/>
      <c r="BQ26" s="723"/>
      <c r="BR26" s="723"/>
      <c r="BS26" s="723"/>
      <c r="BT26" s="723"/>
      <c r="BU26" s="723"/>
      <c r="BV26" s="723"/>
      <c r="BW26" s="723"/>
      <c r="BX26" s="723"/>
      <c r="BY26" s="723"/>
      <c r="BZ26" s="723"/>
      <c r="CA26" s="723"/>
      <c r="CB26" s="723"/>
      <c r="CC26" s="723"/>
      <c r="CD26" s="723"/>
      <c r="CE26" s="723"/>
      <c r="CF26" s="723"/>
      <c r="CG26" s="723"/>
      <c r="CH26" s="723"/>
      <c r="CI26" s="723"/>
      <c r="CJ26" s="723"/>
      <c r="CK26" s="723"/>
      <c r="CL26" s="723"/>
      <c r="CM26" s="723"/>
      <c r="CN26" s="723"/>
      <c r="CO26" s="723"/>
      <c r="CP26" s="723"/>
      <c r="CQ26" s="723"/>
      <c r="CR26" s="723"/>
      <c r="CS26" s="723"/>
      <c r="CT26" s="723"/>
      <c r="CU26" s="723"/>
      <c r="CV26" s="723"/>
      <c r="CW26" s="723"/>
      <c r="CX26" s="723"/>
      <c r="CY26" s="723"/>
      <c r="CZ26" s="723"/>
      <c r="DA26" s="723"/>
      <c r="DB26" s="723"/>
      <c r="DC26" s="723"/>
      <c r="DD26" s="723"/>
      <c r="DE26" s="723"/>
      <c r="DF26" s="723"/>
      <c r="DG26" s="723"/>
      <c r="DH26" s="723"/>
      <c r="DI26" s="723"/>
      <c r="DJ26" s="723"/>
      <c r="DK26" s="723"/>
      <c r="DL26" s="723"/>
      <c r="DM26" s="723"/>
      <c r="DN26" s="723"/>
      <c r="DO26" s="723"/>
      <c r="DP26" s="723"/>
      <c r="DQ26" s="723"/>
      <c r="DR26" s="723"/>
      <c r="DS26" s="723"/>
      <c r="DT26" s="723"/>
      <c r="DU26" s="723"/>
      <c r="DV26" s="723"/>
      <c r="DW26" s="723"/>
      <c r="DX26" s="723"/>
      <c r="DY26" s="723"/>
      <c r="DZ26" s="723"/>
      <c r="EA26" s="723"/>
      <c r="EB26" s="723"/>
      <c r="EC26" s="723"/>
      <c r="ED26" s="723"/>
      <c r="EE26" s="723"/>
      <c r="EF26" s="723"/>
      <c r="EG26" s="723"/>
      <c r="EH26" s="723"/>
      <c r="EI26" s="723"/>
      <c r="EJ26" s="728"/>
      <c r="EK26" s="728"/>
      <c r="EL26" s="728"/>
      <c r="EM26" s="728"/>
      <c r="EN26" s="728"/>
      <c r="EO26" s="728"/>
      <c r="EP26" s="728"/>
      <c r="EQ26" s="728"/>
      <c r="ER26" s="728"/>
      <c r="ES26" s="728"/>
      <c r="EV26" s="784">
        <f t="shared" si="9"/>
        <v>117437.7085650723</v>
      </c>
    </row>
    <row r="27" spans="1:152" s="722" customFormat="1" x14ac:dyDescent="0.2">
      <c r="A27" s="993"/>
      <c r="B27" s="736">
        <v>25</v>
      </c>
      <c r="C27" s="736" t="s">
        <v>104</v>
      </c>
      <c r="D27" s="736" t="s">
        <v>106</v>
      </c>
      <c r="E27" s="736" t="s">
        <v>138</v>
      </c>
      <c r="F27" s="736" t="s">
        <v>133</v>
      </c>
      <c r="G27" s="736" t="s">
        <v>150</v>
      </c>
      <c r="H27" s="736" t="s">
        <v>109</v>
      </c>
      <c r="I27" s="740">
        <f>'[18]Collection Unsold 10.15.21'!G28</f>
        <v>86.15</v>
      </c>
      <c r="J27" s="741">
        <f>'[18]Collection Unsold 10.15.21'!H28</f>
        <v>12.66</v>
      </c>
      <c r="K27" s="740">
        <f t="shared" si="0"/>
        <v>98.81</v>
      </c>
      <c r="L27" s="742">
        <f t="shared" si="19"/>
        <v>11097600</v>
      </c>
      <c r="M27" s="742"/>
      <c r="N27" s="736">
        <v>2</v>
      </c>
      <c r="O27" s="738">
        <f t="shared" si="1"/>
        <v>86150</v>
      </c>
      <c r="P27" s="738"/>
      <c r="Q27" s="742"/>
      <c r="R27" s="738">
        <f>I27*1000</f>
        <v>86150</v>
      </c>
      <c r="S27" s="738">
        <f t="shared" ref="S27:S33" si="21">I27*1000</f>
        <v>86150</v>
      </c>
      <c r="T27" s="738" t="str">
        <f t="shared" si="20"/>
        <v>CORNER</v>
      </c>
      <c r="U27" s="738"/>
      <c r="V27" s="738">
        <f t="shared" si="10"/>
        <v>258450</v>
      </c>
      <c r="W27" s="742">
        <f t="shared" si="11"/>
        <v>11356050</v>
      </c>
      <c r="X27" s="742">
        <f t="shared" si="12"/>
        <v>681363</v>
      </c>
      <c r="Y27" s="742">
        <f t="shared" si="13"/>
        <v>283901.25</v>
      </c>
      <c r="Z27" s="742">
        <f t="shared" si="2"/>
        <v>1362726</v>
      </c>
      <c r="AA27" s="742">
        <f t="shared" si="3"/>
        <v>13684040.25</v>
      </c>
      <c r="AB27" s="742">
        <f t="shared" si="4"/>
        <v>138488.41463414635</v>
      </c>
      <c r="AC27" s="739">
        <v>0.25</v>
      </c>
      <c r="AD27" s="742">
        <f t="shared" si="5"/>
        <v>3421010.0625</v>
      </c>
      <c r="AE27" s="738">
        <v>50000</v>
      </c>
      <c r="AF27" s="742">
        <f t="shared" si="6"/>
        <v>78395.582848837206</v>
      </c>
      <c r="AG27" s="743">
        <v>43</v>
      </c>
      <c r="AH27" s="742">
        <f t="shared" si="7"/>
        <v>10263030.1875</v>
      </c>
      <c r="AI27" s="738">
        <f t="shared" si="17"/>
        <v>0</v>
      </c>
      <c r="AJ27" s="742">
        <f t="shared" si="14"/>
        <v>-13684040.25</v>
      </c>
      <c r="AL27" s="723"/>
      <c r="AM27" s="723"/>
      <c r="AN27" s="723"/>
      <c r="AO27" s="723"/>
      <c r="AP27" s="723"/>
      <c r="AQ27" s="723"/>
      <c r="AR27" s="723"/>
      <c r="AS27" s="723"/>
      <c r="AT27" s="723"/>
      <c r="AU27" s="723"/>
      <c r="AV27" s="723"/>
      <c r="AW27" s="723"/>
      <c r="AX27" s="723"/>
      <c r="AY27" s="723"/>
      <c r="AZ27" s="723"/>
      <c r="BA27" s="723"/>
      <c r="BB27" s="723"/>
      <c r="BC27" s="723"/>
      <c r="BD27" s="723"/>
      <c r="BE27" s="723"/>
      <c r="BF27" s="723"/>
      <c r="BG27" s="723"/>
      <c r="BH27" s="723"/>
      <c r="BI27" s="723"/>
      <c r="BJ27" s="723"/>
      <c r="BK27" s="723"/>
      <c r="BL27" s="723"/>
      <c r="BM27" s="723"/>
      <c r="BN27" s="723"/>
      <c r="BO27" s="723"/>
      <c r="BP27" s="723"/>
      <c r="BQ27" s="723"/>
      <c r="BR27" s="723"/>
      <c r="BS27" s="723"/>
      <c r="BT27" s="723"/>
      <c r="BU27" s="723"/>
      <c r="BV27" s="723"/>
      <c r="BW27" s="723"/>
      <c r="BX27" s="723"/>
      <c r="BY27" s="723"/>
      <c r="BZ27" s="723"/>
      <c r="CA27" s="723"/>
      <c r="CB27" s="723"/>
      <c r="CC27" s="723"/>
      <c r="CD27" s="723"/>
      <c r="CE27" s="723"/>
      <c r="CF27" s="723"/>
      <c r="CG27" s="723"/>
      <c r="CH27" s="723"/>
      <c r="CI27" s="723"/>
      <c r="CJ27" s="723"/>
      <c r="CK27" s="723"/>
      <c r="CL27" s="723"/>
      <c r="CM27" s="723"/>
      <c r="CN27" s="723"/>
      <c r="CO27" s="723"/>
      <c r="CP27" s="723"/>
      <c r="CQ27" s="723"/>
      <c r="CR27" s="723"/>
      <c r="CS27" s="723"/>
      <c r="CT27" s="723"/>
      <c r="CU27" s="723"/>
      <c r="CV27" s="723"/>
      <c r="CW27" s="723"/>
      <c r="CX27" s="723"/>
      <c r="CY27" s="723"/>
      <c r="CZ27" s="723"/>
      <c r="DA27" s="723"/>
      <c r="DB27" s="723"/>
      <c r="DC27" s="723"/>
      <c r="DD27" s="723"/>
      <c r="DE27" s="723"/>
      <c r="DF27" s="723"/>
      <c r="DG27" s="723"/>
      <c r="DH27" s="723"/>
      <c r="DI27" s="723"/>
      <c r="DJ27" s="723"/>
      <c r="DK27" s="723"/>
      <c r="DL27" s="723"/>
      <c r="DM27" s="723"/>
      <c r="DN27" s="723"/>
      <c r="DO27" s="723"/>
      <c r="DP27" s="723"/>
      <c r="DQ27" s="723"/>
      <c r="DR27" s="723"/>
      <c r="DS27" s="723"/>
      <c r="DT27" s="723"/>
      <c r="DU27" s="723"/>
      <c r="DV27" s="723"/>
      <c r="DW27" s="723"/>
      <c r="DX27" s="723"/>
      <c r="DY27" s="723"/>
      <c r="DZ27" s="723"/>
      <c r="EA27" s="723"/>
      <c r="EB27" s="723"/>
      <c r="EC27" s="723"/>
      <c r="ED27" s="723"/>
      <c r="EE27" s="723"/>
      <c r="EF27" s="723"/>
      <c r="EG27" s="723"/>
      <c r="EH27" s="723"/>
      <c r="EI27" s="723"/>
      <c r="EJ27" s="728"/>
      <c r="EK27" s="728"/>
      <c r="EL27" s="728"/>
      <c r="EM27" s="728"/>
      <c r="EN27" s="728"/>
      <c r="EO27" s="728"/>
      <c r="EP27" s="728"/>
      <c r="EQ27" s="728"/>
      <c r="ER27" s="728"/>
      <c r="ES27" s="728"/>
      <c r="EV27" s="784">
        <f t="shared" si="9"/>
        <v>114928.14492460278</v>
      </c>
    </row>
    <row r="28" spans="1:152" s="722" customFormat="1" x14ac:dyDescent="0.2">
      <c r="A28" s="993"/>
      <c r="B28" s="736">
        <v>26</v>
      </c>
      <c r="C28" s="736" t="s">
        <v>135</v>
      </c>
      <c r="D28" s="736" t="s">
        <v>106</v>
      </c>
      <c r="E28" s="736" t="s">
        <v>138</v>
      </c>
      <c r="F28" s="736" t="s">
        <v>136</v>
      </c>
      <c r="G28" s="736" t="s">
        <v>151</v>
      </c>
      <c r="H28" s="736" t="s">
        <v>109</v>
      </c>
      <c r="I28" s="740">
        <f>'[18]Collection Unsold 10.15.21'!G29</f>
        <v>53.53</v>
      </c>
      <c r="J28" s="741">
        <f>'[18]Collection Unsold 10.15.21'!H29</f>
        <v>4.18</v>
      </c>
      <c r="K28" s="740">
        <f t="shared" si="0"/>
        <v>57.71</v>
      </c>
      <c r="L28" s="742">
        <f t="shared" si="19"/>
        <v>6674400</v>
      </c>
      <c r="M28" s="742"/>
      <c r="N28" s="736">
        <v>2</v>
      </c>
      <c r="O28" s="738">
        <f t="shared" si="1"/>
        <v>53530</v>
      </c>
      <c r="P28" s="738"/>
      <c r="Q28" s="742"/>
      <c r="R28" s="738"/>
      <c r="S28" s="738">
        <f t="shared" si="21"/>
        <v>53530</v>
      </c>
      <c r="T28" s="738" t="str">
        <f t="shared" si="20"/>
        <v>INNER</v>
      </c>
      <c r="U28" s="738"/>
      <c r="V28" s="738">
        <f t="shared" si="10"/>
        <v>107060</v>
      </c>
      <c r="W28" s="742">
        <f t="shared" si="11"/>
        <v>6781460</v>
      </c>
      <c r="X28" s="742">
        <f t="shared" si="12"/>
        <v>406887.6</v>
      </c>
      <c r="Y28" s="742">
        <f t="shared" si="13"/>
        <v>169536.5</v>
      </c>
      <c r="Z28" s="742">
        <f t="shared" si="2"/>
        <v>813775.2</v>
      </c>
      <c r="AA28" s="742">
        <f t="shared" si="3"/>
        <v>8171659.2999999998</v>
      </c>
      <c r="AB28" s="742">
        <f t="shared" si="4"/>
        <v>141598.67094091146</v>
      </c>
      <c r="AC28" s="739">
        <v>0.25</v>
      </c>
      <c r="AD28" s="742">
        <f t="shared" si="5"/>
        <v>2042914.825</v>
      </c>
      <c r="AE28" s="738">
        <v>50000</v>
      </c>
      <c r="AF28" s="742">
        <f t="shared" si="6"/>
        <v>46346.856395348834</v>
      </c>
      <c r="AG28" s="743">
        <v>43</v>
      </c>
      <c r="AH28" s="742">
        <f t="shared" si="7"/>
        <v>6128744.4749999996</v>
      </c>
      <c r="AI28" s="738">
        <f t="shared" si="17"/>
        <v>0</v>
      </c>
      <c r="AJ28" s="742">
        <f t="shared" si="14"/>
        <v>-8171659.2999999998</v>
      </c>
      <c r="AL28" s="723"/>
      <c r="AM28" s="723"/>
      <c r="AN28" s="723"/>
      <c r="AO28" s="723"/>
      <c r="AP28" s="723"/>
      <c r="AQ28" s="723"/>
      <c r="AR28" s="723"/>
      <c r="AS28" s="723"/>
      <c r="AT28" s="723"/>
      <c r="AU28" s="723"/>
      <c r="AV28" s="723"/>
      <c r="AW28" s="723"/>
      <c r="AX28" s="723"/>
      <c r="AY28" s="723"/>
      <c r="AZ28" s="723"/>
      <c r="BA28" s="723"/>
      <c r="BB28" s="723"/>
      <c r="BC28" s="723"/>
      <c r="BD28" s="723"/>
      <c r="BE28" s="723"/>
      <c r="BF28" s="723"/>
      <c r="BG28" s="723"/>
      <c r="BH28" s="723"/>
      <c r="BI28" s="723"/>
      <c r="BJ28" s="723"/>
      <c r="BK28" s="723"/>
      <c r="BL28" s="723"/>
      <c r="BM28" s="723"/>
      <c r="BN28" s="723"/>
      <c r="BO28" s="723"/>
      <c r="BP28" s="723"/>
      <c r="BQ28" s="723"/>
      <c r="BR28" s="723"/>
      <c r="BS28" s="723"/>
      <c r="BT28" s="723"/>
      <c r="BU28" s="723"/>
      <c r="BV28" s="723"/>
      <c r="BW28" s="723"/>
      <c r="BX28" s="723"/>
      <c r="BY28" s="723"/>
      <c r="BZ28" s="723"/>
      <c r="CA28" s="723"/>
      <c r="CB28" s="723"/>
      <c r="CC28" s="723"/>
      <c r="CD28" s="723"/>
      <c r="CE28" s="723"/>
      <c r="CF28" s="723"/>
      <c r="CG28" s="723"/>
      <c r="CH28" s="723"/>
      <c r="CI28" s="723"/>
      <c r="CJ28" s="723"/>
      <c r="CK28" s="723"/>
      <c r="CL28" s="723"/>
      <c r="CM28" s="723"/>
      <c r="CN28" s="723"/>
      <c r="CO28" s="723"/>
      <c r="CP28" s="723"/>
      <c r="CQ28" s="723"/>
      <c r="CR28" s="723"/>
      <c r="CS28" s="723"/>
      <c r="CT28" s="723"/>
      <c r="CU28" s="723"/>
      <c r="CV28" s="723"/>
      <c r="CW28" s="723"/>
      <c r="CX28" s="723"/>
      <c r="CY28" s="723"/>
      <c r="CZ28" s="723"/>
      <c r="DA28" s="723"/>
      <c r="DB28" s="723"/>
      <c r="DC28" s="723"/>
      <c r="DD28" s="723"/>
      <c r="DE28" s="723"/>
      <c r="DF28" s="723"/>
      <c r="DG28" s="723"/>
      <c r="DH28" s="723"/>
      <c r="DI28" s="723"/>
      <c r="DJ28" s="723"/>
      <c r="DK28" s="723"/>
      <c r="DL28" s="723"/>
      <c r="DM28" s="723"/>
      <c r="DN28" s="723"/>
      <c r="DO28" s="723"/>
      <c r="DP28" s="723"/>
      <c r="DQ28" s="723"/>
      <c r="DR28" s="723"/>
      <c r="DS28" s="723"/>
      <c r="DT28" s="723"/>
      <c r="DU28" s="723"/>
      <c r="DV28" s="723"/>
      <c r="DW28" s="723"/>
      <c r="DX28" s="723"/>
      <c r="DY28" s="723"/>
      <c r="DZ28" s="723"/>
      <c r="EA28" s="723"/>
      <c r="EB28" s="723"/>
      <c r="EC28" s="723"/>
      <c r="ED28" s="723"/>
      <c r="EE28" s="723"/>
      <c r="EF28" s="723"/>
      <c r="EG28" s="723"/>
      <c r="EH28" s="723"/>
      <c r="EI28" s="723"/>
      <c r="EJ28" s="728"/>
      <c r="EK28" s="728"/>
      <c r="EL28" s="728"/>
      <c r="EM28" s="728"/>
      <c r="EN28" s="728"/>
      <c r="EO28" s="728"/>
      <c r="EP28" s="728"/>
      <c r="EQ28" s="728"/>
      <c r="ER28" s="728"/>
      <c r="ES28" s="728"/>
      <c r="EV28" s="784">
        <f t="shared" si="9"/>
        <v>117509.27049038294</v>
      </c>
    </row>
    <row r="29" spans="1:152" x14ac:dyDescent="0.2">
      <c r="A29" s="993">
        <v>3</v>
      </c>
      <c r="B29" s="736">
        <v>27</v>
      </c>
      <c r="C29" s="736" t="s">
        <v>104</v>
      </c>
      <c r="D29" s="736" t="s">
        <v>138</v>
      </c>
      <c r="E29" s="736" t="s">
        <v>152</v>
      </c>
      <c r="F29" s="736" t="s">
        <v>107</v>
      </c>
      <c r="G29" s="736" t="s">
        <v>153</v>
      </c>
      <c r="H29" s="736" t="s">
        <v>109</v>
      </c>
      <c r="I29" s="740">
        <f>'[18]Collection Unsold 10.15.21'!G30</f>
        <v>98.5</v>
      </c>
      <c r="J29" s="741">
        <f>'[18]Collection Unsold 10.15.21'!H30</f>
        <v>10.46</v>
      </c>
      <c r="K29" s="740">
        <f t="shared" si="0"/>
        <v>108.96000000000001</v>
      </c>
      <c r="L29" s="742">
        <f t="shared" ref="L29:L41" si="22">L3</f>
        <v>12447600</v>
      </c>
      <c r="M29" s="742"/>
      <c r="N29" s="736">
        <v>3</v>
      </c>
      <c r="O29" s="738">
        <f t="shared" si="1"/>
        <v>147750</v>
      </c>
      <c r="P29" s="738"/>
      <c r="Q29" s="742"/>
      <c r="R29" s="738">
        <f>I29*1000</f>
        <v>98500</v>
      </c>
      <c r="S29" s="738">
        <f t="shared" si="21"/>
        <v>98500</v>
      </c>
      <c r="T29" s="738" t="str">
        <f t="shared" ref="T29:T41" si="23">T3</f>
        <v>CORNER</v>
      </c>
      <c r="U29" s="738"/>
      <c r="V29" s="738">
        <f>SUM(O29:S29)</f>
        <v>344750</v>
      </c>
      <c r="W29" s="742">
        <f t="shared" si="11"/>
        <v>12792350</v>
      </c>
      <c r="X29" s="742">
        <f t="shared" si="12"/>
        <v>767541</v>
      </c>
      <c r="Y29" s="742">
        <f t="shared" si="13"/>
        <v>319808.75</v>
      </c>
      <c r="Z29" s="742">
        <f>W29*12%</f>
        <v>1535082</v>
      </c>
      <c r="AA29" s="742">
        <f t="shared" si="3"/>
        <v>15414781.75</v>
      </c>
      <c r="AB29" s="742">
        <f t="shared" si="4"/>
        <v>141471.93236049925</v>
      </c>
      <c r="AC29" s="739">
        <v>0.25</v>
      </c>
      <c r="AD29" s="742">
        <f t="shared" si="5"/>
        <v>3853695.4375</v>
      </c>
      <c r="AE29" s="738">
        <f>'[19]Package Breakdown'!F27</f>
        <v>50000</v>
      </c>
      <c r="AF29" s="742">
        <f t="shared" si="6"/>
        <v>88458.033430232565</v>
      </c>
      <c r="AG29" s="743">
        <v>43</v>
      </c>
      <c r="AH29" s="742">
        <f t="shared" si="7"/>
        <v>11561086.3125</v>
      </c>
      <c r="AI29" s="738">
        <f t="shared" si="17"/>
        <v>0</v>
      </c>
      <c r="AJ29" s="742">
        <f t="shared" si="14"/>
        <v>-15414781.75</v>
      </c>
      <c r="AK29" s="721"/>
      <c r="CF29" s="727"/>
      <c r="CG29" s="727"/>
      <c r="CH29" s="727"/>
      <c r="CI29" s="727"/>
      <c r="CJ29" s="727"/>
      <c r="CK29" s="727"/>
      <c r="CL29" s="727"/>
      <c r="CM29" s="727"/>
      <c r="CN29" s="727"/>
      <c r="CO29" s="727"/>
      <c r="CP29" s="727"/>
      <c r="CQ29" s="727"/>
      <c r="CR29" s="727"/>
      <c r="CS29" s="727"/>
      <c r="CT29" s="727"/>
      <c r="CU29" s="727"/>
      <c r="CV29" s="727"/>
      <c r="CW29" s="727"/>
      <c r="CX29" s="727"/>
      <c r="CY29" s="727"/>
      <c r="CZ29" s="727"/>
      <c r="DA29" s="727"/>
      <c r="DB29" s="727"/>
      <c r="DC29" s="727"/>
      <c r="DD29" s="727"/>
      <c r="DE29" s="727"/>
      <c r="DF29" s="727"/>
      <c r="DG29" s="727"/>
      <c r="DH29" s="727"/>
      <c r="DI29" s="727"/>
      <c r="DJ29" s="727"/>
      <c r="DK29" s="727"/>
      <c r="DL29" s="727"/>
      <c r="DM29" s="727"/>
      <c r="DN29" s="727"/>
      <c r="DO29" s="727"/>
      <c r="DP29" s="727"/>
      <c r="DQ29" s="727"/>
      <c r="DR29" s="727"/>
      <c r="DS29" s="727"/>
      <c r="DT29" s="727"/>
      <c r="DU29" s="727"/>
      <c r="DV29" s="727"/>
      <c r="DW29" s="727"/>
      <c r="DX29" s="727"/>
      <c r="DY29" s="727"/>
      <c r="DZ29" s="727"/>
      <c r="EA29" s="727"/>
      <c r="EB29" s="727"/>
      <c r="EC29" s="727"/>
      <c r="ED29" s="727"/>
      <c r="EE29" s="727"/>
      <c r="EF29" s="727"/>
      <c r="EG29" s="727"/>
      <c r="EH29" s="727"/>
      <c r="EI29" s="727"/>
      <c r="EV29" s="784">
        <f t="shared" si="9"/>
        <v>117404.0932452276</v>
      </c>
    </row>
    <row r="30" spans="1:152" x14ac:dyDescent="0.2">
      <c r="A30" s="993"/>
      <c r="B30" s="736">
        <v>28</v>
      </c>
      <c r="C30" s="736" t="s">
        <v>104</v>
      </c>
      <c r="D30" s="736" t="s">
        <v>138</v>
      </c>
      <c r="E30" s="736" t="s">
        <v>152</v>
      </c>
      <c r="F30" s="736" t="s">
        <v>111</v>
      </c>
      <c r="G30" s="736" t="s">
        <v>154</v>
      </c>
      <c r="H30" s="736" t="s">
        <v>113</v>
      </c>
      <c r="I30" s="740">
        <f>'[18]Collection Unsold 10.15.21'!G31</f>
        <v>51.02</v>
      </c>
      <c r="J30" s="741">
        <f>'[18]Collection Unsold 10.15.21'!H31</f>
        <v>5.36</v>
      </c>
      <c r="K30" s="740">
        <f t="shared" si="0"/>
        <v>56.38</v>
      </c>
      <c r="L30" s="742">
        <f t="shared" si="22"/>
        <v>6444000</v>
      </c>
      <c r="M30" s="742"/>
      <c r="N30" s="736">
        <f t="shared" ref="N30:N41" si="24">$N$29</f>
        <v>3</v>
      </c>
      <c r="O30" s="738">
        <f t="shared" si="1"/>
        <v>76530</v>
      </c>
      <c r="P30" s="738"/>
      <c r="Q30" s="742"/>
      <c r="R30" s="738"/>
      <c r="S30" s="738">
        <f t="shared" si="21"/>
        <v>51020</v>
      </c>
      <c r="T30" s="738" t="str">
        <f t="shared" si="23"/>
        <v>INNER</v>
      </c>
      <c r="U30" s="738"/>
      <c r="V30" s="738">
        <f t="shared" ref="V30:V102" si="25">SUM(O30:S30)</f>
        <v>127550</v>
      </c>
      <c r="W30" s="742">
        <f t="shared" si="11"/>
        <v>6571550</v>
      </c>
      <c r="X30" s="742">
        <f t="shared" si="12"/>
        <v>394293</v>
      </c>
      <c r="Y30" s="742">
        <f t="shared" si="13"/>
        <v>164288.75</v>
      </c>
      <c r="Z30" s="742">
        <f t="shared" ref="Z30:Z102" si="26">W30*12%</f>
        <v>788586</v>
      </c>
      <c r="AA30" s="742">
        <f t="shared" si="3"/>
        <v>7918717.75</v>
      </c>
      <c r="AB30" s="742">
        <f t="shared" si="4"/>
        <v>140452.60287335934</v>
      </c>
      <c r="AC30" s="739">
        <v>0.25</v>
      </c>
      <c r="AD30" s="742">
        <f t="shared" si="5"/>
        <v>1979679.4375</v>
      </c>
      <c r="AE30" s="738">
        <f>AE29</f>
        <v>50000</v>
      </c>
      <c r="AF30" s="742">
        <f t="shared" si="6"/>
        <v>44876.265988372092</v>
      </c>
      <c r="AG30" s="743">
        <v>43</v>
      </c>
      <c r="AH30" s="742">
        <f t="shared" si="7"/>
        <v>5939038.3125</v>
      </c>
      <c r="AI30" s="738">
        <f t="shared" si="17"/>
        <v>0</v>
      </c>
      <c r="AJ30" s="742">
        <f t="shared" si="14"/>
        <v>-7918717.75</v>
      </c>
      <c r="AK30" s="721"/>
      <c r="CF30" s="727"/>
      <c r="CG30" s="727"/>
      <c r="CH30" s="727"/>
      <c r="CI30" s="727"/>
      <c r="CJ30" s="727"/>
      <c r="CK30" s="727"/>
      <c r="CL30" s="727"/>
      <c r="CM30" s="727"/>
      <c r="CN30" s="727"/>
      <c r="CO30" s="727"/>
      <c r="CP30" s="727"/>
      <c r="CQ30" s="727"/>
      <c r="CR30" s="727"/>
      <c r="CS30" s="727"/>
      <c r="CT30" s="727"/>
      <c r="CU30" s="727"/>
      <c r="CV30" s="727"/>
      <c r="CW30" s="727"/>
      <c r="CX30" s="727"/>
      <c r="CY30" s="727"/>
      <c r="CZ30" s="727"/>
      <c r="DA30" s="727"/>
      <c r="DB30" s="727"/>
      <c r="DC30" s="727"/>
      <c r="DD30" s="727"/>
      <c r="DE30" s="727"/>
      <c r="DF30" s="727"/>
      <c r="DG30" s="727"/>
      <c r="DH30" s="727"/>
      <c r="DI30" s="727"/>
      <c r="DJ30" s="727"/>
      <c r="DK30" s="727"/>
      <c r="DL30" s="727"/>
      <c r="DM30" s="727"/>
      <c r="DN30" s="727"/>
      <c r="DO30" s="727"/>
      <c r="DP30" s="727"/>
      <c r="DQ30" s="727"/>
      <c r="DR30" s="727"/>
      <c r="DS30" s="727"/>
      <c r="DT30" s="727"/>
      <c r="DU30" s="727"/>
      <c r="DV30" s="727"/>
      <c r="DW30" s="727"/>
      <c r="DX30" s="727"/>
      <c r="DY30" s="727"/>
      <c r="DZ30" s="727"/>
      <c r="EA30" s="727"/>
      <c r="EB30" s="727"/>
      <c r="EC30" s="727"/>
      <c r="ED30" s="727"/>
      <c r="EE30" s="727"/>
      <c r="EF30" s="727"/>
      <c r="EG30" s="727"/>
      <c r="EH30" s="727"/>
      <c r="EI30" s="727"/>
      <c r="EV30" s="784">
        <f t="shared" si="9"/>
        <v>116558.17665838949</v>
      </c>
    </row>
    <row r="31" spans="1:152" x14ac:dyDescent="0.2">
      <c r="A31" s="993"/>
      <c r="B31" s="736">
        <v>29</v>
      </c>
      <c r="C31" s="736" t="s">
        <v>104</v>
      </c>
      <c r="D31" s="736" t="s">
        <v>138</v>
      </c>
      <c r="E31" s="736" t="s">
        <v>152</v>
      </c>
      <c r="F31" s="736" t="s">
        <v>115</v>
      </c>
      <c r="G31" s="736" t="s">
        <v>155</v>
      </c>
      <c r="H31" s="736" t="s">
        <v>109</v>
      </c>
      <c r="I31" s="740">
        <f>'[18]Collection Unsold 10.15.21'!G32</f>
        <v>55.62</v>
      </c>
      <c r="J31" s="744">
        <f>'[18]Collection Unsold 10.15.21'!H32</f>
        <v>5.37</v>
      </c>
      <c r="K31" s="740">
        <f t="shared" si="0"/>
        <v>60.989999999999995</v>
      </c>
      <c r="L31" s="742">
        <f t="shared" si="22"/>
        <v>6996600</v>
      </c>
      <c r="M31" s="742"/>
      <c r="N31" s="736">
        <f t="shared" si="24"/>
        <v>3</v>
      </c>
      <c r="O31" s="738">
        <f t="shared" si="1"/>
        <v>83429.999999999985</v>
      </c>
      <c r="P31" s="738"/>
      <c r="Q31" s="742"/>
      <c r="R31" s="738"/>
      <c r="S31" s="738">
        <f t="shared" si="21"/>
        <v>55620</v>
      </c>
      <c r="T31" s="738" t="str">
        <f t="shared" si="23"/>
        <v>INNER</v>
      </c>
      <c r="U31" s="738"/>
      <c r="V31" s="738">
        <f t="shared" si="25"/>
        <v>139050</v>
      </c>
      <c r="W31" s="742">
        <f t="shared" si="11"/>
        <v>7135650</v>
      </c>
      <c r="X31" s="742">
        <f t="shared" si="12"/>
        <v>428139</v>
      </c>
      <c r="Y31" s="742">
        <f t="shared" si="13"/>
        <v>178391.25</v>
      </c>
      <c r="Z31" s="742">
        <f t="shared" si="26"/>
        <v>856278</v>
      </c>
      <c r="AA31" s="742">
        <f t="shared" si="3"/>
        <v>8598458.25</v>
      </c>
      <c r="AB31" s="742">
        <f t="shared" si="4"/>
        <v>140981.4436792917</v>
      </c>
      <c r="AC31" s="739">
        <v>0.25</v>
      </c>
      <c r="AD31" s="742">
        <f t="shared" si="5"/>
        <v>2149614.5625</v>
      </c>
      <c r="AE31" s="738">
        <f t="shared" ref="AE31:AE93" si="27">AE30</f>
        <v>50000</v>
      </c>
      <c r="AF31" s="742">
        <f t="shared" si="6"/>
        <v>48828.245639534885</v>
      </c>
      <c r="AG31" s="743">
        <v>43</v>
      </c>
      <c r="AH31" s="742">
        <f t="shared" si="7"/>
        <v>6448843.6875</v>
      </c>
      <c r="AI31" s="738">
        <f t="shared" si="17"/>
        <v>0</v>
      </c>
      <c r="AJ31" s="742">
        <f t="shared" si="14"/>
        <v>-8598458.25</v>
      </c>
      <c r="CF31" s="727"/>
      <c r="CG31" s="727"/>
      <c r="CH31" s="727"/>
      <c r="CI31" s="727"/>
      <c r="CJ31" s="727"/>
      <c r="CK31" s="727"/>
      <c r="CL31" s="727"/>
      <c r="CM31" s="727"/>
      <c r="CN31" s="727"/>
      <c r="CO31" s="727"/>
      <c r="CP31" s="727"/>
      <c r="CQ31" s="727"/>
      <c r="CR31" s="727"/>
      <c r="CS31" s="727"/>
      <c r="CT31" s="727"/>
      <c r="CU31" s="727"/>
      <c r="CV31" s="727"/>
      <c r="CW31" s="727"/>
      <c r="CX31" s="727"/>
      <c r="CY31" s="727"/>
      <c r="CZ31" s="727"/>
      <c r="DA31" s="727"/>
      <c r="DB31" s="727"/>
      <c r="DC31" s="727"/>
      <c r="DD31" s="727"/>
      <c r="DE31" s="727"/>
      <c r="DF31" s="727"/>
      <c r="DG31" s="727"/>
      <c r="DH31" s="727"/>
      <c r="DI31" s="727"/>
      <c r="DJ31" s="727"/>
      <c r="DK31" s="727"/>
      <c r="DL31" s="727"/>
      <c r="DM31" s="727"/>
      <c r="DN31" s="727"/>
      <c r="DO31" s="727"/>
      <c r="DP31" s="727"/>
      <c r="DQ31" s="727"/>
      <c r="DR31" s="727"/>
      <c r="DS31" s="727"/>
      <c r="DT31" s="727"/>
      <c r="DU31" s="727"/>
      <c r="DV31" s="727"/>
      <c r="DW31" s="727"/>
      <c r="DX31" s="727"/>
      <c r="DY31" s="727"/>
      <c r="DZ31" s="727"/>
      <c r="EA31" s="727"/>
      <c r="EB31" s="727"/>
      <c r="EC31" s="727"/>
      <c r="ED31" s="727"/>
      <c r="EE31" s="727"/>
      <c r="EF31" s="727"/>
      <c r="EG31" s="727"/>
      <c r="EH31" s="727"/>
      <c r="EI31" s="727"/>
      <c r="EV31" s="784">
        <f t="shared" si="9"/>
        <v>116997.04869650763</v>
      </c>
    </row>
    <row r="32" spans="1:152" x14ac:dyDescent="0.2">
      <c r="A32" s="993"/>
      <c r="B32" s="736">
        <v>30</v>
      </c>
      <c r="C32" s="736" t="s">
        <v>104</v>
      </c>
      <c r="D32" s="736" t="s">
        <v>138</v>
      </c>
      <c r="E32" s="736" t="s">
        <v>152</v>
      </c>
      <c r="F32" s="736" t="s">
        <v>117</v>
      </c>
      <c r="G32" s="736" t="s">
        <v>156</v>
      </c>
      <c r="H32" s="736" t="s">
        <v>109</v>
      </c>
      <c r="I32" s="740">
        <f>'[18]Collection Unsold 10.15.21'!G33</f>
        <v>60.78</v>
      </c>
      <c r="J32" s="744">
        <f>'[18]Collection Unsold 10.15.21'!H33</f>
        <v>5.15</v>
      </c>
      <c r="K32" s="740">
        <f t="shared" si="0"/>
        <v>65.930000000000007</v>
      </c>
      <c r="L32" s="742">
        <f t="shared" si="22"/>
        <v>7602600</v>
      </c>
      <c r="M32" s="742"/>
      <c r="N32" s="736">
        <f t="shared" si="24"/>
        <v>3</v>
      </c>
      <c r="O32" s="738">
        <f t="shared" si="1"/>
        <v>91170</v>
      </c>
      <c r="P32" s="738"/>
      <c r="Q32" s="742"/>
      <c r="R32" s="738"/>
      <c r="S32" s="738">
        <f t="shared" si="21"/>
        <v>60780</v>
      </c>
      <c r="T32" s="738" t="str">
        <f t="shared" si="23"/>
        <v>INNER</v>
      </c>
      <c r="U32" s="738"/>
      <c r="V32" s="738">
        <f t="shared" si="25"/>
        <v>151950</v>
      </c>
      <c r="W32" s="742">
        <f t="shared" si="11"/>
        <v>7754550</v>
      </c>
      <c r="X32" s="742">
        <f t="shared" si="12"/>
        <v>465273</v>
      </c>
      <c r="Y32" s="742">
        <f t="shared" si="13"/>
        <v>193863.75</v>
      </c>
      <c r="Z32" s="742">
        <f t="shared" si="26"/>
        <v>930546</v>
      </c>
      <c r="AA32" s="742">
        <f t="shared" si="3"/>
        <v>9344232.75</v>
      </c>
      <c r="AB32" s="742">
        <f t="shared" si="4"/>
        <v>141729.60336720763</v>
      </c>
      <c r="AC32" s="739">
        <v>0.25</v>
      </c>
      <c r="AD32" s="742">
        <f t="shared" si="5"/>
        <v>2336058.1875</v>
      </c>
      <c r="AE32" s="738">
        <f t="shared" si="27"/>
        <v>50000</v>
      </c>
      <c r="AF32" s="742">
        <f t="shared" si="6"/>
        <v>53164.14389534884</v>
      </c>
      <c r="AG32" s="743">
        <v>43</v>
      </c>
      <c r="AH32" s="742">
        <f t="shared" si="7"/>
        <v>7008174.5625</v>
      </c>
      <c r="AI32" s="738">
        <f t="shared" si="17"/>
        <v>0</v>
      </c>
      <c r="AJ32" s="742">
        <f t="shared" si="14"/>
        <v>-9344232.75</v>
      </c>
      <c r="EV32" s="784">
        <f t="shared" si="9"/>
        <v>117617.92810556649</v>
      </c>
    </row>
    <row r="33" spans="1:152" x14ac:dyDescent="0.2">
      <c r="A33" s="993"/>
      <c r="B33" s="736">
        <v>31</v>
      </c>
      <c r="C33" s="736" t="s">
        <v>104</v>
      </c>
      <c r="D33" s="736" t="s">
        <v>138</v>
      </c>
      <c r="E33" s="736" t="s">
        <v>152</v>
      </c>
      <c r="F33" s="736" t="s">
        <v>119</v>
      </c>
      <c r="G33" s="736" t="s">
        <v>157</v>
      </c>
      <c r="H33" s="736" t="s">
        <v>109</v>
      </c>
      <c r="I33" s="740">
        <f>'[18]Collection Unsold 10.15.21'!G34</f>
        <v>83.49</v>
      </c>
      <c r="J33" s="744">
        <f>'[18]Collection Unsold 10.15.21'!H34</f>
        <v>12.309999999999999</v>
      </c>
      <c r="K33" s="740">
        <f t="shared" si="0"/>
        <v>95.8</v>
      </c>
      <c r="L33" s="742">
        <f t="shared" si="22"/>
        <v>10757400</v>
      </c>
      <c r="M33" s="736"/>
      <c r="N33" s="736">
        <f t="shared" si="24"/>
        <v>3</v>
      </c>
      <c r="O33" s="738">
        <f t="shared" si="1"/>
        <v>125234.99999999999</v>
      </c>
      <c r="P33" s="738"/>
      <c r="Q33" s="742"/>
      <c r="R33" s="738">
        <f>I33*1000</f>
        <v>83490</v>
      </c>
      <c r="S33" s="738">
        <f t="shared" si="21"/>
        <v>83490</v>
      </c>
      <c r="T33" s="738" t="str">
        <f t="shared" si="23"/>
        <v>CORNER</v>
      </c>
      <c r="U33" s="738"/>
      <c r="V33" s="738">
        <f t="shared" si="25"/>
        <v>292215</v>
      </c>
      <c r="W33" s="742">
        <f t="shared" si="11"/>
        <v>11049615</v>
      </c>
      <c r="X33" s="742">
        <f t="shared" si="12"/>
        <v>662976.9</v>
      </c>
      <c r="Y33" s="742">
        <f t="shared" si="13"/>
        <v>276240.375</v>
      </c>
      <c r="Z33" s="742">
        <f t="shared" si="26"/>
        <v>1325953.8</v>
      </c>
      <c r="AA33" s="742">
        <f t="shared" si="3"/>
        <v>13314786.075000001</v>
      </c>
      <c r="AB33" s="742">
        <f t="shared" si="4"/>
        <v>138985.24086638831</v>
      </c>
      <c r="AC33" s="739">
        <v>0.25</v>
      </c>
      <c r="AD33" s="742">
        <f t="shared" si="5"/>
        <v>3328696.5187500003</v>
      </c>
      <c r="AE33" s="738">
        <f t="shared" si="27"/>
        <v>50000</v>
      </c>
      <c r="AF33" s="742">
        <f t="shared" si="6"/>
        <v>76248.756250000006</v>
      </c>
      <c r="AG33" s="743">
        <v>43</v>
      </c>
      <c r="AH33" s="742">
        <f t="shared" si="7"/>
        <v>9986089.5562500004</v>
      </c>
      <c r="AI33" s="738">
        <f t="shared" si="17"/>
        <v>0</v>
      </c>
      <c r="AJ33" s="742">
        <f t="shared" si="14"/>
        <v>-13314786.075000001</v>
      </c>
      <c r="EV33" s="784">
        <f t="shared" si="9"/>
        <v>115340.44885177453</v>
      </c>
    </row>
    <row r="34" spans="1:152" x14ac:dyDescent="0.2">
      <c r="A34" s="993"/>
      <c r="B34" s="736">
        <v>32</v>
      </c>
      <c r="C34" s="736" t="s">
        <v>104</v>
      </c>
      <c r="D34" s="736" t="s">
        <v>138</v>
      </c>
      <c r="E34" s="736" t="s">
        <v>152</v>
      </c>
      <c r="F34" s="736" t="s">
        <v>121</v>
      </c>
      <c r="G34" s="736" t="s">
        <v>158</v>
      </c>
      <c r="H34" s="736" t="s">
        <v>109</v>
      </c>
      <c r="I34" s="740">
        <f>'[18]Collection Unsold 10.15.21'!G35</f>
        <v>61.03</v>
      </c>
      <c r="J34" s="744">
        <f>'[18]Collection Unsold 10.15.21'!H35</f>
        <v>4.1900000000000004</v>
      </c>
      <c r="K34" s="740">
        <f t="shared" si="0"/>
        <v>65.22</v>
      </c>
      <c r="L34" s="742">
        <f t="shared" si="22"/>
        <v>7575000</v>
      </c>
      <c r="M34" s="736"/>
      <c r="N34" s="736">
        <f t="shared" si="24"/>
        <v>3</v>
      </c>
      <c r="O34" s="738">
        <f t="shared" si="1"/>
        <v>91545</v>
      </c>
      <c r="P34" s="738"/>
      <c r="Q34" s="742"/>
      <c r="R34" s="738"/>
      <c r="S34" s="738"/>
      <c r="T34" s="738" t="str">
        <f t="shared" si="23"/>
        <v>INNER</v>
      </c>
      <c r="U34" s="738"/>
      <c r="V34" s="738">
        <f t="shared" si="25"/>
        <v>91545</v>
      </c>
      <c r="W34" s="742">
        <f t="shared" si="11"/>
        <v>7666545</v>
      </c>
      <c r="X34" s="742">
        <f t="shared" si="12"/>
        <v>459992.7</v>
      </c>
      <c r="Y34" s="742">
        <f t="shared" si="13"/>
        <v>191663.625</v>
      </c>
      <c r="Z34" s="742">
        <f t="shared" si="26"/>
        <v>919985.4</v>
      </c>
      <c r="AA34" s="742">
        <f t="shared" si="3"/>
        <v>9238186.7249999996</v>
      </c>
      <c r="AB34" s="742">
        <f t="shared" si="4"/>
        <v>141646.53058877646</v>
      </c>
      <c r="AC34" s="739">
        <v>0.25</v>
      </c>
      <c r="AD34" s="742">
        <f t="shared" si="5"/>
        <v>2309546.6812499999</v>
      </c>
      <c r="AE34" s="738">
        <f t="shared" si="27"/>
        <v>50000</v>
      </c>
      <c r="AF34" s="742">
        <f t="shared" si="6"/>
        <v>52547.597238372087</v>
      </c>
      <c r="AG34" s="743">
        <v>43</v>
      </c>
      <c r="AH34" s="742">
        <f t="shared" si="7"/>
        <v>6928640.0437499993</v>
      </c>
      <c r="AI34" s="738">
        <f t="shared" si="17"/>
        <v>0</v>
      </c>
      <c r="AJ34" s="742">
        <f t="shared" si="14"/>
        <v>-9238186.7249999996</v>
      </c>
      <c r="EV34" s="784">
        <f t="shared" si="9"/>
        <v>117548.98804047838</v>
      </c>
    </row>
    <row r="35" spans="1:152" x14ac:dyDescent="0.2">
      <c r="A35" s="993"/>
      <c r="B35" s="736">
        <v>33</v>
      </c>
      <c r="C35" s="736" t="s">
        <v>104</v>
      </c>
      <c r="D35" s="736" t="s">
        <v>138</v>
      </c>
      <c r="E35" s="736" t="s">
        <v>152</v>
      </c>
      <c r="F35" s="736" t="s">
        <v>123</v>
      </c>
      <c r="G35" s="736" t="s">
        <v>159</v>
      </c>
      <c r="H35" s="736" t="s">
        <v>109</v>
      </c>
      <c r="I35" s="740">
        <f>'[18]Collection Unsold 10.15.21'!G36</f>
        <v>94.79</v>
      </c>
      <c r="J35" s="744">
        <f>'[18]Collection Unsold 10.15.21'!H36</f>
        <v>11.260000000000002</v>
      </c>
      <c r="K35" s="740">
        <f t="shared" si="0"/>
        <v>106.05000000000001</v>
      </c>
      <c r="L35" s="742">
        <f t="shared" si="22"/>
        <v>12050400</v>
      </c>
      <c r="M35" s="736"/>
      <c r="N35" s="736">
        <f t="shared" si="24"/>
        <v>3</v>
      </c>
      <c r="O35" s="738">
        <f t="shared" si="1"/>
        <v>142185</v>
      </c>
      <c r="P35" s="738"/>
      <c r="Q35" s="742"/>
      <c r="R35" s="738">
        <f>I35*1000</f>
        <v>94790</v>
      </c>
      <c r="S35" s="738"/>
      <c r="T35" s="738" t="str">
        <f t="shared" si="23"/>
        <v>CORNER</v>
      </c>
      <c r="U35" s="738"/>
      <c r="V35" s="738">
        <f t="shared" si="25"/>
        <v>236975</v>
      </c>
      <c r="W35" s="742">
        <f t="shared" si="11"/>
        <v>12287375</v>
      </c>
      <c r="X35" s="742">
        <f t="shared" si="12"/>
        <v>737242.5</v>
      </c>
      <c r="Y35" s="742">
        <f t="shared" si="13"/>
        <v>307184.375</v>
      </c>
      <c r="Z35" s="742">
        <f t="shared" si="26"/>
        <v>1474485</v>
      </c>
      <c r="AA35" s="742">
        <f t="shared" si="3"/>
        <v>14806286.875</v>
      </c>
      <c r="AB35" s="742">
        <f t="shared" si="4"/>
        <v>139616.09500235735</v>
      </c>
      <c r="AC35" s="739">
        <v>0.25</v>
      </c>
      <c r="AD35" s="742">
        <f t="shared" si="5"/>
        <v>3701571.71875</v>
      </c>
      <c r="AE35" s="738">
        <f t="shared" si="27"/>
        <v>50000</v>
      </c>
      <c r="AF35" s="742">
        <f t="shared" si="6"/>
        <v>84920.272529069771</v>
      </c>
      <c r="AG35" s="743">
        <v>43</v>
      </c>
      <c r="AH35" s="742">
        <f t="shared" si="7"/>
        <v>11104715.15625</v>
      </c>
      <c r="AI35" s="738">
        <f t="shared" si="17"/>
        <v>0</v>
      </c>
      <c r="AJ35" s="742">
        <f t="shared" si="14"/>
        <v>-14806286.875</v>
      </c>
      <c r="EV35" s="784">
        <f t="shared" si="9"/>
        <v>115863.97925506835</v>
      </c>
    </row>
    <row r="36" spans="1:152" x14ac:dyDescent="0.2">
      <c r="A36" s="993"/>
      <c r="B36" s="736">
        <v>34</v>
      </c>
      <c r="C36" s="736" t="s">
        <v>104</v>
      </c>
      <c r="D36" s="736" t="s">
        <v>138</v>
      </c>
      <c r="E36" s="736" t="s">
        <v>152</v>
      </c>
      <c r="F36" s="736" t="s">
        <v>125</v>
      </c>
      <c r="G36" s="736" t="s">
        <v>160</v>
      </c>
      <c r="H36" s="736" t="s">
        <v>109</v>
      </c>
      <c r="I36" s="740">
        <f>'[18]Collection Unsold 10.15.21'!G37</f>
        <v>67.790000000000006</v>
      </c>
      <c r="J36" s="744">
        <f>'[18]Collection Unsold 10.15.21'!H37</f>
        <v>4.2</v>
      </c>
      <c r="K36" s="740">
        <f t="shared" si="0"/>
        <v>71.990000000000009</v>
      </c>
      <c r="L36" s="742">
        <f t="shared" si="22"/>
        <v>8386800.0000000009</v>
      </c>
      <c r="M36" s="736"/>
      <c r="N36" s="736">
        <v>3</v>
      </c>
      <c r="O36" s="738">
        <f t="shared" si="1"/>
        <v>101685</v>
      </c>
      <c r="P36" s="738"/>
      <c r="Q36" s="742"/>
      <c r="R36" s="738"/>
      <c r="S36" s="738"/>
      <c r="T36" s="738" t="str">
        <f t="shared" si="23"/>
        <v>INNER</v>
      </c>
      <c r="U36" s="738"/>
      <c r="V36" s="738">
        <f t="shared" si="25"/>
        <v>101685</v>
      </c>
      <c r="W36" s="742">
        <f t="shared" si="11"/>
        <v>8488485</v>
      </c>
      <c r="X36" s="742">
        <f t="shared" si="12"/>
        <v>509309.1</v>
      </c>
      <c r="Y36" s="742">
        <f t="shared" si="13"/>
        <v>212212.125</v>
      </c>
      <c r="Z36" s="742">
        <f t="shared" si="26"/>
        <v>1018618.2</v>
      </c>
      <c r="AA36" s="742">
        <f t="shared" si="3"/>
        <v>10228624.424999999</v>
      </c>
      <c r="AB36" s="742">
        <f t="shared" si="4"/>
        <v>142083.96200861226</v>
      </c>
      <c r="AC36" s="739">
        <v>0.25</v>
      </c>
      <c r="AD36" s="742">
        <f t="shared" si="5"/>
        <v>2557156.1062499997</v>
      </c>
      <c r="AE36" s="738">
        <f t="shared" si="27"/>
        <v>50000</v>
      </c>
      <c r="AF36" s="742">
        <f t="shared" si="6"/>
        <v>58305.955959302322</v>
      </c>
      <c r="AG36" s="743">
        <v>43</v>
      </c>
      <c r="AH36" s="742">
        <f t="shared" si="7"/>
        <v>7671468.3187499996</v>
      </c>
      <c r="AI36" s="738">
        <f t="shared" si="17"/>
        <v>0</v>
      </c>
      <c r="AJ36" s="742">
        <f t="shared" si="14"/>
        <v>-10228624.424999999</v>
      </c>
      <c r="EV36" s="784">
        <f t="shared" si="9"/>
        <v>117912.00166689817</v>
      </c>
    </row>
    <row r="37" spans="1:152" x14ac:dyDescent="0.2">
      <c r="A37" s="993"/>
      <c r="B37" s="736">
        <v>35</v>
      </c>
      <c r="C37" s="736" t="s">
        <v>104</v>
      </c>
      <c r="D37" s="736" t="s">
        <v>138</v>
      </c>
      <c r="E37" s="736" t="s">
        <v>152</v>
      </c>
      <c r="F37" s="736" t="s">
        <v>127</v>
      </c>
      <c r="G37" s="736" t="s">
        <v>161</v>
      </c>
      <c r="H37" s="736" t="s">
        <v>109</v>
      </c>
      <c r="I37" s="740">
        <f>'[18]Collection Unsold 10.15.21'!G38</f>
        <v>67.72</v>
      </c>
      <c r="J37" s="744">
        <f>'[18]Collection Unsold 10.15.21'!H38</f>
        <v>4.2</v>
      </c>
      <c r="K37" s="740">
        <f t="shared" si="0"/>
        <v>71.92</v>
      </c>
      <c r="L37" s="742">
        <f t="shared" si="22"/>
        <v>8378400</v>
      </c>
      <c r="M37" s="736"/>
      <c r="N37" s="736">
        <f t="shared" si="24"/>
        <v>3</v>
      </c>
      <c r="O37" s="738">
        <f t="shared" si="1"/>
        <v>101580</v>
      </c>
      <c r="P37" s="738"/>
      <c r="Q37" s="742"/>
      <c r="R37" s="738"/>
      <c r="S37" s="738"/>
      <c r="T37" s="738" t="str">
        <f t="shared" si="23"/>
        <v>INNER</v>
      </c>
      <c r="U37" s="738"/>
      <c r="V37" s="738">
        <f t="shared" si="25"/>
        <v>101580</v>
      </c>
      <c r="W37" s="742">
        <f t="shared" si="11"/>
        <v>8479980</v>
      </c>
      <c r="X37" s="742">
        <f t="shared" si="12"/>
        <v>508798.8</v>
      </c>
      <c r="Y37" s="742">
        <f t="shared" si="13"/>
        <v>211999.5</v>
      </c>
      <c r="Z37" s="742">
        <f t="shared" si="26"/>
        <v>1017597.6</v>
      </c>
      <c r="AA37" s="742">
        <f t="shared" si="3"/>
        <v>10218375.9</v>
      </c>
      <c r="AB37" s="742">
        <f t="shared" si="4"/>
        <v>142079.75389321469</v>
      </c>
      <c r="AC37" s="739">
        <v>0.25</v>
      </c>
      <c r="AD37" s="742">
        <f t="shared" si="5"/>
        <v>2554593.9750000001</v>
      </c>
      <c r="AE37" s="738">
        <f>AE35</f>
        <v>50000</v>
      </c>
      <c r="AF37" s="742">
        <f t="shared" si="6"/>
        <v>58246.371511627913</v>
      </c>
      <c r="AG37" s="743">
        <v>43</v>
      </c>
      <c r="AH37" s="742">
        <f t="shared" si="7"/>
        <v>7663781.9250000007</v>
      </c>
      <c r="AI37" s="738">
        <f t="shared" si="17"/>
        <v>0</v>
      </c>
      <c r="AJ37" s="742">
        <f t="shared" si="14"/>
        <v>-10218375.9</v>
      </c>
      <c r="AO37" s="729"/>
      <c r="EV37" s="784">
        <f t="shared" si="9"/>
        <v>117908.50945494995</v>
      </c>
    </row>
    <row r="38" spans="1:152" x14ac:dyDescent="0.2">
      <c r="A38" s="993"/>
      <c r="B38" s="736">
        <v>36</v>
      </c>
      <c r="C38" s="736" t="s">
        <v>104</v>
      </c>
      <c r="D38" s="736" t="s">
        <v>138</v>
      </c>
      <c r="E38" s="736" t="s">
        <v>152</v>
      </c>
      <c r="F38" s="736" t="s">
        <v>129</v>
      </c>
      <c r="G38" s="736" t="s">
        <v>162</v>
      </c>
      <c r="H38" s="736" t="s">
        <v>109</v>
      </c>
      <c r="I38" s="740">
        <f>'[18]Collection Unsold 10.15.21'!G39</f>
        <v>67.72</v>
      </c>
      <c r="J38" s="744">
        <f>'[18]Collection Unsold 10.15.21'!H39</f>
        <v>4.2</v>
      </c>
      <c r="K38" s="740">
        <f t="shared" si="0"/>
        <v>71.92</v>
      </c>
      <c r="L38" s="742">
        <f t="shared" si="22"/>
        <v>8378400</v>
      </c>
      <c r="M38" s="736"/>
      <c r="N38" s="736">
        <f t="shared" si="24"/>
        <v>3</v>
      </c>
      <c r="O38" s="738">
        <f t="shared" si="1"/>
        <v>101580</v>
      </c>
      <c r="P38" s="738"/>
      <c r="Q38" s="742"/>
      <c r="R38" s="738"/>
      <c r="S38" s="738"/>
      <c r="T38" s="738" t="str">
        <f t="shared" si="23"/>
        <v>INNER</v>
      </c>
      <c r="U38" s="738"/>
      <c r="V38" s="738">
        <f t="shared" ref="V38:V41" si="28">SUM(O38:S38)</f>
        <v>101580</v>
      </c>
      <c r="W38" s="742">
        <f t="shared" si="11"/>
        <v>8479980</v>
      </c>
      <c r="X38" s="742">
        <f t="shared" si="12"/>
        <v>508798.8</v>
      </c>
      <c r="Y38" s="742">
        <f t="shared" si="13"/>
        <v>211999.5</v>
      </c>
      <c r="Z38" s="742">
        <f t="shared" si="26"/>
        <v>1017597.6</v>
      </c>
      <c r="AA38" s="742">
        <f t="shared" si="3"/>
        <v>10218375.9</v>
      </c>
      <c r="AB38" s="742">
        <f t="shared" si="4"/>
        <v>142079.75389321469</v>
      </c>
      <c r="AC38" s="739">
        <v>0.25</v>
      </c>
      <c r="AD38" s="742">
        <f t="shared" si="5"/>
        <v>2554593.9750000001</v>
      </c>
      <c r="AE38" s="738">
        <f t="shared" ref="AE38:AE41" si="29">AE36</f>
        <v>50000</v>
      </c>
      <c r="AF38" s="742">
        <f t="shared" si="6"/>
        <v>58246.371511627913</v>
      </c>
      <c r="AG38" s="743">
        <v>43</v>
      </c>
      <c r="AH38" s="742">
        <f t="shared" si="7"/>
        <v>7663781.9250000007</v>
      </c>
      <c r="AI38" s="738">
        <f t="shared" si="17"/>
        <v>0</v>
      </c>
      <c r="AJ38" s="742">
        <f t="shared" si="14"/>
        <v>-10218375.9</v>
      </c>
      <c r="AO38" s="729"/>
      <c r="EV38" s="784">
        <f t="shared" si="9"/>
        <v>117908.50945494995</v>
      </c>
    </row>
    <row r="39" spans="1:152" x14ac:dyDescent="0.2">
      <c r="A39" s="993"/>
      <c r="B39" s="736">
        <v>37</v>
      </c>
      <c r="C39" s="736" t="s">
        <v>104</v>
      </c>
      <c r="D39" s="736" t="s">
        <v>138</v>
      </c>
      <c r="E39" s="736" t="s">
        <v>152</v>
      </c>
      <c r="F39" s="736" t="s">
        <v>131</v>
      </c>
      <c r="G39" s="736" t="s">
        <v>163</v>
      </c>
      <c r="H39" s="736" t="s">
        <v>109</v>
      </c>
      <c r="I39" s="740">
        <f>'[18]Collection Unsold 10.15.21'!G40</f>
        <v>67.72</v>
      </c>
      <c r="J39" s="744">
        <f>'[18]Collection Unsold 10.15.21'!H40</f>
        <v>4.2</v>
      </c>
      <c r="K39" s="740">
        <f t="shared" si="0"/>
        <v>71.92</v>
      </c>
      <c r="L39" s="742">
        <f t="shared" si="22"/>
        <v>8378400</v>
      </c>
      <c r="M39" s="736"/>
      <c r="N39" s="736">
        <f t="shared" si="24"/>
        <v>3</v>
      </c>
      <c r="O39" s="738">
        <f t="shared" si="1"/>
        <v>101580</v>
      </c>
      <c r="P39" s="738"/>
      <c r="Q39" s="742"/>
      <c r="R39" s="738"/>
      <c r="S39" s="738"/>
      <c r="T39" s="738" t="str">
        <f t="shared" si="23"/>
        <v>INNER</v>
      </c>
      <c r="U39" s="738"/>
      <c r="V39" s="738">
        <f t="shared" si="28"/>
        <v>101580</v>
      </c>
      <c r="W39" s="742">
        <f t="shared" si="11"/>
        <v>8479980</v>
      </c>
      <c r="X39" s="742">
        <f t="shared" si="12"/>
        <v>508798.8</v>
      </c>
      <c r="Y39" s="742">
        <f t="shared" si="13"/>
        <v>211999.5</v>
      </c>
      <c r="Z39" s="742">
        <f t="shared" si="26"/>
        <v>1017597.6</v>
      </c>
      <c r="AA39" s="742">
        <f t="shared" si="3"/>
        <v>10218375.9</v>
      </c>
      <c r="AB39" s="742">
        <f t="shared" si="4"/>
        <v>142079.75389321469</v>
      </c>
      <c r="AC39" s="739">
        <v>0.25</v>
      </c>
      <c r="AD39" s="742">
        <f t="shared" si="5"/>
        <v>2554593.9750000001</v>
      </c>
      <c r="AE39" s="738">
        <f t="shared" si="29"/>
        <v>50000</v>
      </c>
      <c r="AF39" s="742">
        <f t="shared" si="6"/>
        <v>58246.371511627913</v>
      </c>
      <c r="AG39" s="743">
        <v>43</v>
      </c>
      <c r="AH39" s="742">
        <f t="shared" si="7"/>
        <v>7663781.9250000007</v>
      </c>
      <c r="AI39" s="738">
        <f t="shared" si="17"/>
        <v>0</v>
      </c>
      <c r="AJ39" s="742">
        <f t="shared" si="14"/>
        <v>-10218375.9</v>
      </c>
      <c r="AO39" s="729"/>
      <c r="EV39" s="784">
        <f t="shared" si="9"/>
        <v>117908.50945494995</v>
      </c>
    </row>
    <row r="40" spans="1:152" x14ac:dyDescent="0.2">
      <c r="A40" s="993"/>
      <c r="B40" s="736">
        <v>38</v>
      </c>
      <c r="C40" s="736" t="s">
        <v>104</v>
      </c>
      <c r="D40" s="736" t="s">
        <v>138</v>
      </c>
      <c r="E40" s="736" t="s">
        <v>152</v>
      </c>
      <c r="F40" s="736" t="s">
        <v>133</v>
      </c>
      <c r="G40" s="745" t="s">
        <v>164</v>
      </c>
      <c r="H40" s="736" t="s">
        <v>109</v>
      </c>
      <c r="I40" s="740">
        <f>'[18]Collection Unsold 10.15.21'!G41</f>
        <v>86.15</v>
      </c>
      <c r="J40" s="744">
        <f>'[18]Collection Unsold 10.15.21'!H41</f>
        <v>12.66</v>
      </c>
      <c r="K40" s="740">
        <f t="shared" si="0"/>
        <v>98.81</v>
      </c>
      <c r="L40" s="742">
        <f t="shared" si="22"/>
        <v>11097600</v>
      </c>
      <c r="M40" s="736"/>
      <c r="N40" s="736">
        <f t="shared" si="24"/>
        <v>3</v>
      </c>
      <c r="O40" s="738">
        <f t="shared" si="1"/>
        <v>129225.00000000003</v>
      </c>
      <c r="P40" s="738"/>
      <c r="Q40" s="742"/>
      <c r="R40" s="738">
        <f>I40*1000</f>
        <v>86150</v>
      </c>
      <c r="S40" s="738">
        <f t="shared" ref="S40:S41" si="30">I40*1000</f>
        <v>86150</v>
      </c>
      <c r="T40" s="738" t="str">
        <f t="shared" si="23"/>
        <v>CORNER</v>
      </c>
      <c r="U40" s="738"/>
      <c r="V40" s="738">
        <f t="shared" si="28"/>
        <v>301525</v>
      </c>
      <c r="W40" s="742">
        <f t="shared" si="11"/>
        <v>11399125</v>
      </c>
      <c r="X40" s="742">
        <f t="shared" si="12"/>
        <v>683947.5</v>
      </c>
      <c r="Y40" s="742">
        <f t="shared" si="13"/>
        <v>284978.125</v>
      </c>
      <c r="Z40" s="742">
        <f t="shared" si="26"/>
        <v>1367895</v>
      </c>
      <c r="AA40" s="742">
        <f t="shared" si="3"/>
        <v>13735945.625</v>
      </c>
      <c r="AB40" s="742">
        <f t="shared" si="4"/>
        <v>139013.71951219512</v>
      </c>
      <c r="AC40" s="739">
        <v>0.25</v>
      </c>
      <c r="AD40" s="742">
        <f t="shared" si="5"/>
        <v>3433986.40625</v>
      </c>
      <c r="AE40" s="738">
        <f t="shared" si="29"/>
        <v>50000</v>
      </c>
      <c r="AF40" s="742">
        <f t="shared" si="6"/>
        <v>78697.358284883725</v>
      </c>
      <c r="AG40" s="743">
        <v>43</v>
      </c>
      <c r="AH40" s="742">
        <f t="shared" si="7"/>
        <v>10301959.21875</v>
      </c>
      <c r="AI40" s="738">
        <f t="shared" si="17"/>
        <v>0</v>
      </c>
      <c r="AJ40" s="742">
        <f t="shared" si="14"/>
        <v>-13735945.625</v>
      </c>
      <c r="AO40" s="729"/>
      <c r="EV40" s="784">
        <f t="shared" si="9"/>
        <v>115364.08258273454</v>
      </c>
    </row>
    <row r="41" spans="1:152" x14ac:dyDescent="0.2">
      <c r="A41" s="993"/>
      <c r="B41" s="736">
        <v>39</v>
      </c>
      <c r="C41" s="736" t="s">
        <v>135</v>
      </c>
      <c r="D41" s="736" t="s">
        <v>138</v>
      </c>
      <c r="E41" s="736" t="s">
        <v>152</v>
      </c>
      <c r="F41" s="736" t="s">
        <v>136</v>
      </c>
      <c r="G41" s="736" t="s">
        <v>165</v>
      </c>
      <c r="H41" s="736" t="s">
        <v>109</v>
      </c>
      <c r="I41" s="740">
        <f>'[18]Collection Unsold 10.15.21'!G42</f>
        <v>53.53</v>
      </c>
      <c r="J41" s="744">
        <f>'[18]Collection Unsold 10.15.21'!H42</f>
        <v>4.18</v>
      </c>
      <c r="K41" s="740">
        <f t="shared" si="0"/>
        <v>57.71</v>
      </c>
      <c r="L41" s="742">
        <f t="shared" si="22"/>
        <v>6674400</v>
      </c>
      <c r="M41" s="736"/>
      <c r="N41" s="736">
        <f t="shared" si="24"/>
        <v>3</v>
      </c>
      <c r="O41" s="738">
        <f t="shared" si="1"/>
        <v>80295</v>
      </c>
      <c r="P41" s="738"/>
      <c r="Q41" s="742"/>
      <c r="R41" s="738"/>
      <c r="S41" s="738">
        <f t="shared" si="30"/>
        <v>53530</v>
      </c>
      <c r="T41" s="738" t="str">
        <f t="shared" si="23"/>
        <v>INNER</v>
      </c>
      <c r="U41" s="738"/>
      <c r="V41" s="738">
        <f t="shared" si="28"/>
        <v>133825</v>
      </c>
      <c r="W41" s="742">
        <f t="shared" si="11"/>
        <v>6808225</v>
      </c>
      <c r="X41" s="742">
        <f t="shared" si="12"/>
        <v>408493.5</v>
      </c>
      <c r="Y41" s="742">
        <f t="shared" si="13"/>
        <v>170205.625</v>
      </c>
      <c r="Z41" s="742">
        <f t="shared" si="26"/>
        <v>816987</v>
      </c>
      <c r="AA41" s="742">
        <f t="shared" si="3"/>
        <v>8203911.125</v>
      </c>
      <c r="AB41" s="742">
        <f t="shared" si="4"/>
        <v>142157.53119043494</v>
      </c>
      <c r="AC41" s="739">
        <v>0.25</v>
      </c>
      <c r="AD41" s="742">
        <f t="shared" si="5"/>
        <v>2050977.78125</v>
      </c>
      <c r="AE41" s="738">
        <f t="shared" si="29"/>
        <v>50000</v>
      </c>
      <c r="AF41" s="742">
        <f t="shared" si="6"/>
        <v>46534.367005813954</v>
      </c>
      <c r="AG41" s="743">
        <v>43</v>
      </c>
      <c r="AH41" s="742">
        <f t="shared" si="7"/>
        <v>6152933.34375</v>
      </c>
      <c r="AI41" s="738">
        <f t="shared" si="17"/>
        <v>0</v>
      </c>
      <c r="AJ41" s="742">
        <f t="shared" si="14"/>
        <v>-8203911.125</v>
      </c>
      <c r="AO41" s="729"/>
      <c r="EV41" s="784">
        <f t="shared" si="9"/>
        <v>117973.05492982152</v>
      </c>
    </row>
    <row r="42" spans="1:152" x14ac:dyDescent="0.2">
      <c r="A42" s="993">
        <v>4</v>
      </c>
      <c r="B42" s="736">
        <v>40</v>
      </c>
      <c r="C42" s="736" t="s">
        <v>104</v>
      </c>
      <c r="D42" s="736" t="s">
        <v>152</v>
      </c>
      <c r="E42" s="736" t="s">
        <v>166</v>
      </c>
      <c r="F42" s="736" t="s">
        <v>107</v>
      </c>
      <c r="G42" s="736" t="s">
        <v>167</v>
      </c>
      <c r="H42" s="736" t="s">
        <v>109</v>
      </c>
      <c r="I42" s="740">
        <f>'[18]Collection Unsold 10.15.21'!G43</f>
        <v>98.5</v>
      </c>
      <c r="J42" s="741">
        <f>'[18]Collection Unsold 10.15.21'!H43</f>
        <v>10.46</v>
      </c>
      <c r="K42" s="740">
        <f t="shared" si="0"/>
        <v>108.96000000000001</v>
      </c>
      <c r="L42" s="742">
        <f t="shared" ref="L42:L54" si="31">L3</f>
        <v>12447600</v>
      </c>
      <c r="M42" s="736"/>
      <c r="N42" s="736">
        <v>4</v>
      </c>
      <c r="O42" s="738">
        <f t="shared" si="1"/>
        <v>197000</v>
      </c>
      <c r="P42" s="738">
        <f t="shared" ref="P42:P54" si="32">I42*2000</f>
        <v>197000</v>
      </c>
      <c r="Q42" s="742"/>
      <c r="R42" s="738">
        <f>I42*1000</f>
        <v>98500</v>
      </c>
      <c r="S42" s="738">
        <f>I42*1000</f>
        <v>98500</v>
      </c>
      <c r="T42" s="738" t="str">
        <f t="shared" ref="T42:T54" si="33">T3</f>
        <v>CORNER</v>
      </c>
      <c r="U42" s="738"/>
      <c r="V42" s="738">
        <f t="shared" si="25"/>
        <v>591000</v>
      </c>
      <c r="W42" s="742">
        <f t="shared" si="11"/>
        <v>13038600</v>
      </c>
      <c r="X42" s="742">
        <f t="shared" si="12"/>
        <v>782316</v>
      </c>
      <c r="Y42" s="742">
        <f t="shared" si="13"/>
        <v>325965</v>
      </c>
      <c r="Z42" s="742">
        <f t="shared" si="26"/>
        <v>1564632</v>
      </c>
      <c r="AA42" s="742">
        <f t="shared" si="3"/>
        <v>15711513</v>
      </c>
      <c r="AB42" s="742">
        <f t="shared" si="4"/>
        <v>144195.23678414096</v>
      </c>
      <c r="AC42" s="739">
        <v>0.25</v>
      </c>
      <c r="AD42" s="742">
        <f t="shared" si="5"/>
        <v>3927878.25</v>
      </c>
      <c r="AE42" s="738">
        <f>AE37</f>
        <v>50000</v>
      </c>
      <c r="AF42" s="742">
        <f t="shared" si="6"/>
        <v>90183.215116279069</v>
      </c>
      <c r="AG42" s="743">
        <v>43</v>
      </c>
      <c r="AH42" s="742">
        <f t="shared" si="7"/>
        <v>11783634.75</v>
      </c>
      <c r="AI42" s="738">
        <f t="shared" si="17"/>
        <v>0</v>
      </c>
      <c r="AJ42" s="742">
        <f t="shared" si="14"/>
        <v>-15711513</v>
      </c>
      <c r="AO42" s="729"/>
      <c r="EV42" s="784">
        <f t="shared" si="9"/>
        <v>119664.09691629955</v>
      </c>
    </row>
    <row r="43" spans="1:152" x14ac:dyDescent="0.2">
      <c r="A43" s="993"/>
      <c r="B43" s="736">
        <v>41</v>
      </c>
      <c r="C43" s="736" t="s">
        <v>104</v>
      </c>
      <c r="D43" s="736" t="s">
        <v>152</v>
      </c>
      <c r="E43" s="736" t="s">
        <v>166</v>
      </c>
      <c r="F43" s="736" t="s">
        <v>111</v>
      </c>
      <c r="G43" s="736" t="s">
        <v>168</v>
      </c>
      <c r="H43" s="736" t="s">
        <v>113</v>
      </c>
      <c r="I43" s="740">
        <f>'[18]Collection Unsold 10.15.21'!G44</f>
        <v>51.02</v>
      </c>
      <c r="J43" s="741">
        <f>'[18]Collection Unsold 10.15.21'!H44</f>
        <v>5.36</v>
      </c>
      <c r="K43" s="740">
        <f t="shared" si="0"/>
        <v>56.38</v>
      </c>
      <c r="L43" s="742">
        <f t="shared" si="31"/>
        <v>6444000</v>
      </c>
      <c r="M43" s="736"/>
      <c r="N43" s="736">
        <v>4</v>
      </c>
      <c r="O43" s="738">
        <f t="shared" si="1"/>
        <v>102040</v>
      </c>
      <c r="P43" s="738">
        <f t="shared" si="32"/>
        <v>102040</v>
      </c>
      <c r="Q43" s="742"/>
      <c r="R43" s="738"/>
      <c r="S43" s="738">
        <f>I43*1000</f>
        <v>51020</v>
      </c>
      <c r="T43" s="738" t="str">
        <f t="shared" si="33"/>
        <v>INNER</v>
      </c>
      <c r="U43" s="738"/>
      <c r="V43" s="738">
        <f t="shared" si="25"/>
        <v>255100</v>
      </c>
      <c r="W43" s="742">
        <f t="shared" si="11"/>
        <v>6699100</v>
      </c>
      <c r="X43" s="742">
        <f t="shared" si="12"/>
        <v>401946</v>
      </c>
      <c r="Y43" s="742">
        <f t="shared" si="13"/>
        <v>167477.5</v>
      </c>
      <c r="Z43" s="742">
        <f t="shared" si="26"/>
        <v>803892</v>
      </c>
      <c r="AA43" s="742">
        <f t="shared" si="3"/>
        <v>8072415.5</v>
      </c>
      <c r="AB43" s="742">
        <f t="shared" si="4"/>
        <v>143178.70698829371</v>
      </c>
      <c r="AC43" s="739">
        <v>0.25</v>
      </c>
      <c r="AD43" s="742">
        <f t="shared" si="5"/>
        <v>2018103.875</v>
      </c>
      <c r="AE43" s="738">
        <f t="shared" si="27"/>
        <v>50000</v>
      </c>
      <c r="AF43" s="742">
        <f t="shared" si="6"/>
        <v>45769.857558139534</v>
      </c>
      <c r="AG43" s="743">
        <v>43</v>
      </c>
      <c r="AH43" s="742">
        <f t="shared" si="7"/>
        <v>6054311.625</v>
      </c>
      <c r="AI43" s="738">
        <f t="shared" si="17"/>
        <v>0</v>
      </c>
      <c r="AJ43" s="742">
        <f t="shared" si="14"/>
        <v>-8072415.5</v>
      </c>
      <c r="EV43" s="784">
        <f t="shared" si="9"/>
        <v>118820.50372472507</v>
      </c>
    </row>
    <row r="44" spans="1:152" x14ac:dyDescent="0.2">
      <c r="A44" s="993"/>
      <c r="B44" s="736">
        <v>42</v>
      </c>
      <c r="C44" s="736" t="s">
        <v>104</v>
      </c>
      <c r="D44" s="736" t="s">
        <v>152</v>
      </c>
      <c r="E44" s="736" t="s">
        <v>166</v>
      </c>
      <c r="F44" s="736" t="s">
        <v>115</v>
      </c>
      <c r="G44" s="736" t="s">
        <v>169</v>
      </c>
      <c r="H44" s="736" t="s">
        <v>109</v>
      </c>
      <c r="I44" s="740">
        <f>'[18]Collection Unsold 10.15.21'!G45</f>
        <v>55.62</v>
      </c>
      <c r="J44" s="741">
        <f>'[18]Collection Unsold 10.15.21'!H45</f>
        <v>5.37</v>
      </c>
      <c r="K44" s="740">
        <f t="shared" si="0"/>
        <v>60.989999999999995</v>
      </c>
      <c r="L44" s="742">
        <f t="shared" si="31"/>
        <v>6996600</v>
      </c>
      <c r="M44" s="736"/>
      <c r="N44" s="736">
        <v>4</v>
      </c>
      <c r="O44" s="738">
        <f t="shared" si="1"/>
        <v>111240</v>
      </c>
      <c r="P44" s="738">
        <f t="shared" si="32"/>
        <v>111240</v>
      </c>
      <c r="Q44" s="742"/>
      <c r="R44" s="738"/>
      <c r="S44" s="738">
        <f>I44*1000</f>
        <v>55620</v>
      </c>
      <c r="T44" s="738" t="str">
        <f t="shared" si="33"/>
        <v>INNER</v>
      </c>
      <c r="U44" s="738"/>
      <c r="V44" s="738">
        <f t="shared" si="25"/>
        <v>278100</v>
      </c>
      <c r="W44" s="742">
        <f t="shared" si="11"/>
        <v>7274700</v>
      </c>
      <c r="X44" s="742">
        <f t="shared" si="12"/>
        <v>436482</v>
      </c>
      <c r="Y44" s="742">
        <f t="shared" si="13"/>
        <v>181867.5</v>
      </c>
      <c r="Z44" s="742">
        <f t="shared" si="26"/>
        <v>872964</v>
      </c>
      <c r="AA44" s="742">
        <f t="shared" si="3"/>
        <v>8766013.5</v>
      </c>
      <c r="AB44" s="742">
        <f t="shared" si="4"/>
        <v>143728.70142646338</v>
      </c>
      <c r="AC44" s="739">
        <v>0.25</v>
      </c>
      <c r="AD44" s="742">
        <f t="shared" si="5"/>
        <v>2191503.375</v>
      </c>
      <c r="AE44" s="738">
        <f t="shared" si="27"/>
        <v>50000</v>
      </c>
      <c r="AF44" s="742">
        <f t="shared" si="6"/>
        <v>49802.404069767443</v>
      </c>
      <c r="AG44" s="743">
        <v>43</v>
      </c>
      <c r="AH44" s="742">
        <f t="shared" si="7"/>
        <v>6574510.125</v>
      </c>
      <c r="AI44" s="738">
        <f t="shared" si="17"/>
        <v>0</v>
      </c>
      <c r="AJ44" s="742">
        <f t="shared" si="14"/>
        <v>-8766013.5</v>
      </c>
      <c r="EV44" s="784">
        <f t="shared" si="9"/>
        <v>119276.93064436794</v>
      </c>
    </row>
    <row r="45" spans="1:152" x14ac:dyDescent="0.2">
      <c r="A45" s="993"/>
      <c r="B45" s="736">
        <v>43</v>
      </c>
      <c r="C45" s="736" t="s">
        <v>104</v>
      </c>
      <c r="D45" s="736" t="s">
        <v>152</v>
      </c>
      <c r="E45" s="736" t="s">
        <v>166</v>
      </c>
      <c r="F45" s="736" t="s">
        <v>117</v>
      </c>
      <c r="G45" s="736" t="s">
        <v>170</v>
      </c>
      <c r="H45" s="736" t="s">
        <v>109</v>
      </c>
      <c r="I45" s="740">
        <f>'[18]Collection Unsold 10.15.21'!G46</f>
        <v>60.78</v>
      </c>
      <c r="J45" s="741">
        <f>'[18]Collection Unsold 10.15.21'!H46</f>
        <v>5.15</v>
      </c>
      <c r="K45" s="740">
        <f t="shared" si="0"/>
        <v>65.930000000000007</v>
      </c>
      <c r="L45" s="742">
        <f t="shared" si="31"/>
        <v>7602600</v>
      </c>
      <c r="M45" s="736"/>
      <c r="N45" s="736">
        <v>4</v>
      </c>
      <c r="O45" s="738">
        <f t="shared" si="1"/>
        <v>121560</v>
      </c>
      <c r="P45" s="738">
        <f t="shared" si="32"/>
        <v>121560</v>
      </c>
      <c r="Q45" s="742"/>
      <c r="R45" s="738"/>
      <c r="S45" s="738">
        <f>I45*1000</f>
        <v>60780</v>
      </c>
      <c r="T45" s="738" t="str">
        <f t="shared" si="33"/>
        <v>INNER</v>
      </c>
      <c r="U45" s="738"/>
      <c r="V45" s="738">
        <f t="shared" si="25"/>
        <v>303900</v>
      </c>
      <c r="W45" s="742">
        <f t="shared" si="11"/>
        <v>7906500</v>
      </c>
      <c r="X45" s="742">
        <f t="shared" si="12"/>
        <v>474390</v>
      </c>
      <c r="Y45" s="742">
        <f t="shared" si="13"/>
        <v>197662.5</v>
      </c>
      <c r="Z45" s="742">
        <f t="shared" si="26"/>
        <v>948780</v>
      </c>
      <c r="AA45" s="742">
        <f t="shared" si="3"/>
        <v>9527332.5</v>
      </c>
      <c r="AB45" s="742">
        <f t="shared" si="4"/>
        <v>144506.78750189595</v>
      </c>
      <c r="AC45" s="739">
        <v>0.25</v>
      </c>
      <c r="AD45" s="742">
        <f t="shared" si="5"/>
        <v>2381833.125</v>
      </c>
      <c r="AE45" s="738">
        <f t="shared" si="27"/>
        <v>50000</v>
      </c>
      <c r="AF45" s="742">
        <f t="shared" si="6"/>
        <v>54228.677325581397</v>
      </c>
      <c r="AG45" s="743">
        <v>43</v>
      </c>
      <c r="AH45" s="742">
        <f t="shared" si="7"/>
        <v>7145499.375</v>
      </c>
      <c r="AI45" s="738">
        <f t="shared" si="17"/>
        <v>0</v>
      </c>
      <c r="AJ45" s="742">
        <f t="shared" si="14"/>
        <v>-9527332.5</v>
      </c>
      <c r="EV45" s="784">
        <f t="shared" si="9"/>
        <v>119922.64522978915</v>
      </c>
    </row>
    <row r="46" spans="1:152" x14ac:dyDescent="0.2">
      <c r="A46" s="993"/>
      <c r="B46" s="736">
        <v>44</v>
      </c>
      <c r="C46" s="736" t="s">
        <v>104</v>
      </c>
      <c r="D46" s="736" t="s">
        <v>152</v>
      </c>
      <c r="E46" s="736" t="s">
        <v>166</v>
      </c>
      <c r="F46" s="736" t="s">
        <v>119</v>
      </c>
      <c r="G46" s="736" t="s">
        <v>171</v>
      </c>
      <c r="H46" s="736" t="s">
        <v>109</v>
      </c>
      <c r="I46" s="740">
        <f>'[18]Collection Unsold 10.15.21'!G47</f>
        <v>83.49</v>
      </c>
      <c r="J46" s="741">
        <f>'[18]Collection Unsold 10.15.21'!H47</f>
        <v>12.309999999999999</v>
      </c>
      <c r="K46" s="740">
        <f t="shared" si="0"/>
        <v>95.8</v>
      </c>
      <c r="L46" s="742">
        <f t="shared" si="31"/>
        <v>10757400</v>
      </c>
      <c r="M46" s="736"/>
      <c r="N46" s="736">
        <v>4</v>
      </c>
      <c r="O46" s="738">
        <f t="shared" si="1"/>
        <v>166980</v>
      </c>
      <c r="P46" s="738">
        <f t="shared" si="32"/>
        <v>166980</v>
      </c>
      <c r="Q46" s="742"/>
      <c r="R46" s="738">
        <f>I46*1000</f>
        <v>83490</v>
      </c>
      <c r="S46" s="738">
        <f>I46*1000</f>
        <v>83490</v>
      </c>
      <c r="T46" s="738" t="str">
        <f t="shared" si="33"/>
        <v>CORNER</v>
      </c>
      <c r="U46" s="738"/>
      <c r="V46" s="738">
        <f t="shared" si="25"/>
        <v>500940</v>
      </c>
      <c r="W46" s="742">
        <f t="shared" si="11"/>
        <v>11258340</v>
      </c>
      <c r="X46" s="742">
        <f t="shared" si="12"/>
        <v>675500.4</v>
      </c>
      <c r="Y46" s="742">
        <f t="shared" si="13"/>
        <v>281458.5</v>
      </c>
      <c r="Z46" s="742">
        <f t="shared" si="26"/>
        <v>1351000.8</v>
      </c>
      <c r="AA46" s="742">
        <f t="shared" si="3"/>
        <v>13566299.700000001</v>
      </c>
      <c r="AB46" s="742">
        <f t="shared" si="4"/>
        <v>141610.6440501044</v>
      </c>
      <c r="AC46" s="739">
        <v>0.25</v>
      </c>
      <c r="AD46" s="742">
        <f t="shared" si="5"/>
        <v>3391574.9250000003</v>
      </c>
      <c r="AE46" s="738">
        <f t="shared" si="27"/>
        <v>50000</v>
      </c>
      <c r="AF46" s="742">
        <f t="shared" si="6"/>
        <v>77711.044767441868</v>
      </c>
      <c r="AG46" s="743">
        <v>43</v>
      </c>
      <c r="AH46" s="742">
        <f t="shared" si="7"/>
        <v>10174724.775</v>
      </c>
      <c r="AI46" s="738">
        <f t="shared" si="17"/>
        <v>0</v>
      </c>
      <c r="AJ46" s="742">
        <f t="shared" si="14"/>
        <v>-13566299.700000001</v>
      </c>
      <c r="EV46" s="784">
        <f t="shared" si="9"/>
        <v>117519.20668058455</v>
      </c>
    </row>
    <row r="47" spans="1:152" x14ac:dyDescent="0.2">
      <c r="A47" s="993"/>
      <c r="B47" s="736">
        <v>45</v>
      </c>
      <c r="C47" s="736" t="s">
        <v>104</v>
      </c>
      <c r="D47" s="736" t="s">
        <v>152</v>
      </c>
      <c r="E47" s="736" t="s">
        <v>166</v>
      </c>
      <c r="F47" s="736" t="s">
        <v>121</v>
      </c>
      <c r="G47" s="736" t="s">
        <v>172</v>
      </c>
      <c r="H47" s="736" t="s">
        <v>109</v>
      </c>
      <c r="I47" s="740">
        <f>'[18]Collection Unsold 10.15.21'!G48</f>
        <v>61.03</v>
      </c>
      <c r="J47" s="741">
        <f>'[18]Collection Unsold 10.15.21'!H48</f>
        <v>4.1900000000000004</v>
      </c>
      <c r="K47" s="740">
        <f t="shared" si="0"/>
        <v>65.22</v>
      </c>
      <c r="L47" s="742">
        <f t="shared" si="31"/>
        <v>7575000</v>
      </c>
      <c r="M47" s="736"/>
      <c r="N47" s="736">
        <v>4</v>
      </c>
      <c r="O47" s="738">
        <f t="shared" si="1"/>
        <v>122060</v>
      </c>
      <c r="P47" s="738">
        <f t="shared" si="32"/>
        <v>122060</v>
      </c>
      <c r="Q47" s="742"/>
      <c r="R47" s="738"/>
      <c r="S47" s="738"/>
      <c r="T47" s="738" t="str">
        <f t="shared" si="33"/>
        <v>INNER</v>
      </c>
      <c r="U47" s="738"/>
      <c r="V47" s="738">
        <f t="shared" si="25"/>
        <v>244120</v>
      </c>
      <c r="W47" s="742">
        <f t="shared" si="11"/>
        <v>7819120</v>
      </c>
      <c r="X47" s="742">
        <f t="shared" si="12"/>
        <v>469147.2</v>
      </c>
      <c r="Y47" s="742">
        <f t="shared" si="13"/>
        <v>195478</v>
      </c>
      <c r="Z47" s="742">
        <f t="shared" si="26"/>
        <v>938294.4</v>
      </c>
      <c r="AA47" s="742">
        <f t="shared" si="3"/>
        <v>9422039.5999999996</v>
      </c>
      <c r="AB47" s="742">
        <f t="shared" si="4"/>
        <v>144465.49524685679</v>
      </c>
      <c r="AC47" s="739">
        <v>0.25</v>
      </c>
      <c r="AD47" s="742">
        <f t="shared" si="5"/>
        <v>2355509.9</v>
      </c>
      <c r="AE47" s="738">
        <f t="shared" si="27"/>
        <v>50000</v>
      </c>
      <c r="AF47" s="742">
        <f t="shared" si="6"/>
        <v>53616.509302325576</v>
      </c>
      <c r="AG47" s="743">
        <v>43</v>
      </c>
      <c r="AH47" s="742">
        <f t="shared" si="7"/>
        <v>7066529.6999999993</v>
      </c>
      <c r="AI47" s="738">
        <f t="shared" si="17"/>
        <v>0</v>
      </c>
      <c r="AJ47" s="742">
        <f t="shared" si="14"/>
        <v>-9422039.5999999996</v>
      </c>
      <c r="EV47" s="784">
        <f t="shared" si="9"/>
        <v>119888.37779822141</v>
      </c>
    </row>
    <row r="48" spans="1:152" x14ac:dyDescent="0.2">
      <c r="A48" s="993"/>
      <c r="B48" s="736">
        <v>46</v>
      </c>
      <c r="C48" s="736" t="s">
        <v>104</v>
      </c>
      <c r="D48" s="736" t="s">
        <v>152</v>
      </c>
      <c r="E48" s="736" t="s">
        <v>166</v>
      </c>
      <c r="F48" s="736" t="s">
        <v>123</v>
      </c>
      <c r="G48" s="736" t="s">
        <v>173</v>
      </c>
      <c r="H48" s="736" t="s">
        <v>109</v>
      </c>
      <c r="I48" s="740">
        <f>'[18]Collection Unsold 10.15.21'!G49</f>
        <v>94.79</v>
      </c>
      <c r="J48" s="741">
        <f>'[18]Collection Unsold 10.15.21'!H49</f>
        <v>11.260000000000002</v>
      </c>
      <c r="K48" s="740">
        <f t="shared" si="0"/>
        <v>106.05000000000001</v>
      </c>
      <c r="L48" s="742">
        <f t="shared" si="31"/>
        <v>12050400</v>
      </c>
      <c r="M48" s="736"/>
      <c r="N48" s="736">
        <v>4</v>
      </c>
      <c r="O48" s="738">
        <f t="shared" si="1"/>
        <v>189580</v>
      </c>
      <c r="P48" s="738">
        <f t="shared" si="32"/>
        <v>189580</v>
      </c>
      <c r="Q48" s="742"/>
      <c r="R48" s="738">
        <f>I48*1000</f>
        <v>94790</v>
      </c>
      <c r="S48" s="738"/>
      <c r="T48" s="738" t="str">
        <f t="shared" si="33"/>
        <v>CORNER</v>
      </c>
      <c r="U48" s="738"/>
      <c r="V48" s="738">
        <f t="shared" si="25"/>
        <v>473950</v>
      </c>
      <c r="W48" s="742">
        <f t="shared" si="11"/>
        <v>12524350</v>
      </c>
      <c r="X48" s="742">
        <f t="shared" si="12"/>
        <v>751461</v>
      </c>
      <c r="Y48" s="742">
        <f t="shared" si="13"/>
        <v>313108.75</v>
      </c>
      <c r="Z48" s="742">
        <f t="shared" si="26"/>
        <v>1502922</v>
      </c>
      <c r="AA48" s="742">
        <f t="shared" si="3"/>
        <v>15091841.75</v>
      </c>
      <c r="AB48" s="742">
        <f t="shared" si="4"/>
        <v>142308.73880245167</v>
      </c>
      <c r="AC48" s="739">
        <v>0.25</v>
      </c>
      <c r="AD48" s="742">
        <f t="shared" si="5"/>
        <v>3772960.4375</v>
      </c>
      <c r="AE48" s="738">
        <f t="shared" si="27"/>
        <v>50000</v>
      </c>
      <c r="AF48" s="742">
        <f t="shared" si="6"/>
        <v>86580.475290697679</v>
      </c>
      <c r="AG48" s="743">
        <v>43</v>
      </c>
      <c r="AH48" s="742">
        <f t="shared" si="7"/>
        <v>11318881.3125</v>
      </c>
      <c r="AI48" s="738">
        <f t="shared" si="17"/>
        <v>0</v>
      </c>
      <c r="AJ48" s="742">
        <f t="shared" si="14"/>
        <v>-15091841.75</v>
      </c>
      <c r="EV48" s="784">
        <f t="shared" si="9"/>
        <v>118098.53842527108</v>
      </c>
    </row>
    <row r="49" spans="1:152" x14ac:dyDescent="0.2">
      <c r="A49" s="993"/>
      <c r="B49" s="736">
        <v>47</v>
      </c>
      <c r="C49" s="736" t="s">
        <v>104</v>
      </c>
      <c r="D49" s="736" t="s">
        <v>152</v>
      </c>
      <c r="E49" s="736" t="s">
        <v>166</v>
      </c>
      <c r="F49" s="736" t="s">
        <v>125</v>
      </c>
      <c r="G49" s="736" t="s">
        <v>174</v>
      </c>
      <c r="H49" s="736" t="s">
        <v>109</v>
      </c>
      <c r="I49" s="740">
        <f>'[18]Collection Unsold 10.15.21'!G50</f>
        <v>67.790000000000006</v>
      </c>
      <c r="J49" s="741">
        <f>'[18]Collection Unsold 10.15.21'!H50</f>
        <v>4.2</v>
      </c>
      <c r="K49" s="740">
        <f t="shared" si="0"/>
        <v>71.990000000000009</v>
      </c>
      <c r="L49" s="742">
        <f t="shared" si="31"/>
        <v>8386800.0000000009</v>
      </c>
      <c r="M49" s="736"/>
      <c r="N49" s="736">
        <v>4</v>
      </c>
      <c r="O49" s="738">
        <f t="shared" si="1"/>
        <v>135580</v>
      </c>
      <c r="P49" s="738">
        <f t="shared" si="32"/>
        <v>135580</v>
      </c>
      <c r="Q49" s="742"/>
      <c r="R49" s="738"/>
      <c r="S49" s="738"/>
      <c r="T49" s="738" t="str">
        <f t="shared" si="33"/>
        <v>INNER</v>
      </c>
      <c r="U49" s="738"/>
      <c r="V49" s="738">
        <f t="shared" si="25"/>
        <v>271160</v>
      </c>
      <c r="W49" s="742">
        <f t="shared" si="11"/>
        <v>8657960</v>
      </c>
      <c r="X49" s="742">
        <f t="shared" si="12"/>
        <v>519477.6</v>
      </c>
      <c r="Y49" s="742">
        <f t="shared" si="13"/>
        <v>216449</v>
      </c>
      <c r="Z49" s="742">
        <f t="shared" si="26"/>
        <v>1038955.2</v>
      </c>
      <c r="AA49" s="742">
        <f t="shared" si="3"/>
        <v>10432841.799999999</v>
      </c>
      <c r="AB49" s="742">
        <f t="shared" si="4"/>
        <v>144920.70843172658</v>
      </c>
      <c r="AC49" s="739">
        <v>0.25</v>
      </c>
      <c r="AD49" s="742">
        <f t="shared" si="5"/>
        <v>2608210.4499999997</v>
      </c>
      <c r="AE49" s="738">
        <f t="shared" si="27"/>
        <v>50000</v>
      </c>
      <c r="AF49" s="742">
        <f t="shared" si="6"/>
        <v>59493.266279069758</v>
      </c>
      <c r="AG49" s="743">
        <v>43</v>
      </c>
      <c r="AH49" s="742">
        <f t="shared" si="7"/>
        <v>7824631.3499999996</v>
      </c>
      <c r="AI49" s="738">
        <f t="shared" si="17"/>
        <v>0</v>
      </c>
      <c r="AJ49" s="742">
        <f t="shared" si="14"/>
        <v>-10432841.799999999</v>
      </c>
      <c r="AN49" s="727"/>
      <c r="EV49" s="784">
        <f t="shared" si="9"/>
        <v>120266.14807612167</v>
      </c>
    </row>
    <row r="50" spans="1:152" x14ac:dyDescent="0.2">
      <c r="A50" s="993"/>
      <c r="B50" s="736">
        <v>48</v>
      </c>
      <c r="C50" s="736" t="s">
        <v>104</v>
      </c>
      <c r="D50" s="736" t="s">
        <v>152</v>
      </c>
      <c r="E50" s="736" t="s">
        <v>166</v>
      </c>
      <c r="F50" s="736" t="s">
        <v>127</v>
      </c>
      <c r="G50" s="736" t="s">
        <v>175</v>
      </c>
      <c r="H50" s="736" t="s">
        <v>109</v>
      </c>
      <c r="I50" s="740">
        <f>'[18]Collection Unsold 10.15.21'!G51</f>
        <v>67.72</v>
      </c>
      <c r="J50" s="741">
        <f>'[18]Collection Unsold 10.15.21'!H51</f>
        <v>4.2</v>
      </c>
      <c r="K50" s="740">
        <f t="shared" si="0"/>
        <v>71.92</v>
      </c>
      <c r="L50" s="742">
        <f t="shared" si="31"/>
        <v>8378400</v>
      </c>
      <c r="M50" s="736"/>
      <c r="N50" s="736">
        <v>4</v>
      </c>
      <c r="O50" s="738">
        <f t="shared" si="1"/>
        <v>135440</v>
      </c>
      <c r="P50" s="738">
        <f t="shared" si="32"/>
        <v>135440</v>
      </c>
      <c r="Q50" s="742"/>
      <c r="R50" s="738"/>
      <c r="S50" s="738"/>
      <c r="T50" s="738" t="str">
        <f t="shared" si="33"/>
        <v>INNER</v>
      </c>
      <c r="U50" s="738"/>
      <c r="V50" s="738">
        <f t="shared" si="25"/>
        <v>270880</v>
      </c>
      <c r="W50" s="742">
        <f t="shared" si="11"/>
        <v>8649280</v>
      </c>
      <c r="X50" s="742">
        <f t="shared" si="12"/>
        <v>518956.79999999999</v>
      </c>
      <c r="Y50" s="742">
        <f t="shared" si="13"/>
        <v>216232</v>
      </c>
      <c r="Z50" s="742">
        <f t="shared" si="26"/>
        <v>1037913.6</v>
      </c>
      <c r="AA50" s="742">
        <f t="shared" si="3"/>
        <v>10422382.4</v>
      </c>
      <c r="AB50" s="742">
        <f t="shared" si="4"/>
        <v>144916.32925472749</v>
      </c>
      <c r="AC50" s="739">
        <v>0.25</v>
      </c>
      <c r="AD50" s="742">
        <f t="shared" si="5"/>
        <v>2605595.6</v>
      </c>
      <c r="AE50" s="738">
        <f t="shared" si="27"/>
        <v>50000</v>
      </c>
      <c r="AF50" s="742">
        <f t="shared" si="6"/>
        <v>59432.455813953493</v>
      </c>
      <c r="AG50" s="743">
        <v>43</v>
      </c>
      <c r="AH50" s="742">
        <f t="shared" si="7"/>
        <v>7816786.8000000007</v>
      </c>
      <c r="AI50" s="738">
        <f t="shared" si="17"/>
        <v>0</v>
      </c>
      <c r="AJ50" s="742">
        <f t="shared" si="14"/>
        <v>-10422382.4</v>
      </c>
      <c r="AN50" s="727"/>
      <c r="EV50" s="784">
        <f t="shared" si="9"/>
        <v>120262.51390433815</v>
      </c>
    </row>
    <row r="51" spans="1:152" x14ac:dyDescent="0.2">
      <c r="A51" s="993"/>
      <c r="B51" s="736">
        <v>49</v>
      </c>
      <c r="C51" s="736" t="s">
        <v>104</v>
      </c>
      <c r="D51" s="736" t="s">
        <v>152</v>
      </c>
      <c r="E51" s="736" t="s">
        <v>166</v>
      </c>
      <c r="F51" s="736" t="s">
        <v>129</v>
      </c>
      <c r="G51" s="736" t="s">
        <v>176</v>
      </c>
      <c r="H51" s="736" t="s">
        <v>109</v>
      </c>
      <c r="I51" s="740">
        <f>'[18]Collection Unsold 10.15.21'!G52</f>
        <v>67.72</v>
      </c>
      <c r="J51" s="741">
        <f>'[18]Collection Unsold 10.15.21'!H52</f>
        <v>4.2</v>
      </c>
      <c r="K51" s="740">
        <f t="shared" si="0"/>
        <v>71.92</v>
      </c>
      <c r="L51" s="742">
        <f t="shared" si="31"/>
        <v>8378400</v>
      </c>
      <c r="M51" s="736"/>
      <c r="N51" s="736">
        <v>4</v>
      </c>
      <c r="O51" s="738">
        <f t="shared" si="1"/>
        <v>135440</v>
      </c>
      <c r="P51" s="738">
        <f t="shared" si="32"/>
        <v>135440</v>
      </c>
      <c r="Q51" s="742"/>
      <c r="R51" s="738"/>
      <c r="S51" s="738"/>
      <c r="T51" s="738" t="str">
        <f t="shared" si="33"/>
        <v>INNER</v>
      </c>
      <c r="U51" s="738"/>
      <c r="V51" s="738">
        <f t="shared" ref="V51:V54" si="34">SUM(O51:S51)</f>
        <v>270880</v>
      </c>
      <c r="W51" s="742">
        <f t="shared" si="11"/>
        <v>8649280</v>
      </c>
      <c r="X51" s="742">
        <f t="shared" si="12"/>
        <v>518956.79999999999</v>
      </c>
      <c r="Y51" s="742">
        <f t="shared" si="13"/>
        <v>216232</v>
      </c>
      <c r="Z51" s="742">
        <f t="shared" si="26"/>
        <v>1037913.6</v>
      </c>
      <c r="AA51" s="742">
        <f t="shared" si="3"/>
        <v>10422382.4</v>
      </c>
      <c r="AB51" s="742">
        <f t="shared" si="4"/>
        <v>144916.32925472749</v>
      </c>
      <c r="AC51" s="739">
        <v>0.25</v>
      </c>
      <c r="AD51" s="742">
        <f t="shared" si="5"/>
        <v>2605595.6</v>
      </c>
      <c r="AE51" s="738">
        <f t="shared" si="27"/>
        <v>50000</v>
      </c>
      <c r="AF51" s="742">
        <f t="shared" si="6"/>
        <v>59432.455813953493</v>
      </c>
      <c r="AG51" s="743">
        <v>43</v>
      </c>
      <c r="AH51" s="742">
        <f t="shared" si="7"/>
        <v>7816786.8000000007</v>
      </c>
      <c r="AI51" s="738">
        <f t="shared" si="17"/>
        <v>0</v>
      </c>
      <c r="AJ51" s="742">
        <f t="shared" si="14"/>
        <v>-10422382.4</v>
      </c>
      <c r="AN51" s="727"/>
      <c r="EV51" s="784">
        <f t="shared" si="9"/>
        <v>120262.51390433815</v>
      </c>
    </row>
    <row r="52" spans="1:152" x14ac:dyDescent="0.2">
      <c r="A52" s="993"/>
      <c r="B52" s="736">
        <v>50</v>
      </c>
      <c r="C52" s="736" t="s">
        <v>104</v>
      </c>
      <c r="D52" s="736" t="s">
        <v>152</v>
      </c>
      <c r="E52" s="736" t="s">
        <v>166</v>
      </c>
      <c r="F52" s="736" t="s">
        <v>131</v>
      </c>
      <c r="G52" s="736" t="s">
        <v>177</v>
      </c>
      <c r="H52" s="736" t="s">
        <v>109</v>
      </c>
      <c r="I52" s="740">
        <f>'[18]Collection Unsold 10.15.21'!G53</f>
        <v>67.72</v>
      </c>
      <c r="J52" s="741">
        <f>'[18]Collection Unsold 10.15.21'!H53</f>
        <v>4.2</v>
      </c>
      <c r="K52" s="740">
        <f t="shared" si="0"/>
        <v>71.92</v>
      </c>
      <c r="L52" s="742">
        <f t="shared" si="31"/>
        <v>8378400</v>
      </c>
      <c r="M52" s="736"/>
      <c r="N52" s="736">
        <v>4</v>
      </c>
      <c r="O52" s="738">
        <f t="shared" si="1"/>
        <v>135440</v>
      </c>
      <c r="P52" s="738">
        <f t="shared" si="32"/>
        <v>135440</v>
      </c>
      <c r="Q52" s="742"/>
      <c r="R52" s="738"/>
      <c r="S52" s="738"/>
      <c r="T52" s="738" t="str">
        <f t="shared" si="33"/>
        <v>INNER</v>
      </c>
      <c r="U52" s="738"/>
      <c r="V52" s="738">
        <f t="shared" si="34"/>
        <v>270880</v>
      </c>
      <c r="W52" s="742">
        <f t="shared" si="11"/>
        <v>8649280</v>
      </c>
      <c r="X52" s="742">
        <f t="shared" si="12"/>
        <v>518956.79999999999</v>
      </c>
      <c r="Y52" s="742">
        <f t="shared" si="13"/>
        <v>216232</v>
      </c>
      <c r="Z52" s="742">
        <f t="shared" si="26"/>
        <v>1037913.6</v>
      </c>
      <c r="AA52" s="742">
        <f t="shared" si="3"/>
        <v>10422382.4</v>
      </c>
      <c r="AB52" s="742">
        <f t="shared" si="4"/>
        <v>144916.32925472749</v>
      </c>
      <c r="AC52" s="739">
        <v>0.25</v>
      </c>
      <c r="AD52" s="742">
        <f t="shared" si="5"/>
        <v>2605595.6</v>
      </c>
      <c r="AE52" s="738">
        <f t="shared" si="27"/>
        <v>50000</v>
      </c>
      <c r="AF52" s="742">
        <f t="shared" si="6"/>
        <v>59432.455813953493</v>
      </c>
      <c r="AG52" s="743">
        <v>43</v>
      </c>
      <c r="AH52" s="742">
        <f t="shared" si="7"/>
        <v>7816786.8000000007</v>
      </c>
      <c r="AI52" s="738">
        <f t="shared" si="17"/>
        <v>0</v>
      </c>
      <c r="AJ52" s="742">
        <f t="shared" si="14"/>
        <v>-10422382.4</v>
      </c>
      <c r="AN52" s="727"/>
      <c r="EV52" s="784">
        <f t="shared" si="9"/>
        <v>120262.51390433815</v>
      </c>
    </row>
    <row r="53" spans="1:152" x14ac:dyDescent="0.2">
      <c r="A53" s="993"/>
      <c r="B53" s="736">
        <v>51</v>
      </c>
      <c r="C53" s="736" t="s">
        <v>104</v>
      </c>
      <c r="D53" s="736" t="s">
        <v>152</v>
      </c>
      <c r="E53" s="736" t="s">
        <v>166</v>
      </c>
      <c r="F53" s="736" t="s">
        <v>133</v>
      </c>
      <c r="G53" s="736" t="s">
        <v>178</v>
      </c>
      <c r="H53" s="736" t="s">
        <v>109</v>
      </c>
      <c r="I53" s="740">
        <f>'[18]Collection Unsold 10.15.21'!G54</f>
        <v>86.15</v>
      </c>
      <c r="J53" s="741">
        <f>'[18]Collection Unsold 10.15.21'!H54</f>
        <v>12.66</v>
      </c>
      <c r="K53" s="740">
        <f t="shared" si="0"/>
        <v>98.81</v>
      </c>
      <c r="L53" s="742">
        <f t="shared" si="31"/>
        <v>11097600</v>
      </c>
      <c r="M53" s="736"/>
      <c r="N53" s="736">
        <v>4</v>
      </c>
      <c r="O53" s="738">
        <f t="shared" si="1"/>
        <v>172300</v>
      </c>
      <c r="P53" s="738">
        <f t="shared" si="32"/>
        <v>172300</v>
      </c>
      <c r="Q53" s="742"/>
      <c r="R53" s="738">
        <f>I53*1000</f>
        <v>86150</v>
      </c>
      <c r="S53" s="738">
        <f t="shared" ref="S53:S59" si="35">I53*1000</f>
        <v>86150</v>
      </c>
      <c r="T53" s="738" t="str">
        <f t="shared" si="33"/>
        <v>CORNER</v>
      </c>
      <c r="U53" s="738"/>
      <c r="V53" s="738">
        <f t="shared" si="34"/>
        <v>516900</v>
      </c>
      <c r="W53" s="742">
        <f t="shared" si="11"/>
        <v>11614500</v>
      </c>
      <c r="X53" s="742">
        <f t="shared" si="12"/>
        <v>696870</v>
      </c>
      <c r="Y53" s="742">
        <f t="shared" si="13"/>
        <v>290362.5</v>
      </c>
      <c r="Z53" s="742">
        <f t="shared" si="26"/>
        <v>1393740</v>
      </c>
      <c r="AA53" s="742">
        <f t="shared" si="3"/>
        <v>13995472.5</v>
      </c>
      <c r="AB53" s="742">
        <f t="shared" si="4"/>
        <v>141640.24390243902</v>
      </c>
      <c r="AC53" s="739">
        <v>0.25</v>
      </c>
      <c r="AD53" s="742">
        <f t="shared" si="5"/>
        <v>3498868.125</v>
      </c>
      <c r="AE53" s="738">
        <f t="shared" si="27"/>
        <v>50000</v>
      </c>
      <c r="AF53" s="742">
        <f t="shared" si="6"/>
        <v>80206.235465116275</v>
      </c>
      <c r="AG53" s="743">
        <v>43</v>
      </c>
      <c r="AH53" s="742">
        <f t="shared" si="7"/>
        <v>10496604.375</v>
      </c>
      <c r="AI53" s="738">
        <f t="shared" si="17"/>
        <v>0</v>
      </c>
      <c r="AJ53" s="742">
        <f t="shared" si="14"/>
        <v>-13995472.5</v>
      </c>
      <c r="AN53" s="727"/>
      <c r="EV53" s="784">
        <f t="shared" si="9"/>
        <v>117543.77087339338</v>
      </c>
    </row>
    <row r="54" spans="1:152" x14ac:dyDescent="0.2">
      <c r="A54" s="993"/>
      <c r="B54" s="736">
        <v>52</v>
      </c>
      <c r="C54" s="736" t="s">
        <v>135</v>
      </c>
      <c r="D54" s="736" t="s">
        <v>152</v>
      </c>
      <c r="E54" s="736" t="s">
        <v>166</v>
      </c>
      <c r="F54" s="736" t="s">
        <v>136</v>
      </c>
      <c r="G54" s="736" t="s">
        <v>179</v>
      </c>
      <c r="H54" s="736" t="s">
        <v>109</v>
      </c>
      <c r="I54" s="740">
        <f>'[18]Collection Unsold 10.15.21'!G55</f>
        <v>53.53</v>
      </c>
      <c r="J54" s="741">
        <f>'[18]Collection Unsold 10.15.21'!H55</f>
        <v>4.18</v>
      </c>
      <c r="K54" s="740">
        <f t="shared" si="0"/>
        <v>57.71</v>
      </c>
      <c r="L54" s="742">
        <f t="shared" si="31"/>
        <v>6674400</v>
      </c>
      <c r="M54" s="736"/>
      <c r="N54" s="736">
        <v>4</v>
      </c>
      <c r="O54" s="738">
        <f t="shared" si="1"/>
        <v>107060</v>
      </c>
      <c r="P54" s="738">
        <f t="shared" si="32"/>
        <v>107060</v>
      </c>
      <c r="Q54" s="742"/>
      <c r="R54" s="738"/>
      <c r="S54" s="738">
        <f t="shared" si="35"/>
        <v>53530</v>
      </c>
      <c r="T54" s="738" t="str">
        <f t="shared" si="33"/>
        <v>INNER</v>
      </c>
      <c r="U54" s="738"/>
      <c r="V54" s="738">
        <f t="shared" si="34"/>
        <v>267650</v>
      </c>
      <c r="W54" s="742">
        <f t="shared" si="11"/>
        <v>6942050</v>
      </c>
      <c r="X54" s="742">
        <f t="shared" si="12"/>
        <v>416523</v>
      </c>
      <c r="Y54" s="742">
        <f t="shared" si="13"/>
        <v>173551.25</v>
      </c>
      <c r="Z54" s="742">
        <f t="shared" si="26"/>
        <v>833046</v>
      </c>
      <c r="AA54" s="742">
        <f t="shared" si="3"/>
        <v>8365170.25</v>
      </c>
      <c r="AB54" s="742">
        <f t="shared" si="4"/>
        <v>144951.83243805234</v>
      </c>
      <c r="AC54" s="739">
        <v>0.25</v>
      </c>
      <c r="AD54" s="742">
        <f t="shared" si="5"/>
        <v>2091292.5625</v>
      </c>
      <c r="AE54" s="738">
        <f t="shared" si="27"/>
        <v>50000</v>
      </c>
      <c r="AF54" s="742">
        <f t="shared" si="6"/>
        <v>47471.920058139534</v>
      </c>
      <c r="AG54" s="743">
        <v>43</v>
      </c>
      <c r="AH54" s="742">
        <f t="shared" si="7"/>
        <v>6273877.6875</v>
      </c>
      <c r="AI54" s="738">
        <f t="shared" si="17"/>
        <v>0</v>
      </c>
      <c r="AJ54" s="742">
        <f t="shared" si="14"/>
        <v>-8365170.25</v>
      </c>
      <c r="AN54" s="727"/>
      <c r="EV54" s="784">
        <f t="shared" si="9"/>
        <v>120291.97712701438</v>
      </c>
    </row>
    <row r="55" spans="1:152" x14ac:dyDescent="0.2">
      <c r="A55" s="993">
        <v>5</v>
      </c>
      <c r="B55" s="736">
        <v>53</v>
      </c>
      <c r="C55" s="736" t="s">
        <v>104</v>
      </c>
      <c r="D55" s="736" t="s">
        <v>166</v>
      </c>
      <c r="E55" s="736" t="s">
        <v>180</v>
      </c>
      <c r="F55" s="736" t="s">
        <v>107</v>
      </c>
      <c r="G55" s="736" t="s">
        <v>181</v>
      </c>
      <c r="H55" s="736" t="s">
        <v>109</v>
      </c>
      <c r="I55" s="740">
        <f>'[18]Collection Unsold 10.15.21'!G56</f>
        <v>98.5</v>
      </c>
      <c r="J55" s="741">
        <f>'[18]Collection Unsold 10.15.21'!H56</f>
        <v>10.46</v>
      </c>
      <c r="K55" s="740">
        <f t="shared" si="0"/>
        <v>108.96000000000001</v>
      </c>
      <c r="L55" s="742">
        <f t="shared" ref="L55:L67" si="36">L3</f>
        <v>12447600</v>
      </c>
      <c r="M55" s="736"/>
      <c r="N55" s="736">
        <v>5</v>
      </c>
      <c r="O55" s="738">
        <f t="shared" si="1"/>
        <v>246250</v>
      </c>
      <c r="P55" s="738"/>
      <c r="Q55" s="742"/>
      <c r="R55" s="738">
        <f>I55*1000</f>
        <v>98500</v>
      </c>
      <c r="S55" s="738">
        <f t="shared" si="35"/>
        <v>98500</v>
      </c>
      <c r="T55" s="738" t="str">
        <f t="shared" ref="T55:T67" si="37">T3</f>
        <v>CORNER</v>
      </c>
      <c r="U55" s="738"/>
      <c r="V55" s="738">
        <f t="shared" si="25"/>
        <v>443250</v>
      </c>
      <c r="W55" s="742">
        <f t="shared" si="11"/>
        <v>12890850</v>
      </c>
      <c r="X55" s="742">
        <f t="shared" si="12"/>
        <v>773451</v>
      </c>
      <c r="Y55" s="742">
        <f t="shared" si="13"/>
        <v>322271.25</v>
      </c>
      <c r="Z55" s="742">
        <f t="shared" si="26"/>
        <v>1546902</v>
      </c>
      <c r="AA55" s="742">
        <f t="shared" si="3"/>
        <v>15533474.25</v>
      </c>
      <c r="AB55" s="742">
        <f t="shared" si="4"/>
        <v>142561.25412995592</v>
      </c>
      <c r="AC55" s="739">
        <v>0.25</v>
      </c>
      <c r="AD55" s="742">
        <f t="shared" si="5"/>
        <v>3883368.5625</v>
      </c>
      <c r="AE55" s="738">
        <f>AE49</f>
        <v>50000</v>
      </c>
      <c r="AF55" s="742">
        <f t="shared" si="6"/>
        <v>89148.10610465116</v>
      </c>
      <c r="AG55" s="743">
        <v>43</v>
      </c>
      <c r="AH55" s="742">
        <f t="shared" si="7"/>
        <v>11650105.6875</v>
      </c>
      <c r="AI55" s="738">
        <f t="shared" si="17"/>
        <v>0</v>
      </c>
      <c r="AJ55" s="742">
        <f t="shared" si="14"/>
        <v>-15533474.25</v>
      </c>
      <c r="EV55" s="784">
        <f t="shared" si="9"/>
        <v>118308.09471365638</v>
      </c>
    </row>
    <row r="56" spans="1:152" x14ac:dyDescent="0.2">
      <c r="A56" s="993"/>
      <c r="B56" s="736">
        <v>54</v>
      </c>
      <c r="C56" s="736" t="s">
        <v>104</v>
      </c>
      <c r="D56" s="736" t="s">
        <v>166</v>
      </c>
      <c r="E56" s="736" t="s">
        <v>180</v>
      </c>
      <c r="F56" s="736" t="s">
        <v>111</v>
      </c>
      <c r="G56" s="736" t="s">
        <v>182</v>
      </c>
      <c r="H56" s="736" t="s">
        <v>113</v>
      </c>
      <c r="I56" s="740">
        <f>'[18]Collection Unsold 10.15.21'!G57</f>
        <v>51.02</v>
      </c>
      <c r="J56" s="741">
        <f>'[18]Collection Unsold 10.15.21'!H57</f>
        <v>5.36</v>
      </c>
      <c r="K56" s="740">
        <f t="shared" si="0"/>
        <v>56.38</v>
      </c>
      <c r="L56" s="742">
        <f t="shared" si="36"/>
        <v>6444000</v>
      </c>
      <c r="M56" s="736"/>
      <c r="N56" s="736">
        <v>5</v>
      </c>
      <c r="O56" s="738">
        <f t="shared" si="1"/>
        <v>127550.00000000001</v>
      </c>
      <c r="P56" s="738"/>
      <c r="Q56" s="742"/>
      <c r="R56" s="738"/>
      <c r="S56" s="738">
        <f t="shared" si="35"/>
        <v>51020</v>
      </c>
      <c r="T56" s="738" t="str">
        <f t="shared" si="37"/>
        <v>INNER</v>
      </c>
      <c r="U56" s="738"/>
      <c r="V56" s="738">
        <f t="shared" si="25"/>
        <v>178570</v>
      </c>
      <c r="W56" s="742">
        <f t="shared" si="11"/>
        <v>6622570</v>
      </c>
      <c r="X56" s="742">
        <f t="shared" si="12"/>
        <v>397354.2</v>
      </c>
      <c r="Y56" s="742">
        <f t="shared" si="13"/>
        <v>165564.25</v>
      </c>
      <c r="Z56" s="742">
        <f t="shared" si="26"/>
        <v>794708.4</v>
      </c>
      <c r="AA56" s="742">
        <f t="shared" si="3"/>
        <v>7980196.8500000006</v>
      </c>
      <c r="AB56" s="742">
        <f t="shared" si="4"/>
        <v>141543.04451933311</v>
      </c>
      <c r="AC56" s="739">
        <v>0.25</v>
      </c>
      <c r="AD56" s="742">
        <f t="shared" si="5"/>
        <v>1995049.2125000001</v>
      </c>
      <c r="AE56" s="738">
        <f t="shared" si="27"/>
        <v>50000</v>
      </c>
      <c r="AF56" s="742">
        <f t="shared" si="6"/>
        <v>45233.702616279072</v>
      </c>
      <c r="AG56" s="743">
        <v>43</v>
      </c>
      <c r="AH56" s="742">
        <f t="shared" si="7"/>
        <v>5985147.6375000002</v>
      </c>
      <c r="AI56" s="738">
        <f t="shared" si="17"/>
        <v>0</v>
      </c>
      <c r="AJ56" s="742">
        <f t="shared" si="14"/>
        <v>-7980196.8500000006</v>
      </c>
      <c r="EV56" s="784">
        <f t="shared" si="9"/>
        <v>117463.10748492372</v>
      </c>
    </row>
    <row r="57" spans="1:152" x14ac:dyDescent="0.2">
      <c r="A57" s="993"/>
      <c r="B57" s="736">
        <v>55</v>
      </c>
      <c r="C57" s="736" t="s">
        <v>104</v>
      </c>
      <c r="D57" s="736" t="s">
        <v>166</v>
      </c>
      <c r="E57" s="736" t="s">
        <v>180</v>
      </c>
      <c r="F57" s="736" t="s">
        <v>115</v>
      </c>
      <c r="G57" s="736" t="s">
        <v>183</v>
      </c>
      <c r="H57" s="736" t="s">
        <v>109</v>
      </c>
      <c r="I57" s="740">
        <f>'[18]Collection Unsold 10.15.21'!G58</f>
        <v>55.62</v>
      </c>
      <c r="J57" s="741">
        <f>'[18]Collection Unsold 10.15.21'!H58</f>
        <v>5.37</v>
      </c>
      <c r="K57" s="740">
        <f t="shared" si="0"/>
        <v>60.989999999999995</v>
      </c>
      <c r="L57" s="742">
        <f t="shared" si="36"/>
        <v>6996600</v>
      </c>
      <c r="M57" s="736"/>
      <c r="N57" s="736">
        <v>5</v>
      </c>
      <c r="O57" s="738">
        <f t="shared" si="1"/>
        <v>139049.99999999997</v>
      </c>
      <c r="P57" s="738"/>
      <c r="Q57" s="742"/>
      <c r="R57" s="738"/>
      <c r="S57" s="738">
        <f t="shared" si="35"/>
        <v>55620</v>
      </c>
      <c r="T57" s="738" t="str">
        <f t="shared" si="37"/>
        <v>INNER</v>
      </c>
      <c r="U57" s="738"/>
      <c r="V57" s="738">
        <f t="shared" si="25"/>
        <v>194669.99999999997</v>
      </c>
      <c r="W57" s="742">
        <f t="shared" si="11"/>
        <v>7191270</v>
      </c>
      <c r="X57" s="742">
        <f t="shared" si="12"/>
        <v>431476.2</v>
      </c>
      <c r="Y57" s="742">
        <f t="shared" si="13"/>
        <v>179781.75</v>
      </c>
      <c r="Z57" s="742">
        <f t="shared" si="26"/>
        <v>862952.4</v>
      </c>
      <c r="AA57" s="742">
        <f t="shared" si="3"/>
        <v>8665480.3499999996</v>
      </c>
      <c r="AB57" s="742">
        <f t="shared" si="4"/>
        <v>142080.34677816037</v>
      </c>
      <c r="AC57" s="739">
        <v>0.25</v>
      </c>
      <c r="AD57" s="742">
        <f t="shared" si="5"/>
        <v>2166370.0874999999</v>
      </c>
      <c r="AE57" s="738">
        <f t="shared" si="27"/>
        <v>50000</v>
      </c>
      <c r="AF57" s="742">
        <f t="shared" si="6"/>
        <v>49217.909011627904</v>
      </c>
      <c r="AG57" s="743">
        <v>43</v>
      </c>
      <c r="AH57" s="742">
        <f t="shared" si="7"/>
        <v>6499110.2624999993</v>
      </c>
      <c r="AI57" s="738">
        <f t="shared" si="17"/>
        <v>0</v>
      </c>
      <c r="AJ57" s="742">
        <f t="shared" si="14"/>
        <v>-8665480.3499999996</v>
      </c>
      <c r="EV57" s="784">
        <f t="shared" si="9"/>
        <v>117909.00147565176</v>
      </c>
    </row>
    <row r="58" spans="1:152" x14ac:dyDescent="0.2">
      <c r="A58" s="993"/>
      <c r="B58" s="736">
        <v>56</v>
      </c>
      <c r="C58" s="736" t="s">
        <v>104</v>
      </c>
      <c r="D58" s="736" t="s">
        <v>166</v>
      </c>
      <c r="E58" s="736" t="s">
        <v>180</v>
      </c>
      <c r="F58" s="736" t="s">
        <v>117</v>
      </c>
      <c r="G58" s="736" t="s">
        <v>184</v>
      </c>
      <c r="H58" s="736" t="s">
        <v>109</v>
      </c>
      <c r="I58" s="740">
        <f>'[18]Collection Unsold 10.15.21'!G59</f>
        <v>60.78</v>
      </c>
      <c r="J58" s="741">
        <f>'[18]Collection Unsold 10.15.21'!H59</f>
        <v>5.15</v>
      </c>
      <c r="K58" s="740">
        <f t="shared" si="0"/>
        <v>65.930000000000007</v>
      </c>
      <c r="L58" s="742">
        <f t="shared" si="36"/>
        <v>7602600</v>
      </c>
      <c r="M58" s="736"/>
      <c r="N58" s="736">
        <v>5</v>
      </c>
      <c r="O58" s="738">
        <f t="shared" si="1"/>
        <v>151950</v>
      </c>
      <c r="P58" s="738"/>
      <c r="Q58" s="742"/>
      <c r="R58" s="738"/>
      <c r="S58" s="738">
        <f t="shared" si="35"/>
        <v>60780</v>
      </c>
      <c r="T58" s="738" t="str">
        <f t="shared" si="37"/>
        <v>INNER</v>
      </c>
      <c r="U58" s="738"/>
      <c r="V58" s="738">
        <f t="shared" si="25"/>
        <v>212730</v>
      </c>
      <c r="W58" s="742">
        <f t="shared" si="11"/>
        <v>7815330</v>
      </c>
      <c r="X58" s="742">
        <f t="shared" si="12"/>
        <v>468919.8</v>
      </c>
      <c r="Y58" s="742">
        <f t="shared" si="13"/>
        <v>195383.25</v>
      </c>
      <c r="Z58" s="742">
        <f t="shared" si="26"/>
        <v>937839.6</v>
      </c>
      <c r="AA58" s="742">
        <f t="shared" si="3"/>
        <v>9417472.6500000004</v>
      </c>
      <c r="AB58" s="742">
        <f t="shared" si="4"/>
        <v>142840.47702108294</v>
      </c>
      <c r="AC58" s="739">
        <v>0.25</v>
      </c>
      <c r="AD58" s="742">
        <f t="shared" si="5"/>
        <v>2354368.1625000001</v>
      </c>
      <c r="AE58" s="738">
        <f t="shared" si="27"/>
        <v>50000</v>
      </c>
      <c r="AF58" s="742">
        <f t="shared" si="6"/>
        <v>53589.95726744186</v>
      </c>
      <c r="AG58" s="743">
        <v>43</v>
      </c>
      <c r="AH58" s="742">
        <f t="shared" si="7"/>
        <v>7063104.4875000007</v>
      </c>
      <c r="AI58" s="738">
        <f t="shared" si="17"/>
        <v>0</v>
      </c>
      <c r="AJ58" s="742">
        <f t="shared" si="14"/>
        <v>-9417472.6500000004</v>
      </c>
      <c r="EV58" s="784">
        <f t="shared" si="9"/>
        <v>118539.81495525556</v>
      </c>
    </row>
    <row r="59" spans="1:152" x14ac:dyDescent="0.2">
      <c r="A59" s="993"/>
      <c r="B59" s="736">
        <v>57</v>
      </c>
      <c r="C59" s="736" t="s">
        <v>104</v>
      </c>
      <c r="D59" s="736" t="s">
        <v>166</v>
      </c>
      <c r="E59" s="736" t="s">
        <v>180</v>
      </c>
      <c r="F59" s="736" t="s">
        <v>119</v>
      </c>
      <c r="G59" s="736" t="s">
        <v>185</v>
      </c>
      <c r="H59" s="736" t="s">
        <v>109</v>
      </c>
      <c r="I59" s="740">
        <f>'[18]Collection Unsold 10.15.21'!G60</f>
        <v>83.49</v>
      </c>
      <c r="J59" s="741">
        <f>'[18]Collection Unsold 10.15.21'!H60</f>
        <v>12.309999999999999</v>
      </c>
      <c r="K59" s="740">
        <f t="shared" si="0"/>
        <v>95.8</v>
      </c>
      <c r="L59" s="742">
        <f t="shared" si="36"/>
        <v>10757400</v>
      </c>
      <c r="M59" s="736"/>
      <c r="N59" s="736">
        <v>5</v>
      </c>
      <c r="O59" s="738">
        <f t="shared" si="1"/>
        <v>208725</v>
      </c>
      <c r="P59" s="738"/>
      <c r="Q59" s="742"/>
      <c r="R59" s="738">
        <f>I59*1000</f>
        <v>83490</v>
      </c>
      <c r="S59" s="738">
        <f t="shared" si="35"/>
        <v>83490</v>
      </c>
      <c r="T59" s="738" t="str">
        <f t="shared" si="37"/>
        <v>CORNER</v>
      </c>
      <c r="U59" s="738"/>
      <c r="V59" s="738">
        <f t="shared" si="25"/>
        <v>375705</v>
      </c>
      <c r="W59" s="742">
        <f t="shared" si="11"/>
        <v>11133105</v>
      </c>
      <c r="X59" s="742">
        <f t="shared" si="12"/>
        <v>667986.29999999993</v>
      </c>
      <c r="Y59" s="742">
        <f t="shared" si="13"/>
        <v>278327.625</v>
      </c>
      <c r="Z59" s="742">
        <f t="shared" si="26"/>
        <v>1335972.5999999999</v>
      </c>
      <c r="AA59" s="742">
        <f t="shared" si="3"/>
        <v>13415391.525</v>
      </c>
      <c r="AB59" s="742">
        <f t="shared" si="4"/>
        <v>140035.40213987476</v>
      </c>
      <c r="AC59" s="739">
        <v>0.25</v>
      </c>
      <c r="AD59" s="742">
        <f t="shared" si="5"/>
        <v>3353847.8812500001</v>
      </c>
      <c r="AE59" s="738">
        <f t="shared" si="27"/>
        <v>50000</v>
      </c>
      <c r="AF59" s="742">
        <f t="shared" si="6"/>
        <v>76833.671656976745</v>
      </c>
      <c r="AG59" s="743">
        <v>43</v>
      </c>
      <c r="AH59" s="742">
        <f t="shared" si="7"/>
        <v>10061543.643750001</v>
      </c>
      <c r="AI59" s="738">
        <f t="shared" si="17"/>
        <v>0</v>
      </c>
      <c r="AJ59" s="742">
        <f t="shared" si="14"/>
        <v>-13415391.525</v>
      </c>
      <c r="EV59" s="784">
        <f t="shared" si="9"/>
        <v>116211.95198329854</v>
      </c>
    </row>
    <row r="60" spans="1:152" x14ac:dyDescent="0.2">
      <c r="A60" s="993"/>
      <c r="B60" s="736">
        <v>58</v>
      </c>
      <c r="C60" s="736" t="s">
        <v>104</v>
      </c>
      <c r="D60" s="736" t="s">
        <v>166</v>
      </c>
      <c r="E60" s="736" t="s">
        <v>180</v>
      </c>
      <c r="F60" s="736" t="s">
        <v>121</v>
      </c>
      <c r="G60" s="736" t="s">
        <v>186</v>
      </c>
      <c r="H60" s="736" t="s">
        <v>109</v>
      </c>
      <c r="I60" s="740">
        <f>'[18]Collection Unsold 10.15.21'!G61</f>
        <v>61.03</v>
      </c>
      <c r="J60" s="741">
        <f>'[18]Collection Unsold 10.15.21'!H61</f>
        <v>4.1900000000000004</v>
      </c>
      <c r="K60" s="740">
        <f t="shared" si="0"/>
        <v>65.22</v>
      </c>
      <c r="L60" s="742">
        <f t="shared" si="36"/>
        <v>7575000</v>
      </c>
      <c r="M60" s="736"/>
      <c r="N60" s="736">
        <v>5</v>
      </c>
      <c r="O60" s="738">
        <f t="shared" si="1"/>
        <v>152575</v>
      </c>
      <c r="P60" s="738"/>
      <c r="Q60" s="742"/>
      <c r="R60" s="738"/>
      <c r="S60" s="738"/>
      <c r="T60" s="738" t="str">
        <f t="shared" si="37"/>
        <v>INNER</v>
      </c>
      <c r="U60" s="738"/>
      <c r="V60" s="738">
        <f t="shared" si="25"/>
        <v>152575</v>
      </c>
      <c r="W60" s="742">
        <f t="shared" si="11"/>
        <v>7727575</v>
      </c>
      <c r="X60" s="742">
        <f t="shared" si="12"/>
        <v>463654.5</v>
      </c>
      <c r="Y60" s="742">
        <f t="shared" si="13"/>
        <v>193189.375</v>
      </c>
      <c r="Z60" s="742">
        <f t="shared" si="26"/>
        <v>927309</v>
      </c>
      <c r="AA60" s="742">
        <f t="shared" si="3"/>
        <v>9311727.875</v>
      </c>
      <c r="AB60" s="742">
        <f t="shared" si="4"/>
        <v>142774.1164520086</v>
      </c>
      <c r="AC60" s="739">
        <v>0.25</v>
      </c>
      <c r="AD60" s="742">
        <f t="shared" si="5"/>
        <v>2327931.96875</v>
      </c>
      <c r="AE60" s="738">
        <f t="shared" si="27"/>
        <v>50000</v>
      </c>
      <c r="AF60" s="742">
        <f t="shared" si="6"/>
        <v>52975.162063953489</v>
      </c>
      <c r="AG60" s="743">
        <v>43</v>
      </c>
      <c r="AH60" s="742">
        <f t="shared" si="7"/>
        <v>6983795.90625</v>
      </c>
      <c r="AI60" s="738">
        <f t="shared" si="17"/>
        <v>0</v>
      </c>
      <c r="AJ60" s="742">
        <f t="shared" si="14"/>
        <v>-9311727.875</v>
      </c>
      <c r="EV60" s="784">
        <f t="shared" si="9"/>
        <v>118484.7439435756</v>
      </c>
    </row>
    <row r="61" spans="1:152" x14ac:dyDescent="0.2">
      <c r="A61" s="993"/>
      <c r="B61" s="736">
        <v>59</v>
      </c>
      <c r="C61" s="736" t="s">
        <v>104</v>
      </c>
      <c r="D61" s="736" t="s">
        <v>166</v>
      </c>
      <c r="E61" s="736" t="s">
        <v>180</v>
      </c>
      <c r="F61" s="736" t="s">
        <v>123</v>
      </c>
      <c r="G61" s="736" t="s">
        <v>187</v>
      </c>
      <c r="H61" s="736" t="s">
        <v>109</v>
      </c>
      <c r="I61" s="740">
        <f>'[18]Collection Unsold 10.15.21'!G62</f>
        <v>94.79</v>
      </c>
      <c r="J61" s="741">
        <f>'[18]Collection Unsold 10.15.21'!H62</f>
        <v>11.260000000000002</v>
      </c>
      <c r="K61" s="740">
        <f t="shared" si="0"/>
        <v>106.05000000000001</v>
      </c>
      <c r="L61" s="742">
        <f t="shared" si="36"/>
        <v>12050400</v>
      </c>
      <c r="M61" s="736"/>
      <c r="N61" s="736">
        <v>5</v>
      </c>
      <c r="O61" s="738">
        <f t="shared" si="1"/>
        <v>236975.00000000003</v>
      </c>
      <c r="P61" s="738"/>
      <c r="Q61" s="742"/>
      <c r="R61" s="738">
        <f>I61*1000</f>
        <v>94790</v>
      </c>
      <c r="S61" s="738"/>
      <c r="T61" s="738" t="str">
        <f t="shared" si="37"/>
        <v>CORNER</v>
      </c>
      <c r="U61" s="738"/>
      <c r="V61" s="738">
        <f t="shared" si="25"/>
        <v>331765</v>
      </c>
      <c r="W61" s="742">
        <f t="shared" si="11"/>
        <v>12382165</v>
      </c>
      <c r="X61" s="742">
        <f t="shared" si="12"/>
        <v>742929.9</v>
      </c>
      <c r="Y61" s="742">
        <f t="shared" si="13"/>
        <v>309554.125</v>
      </c>
      <c r="Z61" s="742">
        <f t="shared" si="26"/>
        <v>1485859.8</v>
      </c>
      <c r="AA61" s="742">
        <f t="shared" si="3"/>
        <v>14920508.825000001</v>
      </c>
      <c r="AB61" s="742">
        <f t="shared" si="4"/>
        <v>140693.1525223951</v>
      </c>
      <c r="AC61" s="739">
        <v>0.25</v>
      </c>
      <c r="AD61" s="742">
        <f t="shared" si="5"/>
        <v>3730127.2062500003</v>
      </c>
      <c r="AE61" s="738">
        <f t="shared" si="27"/>
        <v>50000</v>
      </c>
      <c r="AF61" s="742">
        <f t="shared" si="6"/>
        <v>85584.353633720937</v>
      </c>
      <c r="AG61" s="743">
        <v>43</v>
      </c>
      <c r="AH61" s="742">
        <f t="shared" si="7"/>
        <v>11190381.61875</v>
      </c>
      <c r="AI61" s="738">
        <f t="shared" si="17"/>
        <v>0</v>
      </c>
      <c r="AJ61" s="742">
        <f t="shared" si="14"/>
        <v>-14920508.825000001</v>
      </c>
      <c r="EV61" s="784">
        <f t="shared" si="9"/>
        <v>116757.80292314944</v>
      </c>
    </row>
    <row r="62" spans="1:152" x14ac:dyDescent="0.2">
      <c r="A62" s="993"/>
      <c r="B62" s="736">
        <v>60</v>
      </c>
      <c r="C62" s="736" t="s">
        <v>104</v>
      </c>
      <c r="D62" s="736" t="s">
        <v>166</v>
      </c>
      <c r="E62" s="736" t="s">
        <v>180</v>
      </c>
      <c r="F62" s="736" t="s">
        <v>125</v>
      </c>
      <c r="G62" s="736" t="s">
        <v>188</v>
      </c>
      <c r="H62" s="736" t="s">
        <v>109</v>
      </c>
      <c r="I62" s="740">
        <f>'[18]Collection Unsold 10.15.21'!G63</f>
        <v>67.790000000000006</v>
      </c>
      <c r="J62" s="741">
        <f>'[18]Collection Unsold 10.15.21'!H63</f>
        <v>4.2</v>
      </c>
      <c r="K62" s="740">
        <f t="shared" si="0"/>
        <v>71.990000000000009</v>
      </c>
      <c r="L62" s="742">
        <f t="shared" si="36"/>
        <v>8386800.0000000009</v>
      </c>
      <c r="M62" s="736"/>
      <c r="N62" s="736">
        <v>5</v>
      </c>
      <c r="O62" s="738">
        <f t="shared" si="1"/>
        <v>169475.00000000003</v>
      </c>
      <c r="P62" s="738"/>
      <c r="Q62" s="742"/>
      <c r="R62" s="738"/>
      <c r="S62" s="738"/>
      <c r="T62" s="738" t="str">
        <f t="shared" si="37"/>
        <v>INNER</v>
      </c>
      <c r="U62" s="738"/>
      <c r="V62" s="738">
        <f t="shared" si="25"/>
        <v>169475.00000000003</v>
      </c>
      <c r="W62" s="742">
        <f t="shared" si="11"/>
        <v>8556275.0000000019</v>
      </c>
      <c r="X62" s="742">
        <f t="shared" si="12"/>
        <v>513376.50000000012</v>
      </c>
      <c r="Y62" s="742">
        <f t="shared" si="13"/>
        <v>213906.87500000006</v>
      </c>
      <c r="Z62" s="742">
        <f t="shared" si="26"/>
        <v>1026753.0000000002</v>
      </c>
      <c r="AA62" s="742">
        <f t="shared" si="3"/>
        <v>10310311.375000002</v>
      </c>
      <c r="AB62" s="742">
        <f t="shared" si="4"/>
        <v>143218.66057785804</v>
      </c>
      <c r="AC62" s="739">
        <v>0.25</v>
      </c>
      <c r="AD62" s="742">
        <f t="shared" si="5"/>
        <v>2577577.8437500005</v>
      </c>
      <c r="AE62" s="738">
        <f t="shared" si="27"/>
        <v>50000</v>
      </c>
      <c r="AF62" s="742">
        <f t="shared" si="6"/>
        <v>58780.880087209312</v>
      </c>
      <c r="AG62" s="743">
        <v>43</v>
      </c>
      <c r="AH62" s="742">
        <f t="shared" si="7"/>
        <v>7732733.5312500019</v>
      </c>
      <c r="AI62" s="738">
        <f t="shared" si="17"/>
        <v>0</v>
      </c>
      <c r="AJ62" s="742">
        <f t="shared" si="14"/>
        <v>-10310311.375000002</v>
      </c>
      <c r="EV62" s="784">
        <f t="shared" si="9"/>
        <v>118853.66023058759</v>
      </c>
    </row>
    <row r="63" spans="1:152" x14ac:dyDescent="0.2">
      <c r="A63" s="993"/>
      <c r="B63" s="736">
        <v>61</v>
      </c>
      <c r="C63" s="736" t="s">
        <v>104</v>
      </c>
      <c r="D63" s="736" t="s">
        <v>166</v>
      </c>
      <c r="E63" s="736" t="s">
        <v>180</v>
      </c>
      <c r="F63" s="736" t="s">
        <v>127</v>
      </c>
      <c r="G63" s="736" t="s">
        <v>189</v>
      </c>
      <c r="H63" s="736" t="s">
        <v>109</v>
      </c>
      <c r="I63" s="740">
        <f>'[18]Collection Unsold 10.15.21'!G64</f>
        <v>67.72</v>
      </c>
      <c r="J63" s="741">
        <f>'[18]Collection Unsold 10.15.21'!H64</f>
        <v>4.2</v>
      </c>
      <c r="K63" s="740">
        <f t="shared" si="0"/>
        <v>71.92</v>
      </c>
      <c r="L63" s="742">
        <f t="shared" si="36"/>
        <v>8378400</v>
      </c>
      <c r="M63" s="736"/>
      <c r="N63" s="736">
        <v>5</v>
      </c>
      <c r="O63" s="738">
        <f t="shared" si="1"/>
        <v>169300</v>
      </c>
      <c r="P63" s="738"/>
      <c r="Q63" s="742"/>
      <c r="R63" s="738"/>
      <c r="S63" s="738"/>
      <c r="T63" s="738" t="str">
        <f t="shared" si="37"/>
        <v>INNER</v>
      </c>
      <c r="U63" s="738"/>
      <c r="V63" s="738">
        <f t="shared" si="25"/>
        <v>169300</v>
      </c>
      <c r="W63" s="742">
        <f t="shared" si="11"/>
        <v>8547700</v>
      </c>
      <c r="X63" s="742">
        <f t="shared" si="12"/>
        <v>512862</v>
      </c>
      <c r="Y63" s="742">
        <f t="shared" si="13"/>
        <v>213692.5</v>
      </c>
      <c r="Z63" s="742">
        <f t="shared" si="26"/>
        <v>1025724</v>
      </c>
      <c r="AA63" s="742">
        <f t="shared" si="3"/>
        <v>10299978.5</v>
      </c>
      <c r="AB63" s="742">
        <f t="shared" si="4"/>
        <v>143214.38403781981</v>
      </c>
      <c r="AC63" s="739">
        <v>0.25</v>
      </c>
      <c r="AD63" s="742">
        <f t="shared" si="5"/>
        <v>2574994.625</v>
      </c>
      <c r="AE63" s="738">
        <f t="shared" si="27"/>
        <v>50000</v>
      </c>
      <c r="AF63" s="742">
        <f t="shared" si="6"/>
        <v>58720.805232558138</v>
      </c>
      <c r="AG63" s="743">
        <v>43</v>
      </c>
      <c r="AH63" s="742">
        <f t="shared" si="7"/>
        <v>7724983.875</v>
      </c>
      <c r="AI63" s="738">
        <f t="shared" si="17"/>
        <v>0</v>
      </c>
      <c r="AJ63" s="742">
        <f t="shared" si="14"/>
        <v>-10299978.5</v>
      </c>
      <c r="EV63" s="784">
        <f t="shared" si="9"/>
        <v>118850.11123470523</v>
      </c>
    </row>
    <row r="64" spans="1:152" x14ac:dyDescent="0.2">
      <c r="A64" s="993"/>
      <c r="B64" s="736">
        <v>62</v>
      </c>
      <c r="C64" s="736" t="s">
        <v>104</v>
      </c>
      <c r="D64" s="736" t="s">
        <v>166</v>
      </c>
      <c r="E64" s="736" t="s">
        <v>180</v>
      </c>
      <c r="F64" s="736" t="s">
        <v>129</v>
      </c>
      <c r="G64" s="736" t="s">
        <v>190</v>
      </c>
      <c r="H64" s="736" t="s">
        <v>109</v>
      </c>
      <c r="I64" s="740">
        <f>'[18]Collection Unsold 10.15.21'!G65</f>
        <v>67.72</v>
      </c>
      <c r="J64" s="741">
        <f>'[18]Collection Unsold 10.15.21'!H65</f>
        <v>4.2</v>
      </c>
      <c r="K64" s="740">
        <f t="shared" si="0"/>
        <v>71.92</v>
      </c>
      <c r="L64" s="742">
        <f t="shared" si="36"/>
        <v>8378400</v>
      </c>
      <c r="M64" s="736"/>
      <c r="N64" s="736">
        <v>5</v>
      </c>
      <c r="O64" s="738">
        <f t="shared" si="1"/>
        <v>169300</v>
      </c>
      <c r="P64" s="738"/>
      <c r="Q64" s="742"/>
      <c r="R64" s="738"/>
      <c r="S64" s="738"/>
      <c r="T64" s="738" t="str">
        <f t="shared" si="37"/>
        <v>INNER</v>
      </c>
      <c r="U64" s="738"/>
      <c r="V64" s="738">
        <f t="shared" ref="V64:V67" si="38">SUM(O64:S64)</f>
        <v>169300</v>
      </c>
      <c r="W64" s="742">
        <f t="shared" si="11"/>
        <v>8547700</v>
      </c>
      <c r="X64" s="742">
        <f t="shared" si="12"/>
        <v>512862</v>
      </c>
      <c r="Y64" s="742">
        <f t="shared" si="13"/>
        <v>213692.5</v>
      </c>
      <c r="Z64" s="742">
        <f t="shared" si="26"/>
        <v>1025724</v>
      </c>
      <c r="AA64" s="742">
        <f t="shared" si="3"/>
        <v>10299978.5</v>
      </c>
      <c r="AB64" s="742">
        <f t="shared" si="4"/>
        <v>143214.38403781981</v>
      </c>
      <c r="AC64" s="739">
        <v>0.25</v>
      </c>
      <c r="AD64" s="742">
        <f t="shared" si="5"/>
        <v>2574994.625</v>
      </c>
      <c r="AE64" s="738">
        <f t="shared" si="27"/>
        <v>50000</v>
      </c>
      <c r="AF64" s="742">
        <f t="shared" si="6"/>
        <v>58720.805232558138</v>
      </c>
      <c r="AG64" s="743">
        <v>43</v>
      </c>
      <c r="AH64" s="742">
        <f t="shared" si="7"/>
        <v>7724983.875</v>
      </c>
      <c r="AI64" s="738">
        <f t="shared" si="17"/>
        <v>0</v>
      </c>
      <c r="AJ64" s="742">
        <f t="shared" si="14"/>
        <v>-10299978.5</v>
      </c>
      <c r="EV64" s="784">
        <f t="shared" si="9"/>
        <v>118850.11123470523</v>
      </c>
    </row>
    <row r="65" spans="1:152" x14ac:dyDescent="0.2">
      <c r="A65" s="993"/>
      <c r="B65" s="736">
        <v>63</v>
      </c>
      <c r="C65" s="736" t="s">
        <v>104</v>
      </c>
      <c r="D65" s="736" t="s">
        <v>166</v>
      </c>
      <c r="E65" s="736" t="s">
        <v>180</v>
      </c>
      <c r="F65" s="736" t="s">
        <v>131</v>
      </c>
      <c r="G65" s="736" t="s">
        <v>191</v>
      </c>
      <c r="H65" s="736" t="s">
        <v>109</v>
      </c>
      <c r="I65" s="740">
        <f>'[18]Collection Unsold 10.15.21'!G66</f>
        <v>67.72</v>
      </c>
      <c r="J65" s="741">
        <f>'[18]Collection Unsold 10.15.21'!H66</f>
        <v>4.2</v>
      </c>
      <c r="K65" s="740">
        <f t="shared" si="0"/>
        <v>71.92</v>
      </c>
      <c r="L65" s="742">
        <f t="shared" si="36"/>
        <v>8378400</v>
      </c>
      <c r="M65" s="736"/>
      <c r="N65" s="736">
        <v>5</v>
      </c>
      <c r="O65" s="738">
        <f t="shared" si="1"/>
        <v>169300</v>
      </c>
      <c r="P65" s="738"/>
      <c r="Q65" s="742"/>
      <c r="R65" s="738"/>
      <c r="S65" s="738"/>
      <c r="T65" s="738" t="str">
        <f t="shared" si="37"/>
        <v>INNER</v>
      </c>
      <c r="U65" s="738"/>
      <c r="V65" s="738">
        <f t="shared" si="38"/>
        <v>169300</v>
      </c>
      <c r="W65" s="742">
        <f t="shared" si="11"/>
        <v>8547700</v>
      </c>
      <c r="X65" s="742">
        <f t="shared" si="12"/>
        <v>512862</v>
      </c>
      <c r="Y65" s="742">
        <f t="shared" si="13"/>
        <v>213692.5</v>
      </c>
      <c r="Z65" s="742">
        <f t="shared" si="26"/>
        <v>1025724</v>
      </c>
      <c r="AA65" s="742">
        <f t="shared" si="3"/>
        <v>10299978.5</v>
      </c>
      <c r="AB65" s="742">
        <f t="shared" si="4"/>
        <v>143214.38403781981</v>
      </c>
      <c r="AC65" s="739">
        <v>0.25</v>
      </c>
      <c r="AD65" s="742">
        <f t="shared" si="5"/>
        <v>2574994.625</v>
      </c>
      <c r="AE65" s="738">
        <f t="shared" si="27"/>
        <v>50000</v>
      </c>
      <c r="AF65" s="742">
        <f t="shared" si="6"/>
        <v>58720.805232558138</v>
      </c>
      <c r="AG65" s="743">
        <v>43</v>
      </c>
      <c r="AH65" s="742">
        <f t="shared" si="7"/>
        <v>7724983.875</v>
      </c>
      <c r="AI65" s="738">
        <f t="shared" si="17"/>
        <v>0</v>
      </c>
      <c r="AJ65" s="742">
        <f t="shared" si="14"/>
        <v>-10299978.5</v>
      </c>
      <c r="EV65" s="784">
        <f t="shared" si="9"/>
        <v>118850.11123470523</v>
      </c>
    </row>
    <row r="66" spans="1:152" x14ac:dyDescent="0.2">
      <c r="A66" s="993"/>
      <c r="B66" s="736">
        <v>64</v>
      </c>
      <c r="C66" s="736" t="s">
        <v>104</v>
      </c>
      <c r="D66" s="736" t="s">
        <v>166</v>
      </c>
      <c r="E66" s="736" t="s">
        <v>180</v>
      </c>
      <c r="F66" s="736" t="s">
        <v>133</v>
      </c>
      <c r="G66" s="736" t="s">
        <v>192</v>
      </c>
      <c r="H66" s="736" t="s">
        <v>109</v>
      </c>
      <c r="I66" s="740">
        <f>'[18]Collection Unsold 10.15.21'!G67</f>
        <v>86.15</v>
      </c>
      <c r="J66" s="741">
        <f>'[18]Collection Unsold 10.15.21'!H67</f>
        <v>12.66</v>
      </c>
      <c r="K66" s="740">
        <f t="shared" si="0"/>
        <v>98.81</v>
      </c>
      <c r="L66" s="742">
        <f t="shared" si="36"/>
        <v>11097600</v>
      </c>
      <c r="M66" s="736"/>
      <c r="N66" s="736">
        <v>5</v>
      </c>
      <c r="O66" s="738">
        <f t="shared" si="1"/>
        <v>215375</v>
      </c>
      <c r="P66" s="738"/>
      <c r="Q66" s="742"/>
      <c r="R66" s="738">
        <f>I66*1000</f>
        <v>86150</v>
      </c>
      <c r="S66" s="738"/>
      <c r="T66" s="738" t="str">
        <f t="shared" si="37"/>
        <v>CORNER</v>
      </c>
      <c r="U66" s="738"/>
      <c r="V66" s="738">
        <f t="shared" si="38"/>
        <v>301525</v>
      </c>
      <c r="W66" s="742">
        <f t="shared" si="11"/>
        <v>11399125</v>
      </c>
      <c r="X66" s="742">
        <f t="shared" si="12"/>
        <v>683947.5</v>
      </c>
      <c r="Y66" s="742">
        <f t="shared" si="13"/>
        <v>284978.125</v>
      </c>
      <c r="Z66" s="742">
        <f t="shared" si="26"/>
        <v>1367895</v>
      </c>
      <c r="AA66" s="742">
        <f t="shared" si="3"/>
        <v>13735945.625</v>
      </c>
      <c r="AB66" s="742">
        <f t="shared" si="4"/>
        <v>139013.71951219512</v>
      </c>
      <c r="AC66" s="739">
        <v>0.25</v>
      </c>
      <c r="AD66" s="742">
        <f t="shared" si="5"/>
        <v>3433986.40625</v>
      </c>
      <c r="AE66" s="738">
        <f t="shared" si="27"/>
        <v>50000</v>
      </c>
      <c r="AF66" s="742">
        <f t="shared" si="6"/>
        <v>78697.358284883725</v>
      </c>
      <c r="AG66" s="743">
        <v>43</v>
      </c>
      <c r="AH66" s="742">
        <f t="shared" si="7"/>
        <v>10301959.21875</v>
      </c>
      <c r="AI66" s="738">
        <f t="shared" si="17"/>
        <v>0</v>
      </c>
      <c r="AJ66" s="742">
        <f t="shared" si="14"/>
        <v>-13735945.625</v>
      </c>
      <c r="EV66" s="784">
        <f t="shared" si="9"/>
        <v>115364.08258273454</v>
      </c>
    </row>
    <row r="67" spans="1:152" x14ac:dyDescent="0.2">
      <c r="A67" s="993"/>
      <c r="B67" s="736">
        <v>65</v>
      </c>
      <c r="C67" s="736" t="s">
        <v>135</v>
      </c>
      <c r="D67" s="736" t="s">
        <v>166</v>
      </c>
      <c r="E67" s="736" t="s">
        <v>180</v>
      </c>
      <c r="F67" s="736" t="s">
        <v>136</v>
      </c>
      <c r="G67" s="736" t="s">
        <v>193</v>
      </c>
      <c r="H67" s="736" t="s">
        <v>109</v>
      </c>
      <c r="I67" s="740">
        <f>'[18]Collection Unsold 10.15.21'!G68</f>
        <v>53.53</v>
      </c>
      <c r="J67" s="741">
        <f>'[18]Collection Unsold 10.15.21'!H68</f>
        <v>4.18</v>
      </c>
      <c r="K67" s="740">
        <f t="shared" si="0"/>
        <v>57.71</v>
      </c>
      <c r="L67" s="742">
        <f t="shared" si="36"/>
        <v>6674400</v>
      </c>
      <c r="M67" s="736"/>
      <c r="N67" s="736">
        <v>5</v>
      </c>
      <c r="O67" s="738">
        <f t="shared" ref="O67:O130" si="39">I67*N67*500</f>
        <v>133825</v>
      </c>
      <c r="P67" s="738"/>
      <c r="Q67" s="742"/>
      <c r="R67" s="738"/>
      <c r="S67" s="738"/>
      <c r="T67" s="738" t="str">
        <f t="shared" si="37"/>
        <v>INNER</v>
      </c>
      <c r="U67" s="738"/>
      <c r="V67" s="738">
        <f t="shared" si="38"/>
        <v>133825</v>
      </c>
      <c r="W67" s="742">
        <f t="shared" ref="W67:W130" si="40">L67-M67+V67</f>
        <v>6808225</v>
      </c>
      <c r="X67" s="742">
        <f t="shared" si="12"/>
        <v>408493.5</v>
      </c>
      <c r="Y67" s="742">
        <f t="shared" si="13"/>
        <v>170205.625</v>
      </c>
      <c r="Z67" s="742">
        <f t="shared" si="26"/>
        <v>816987</v>
      </c>
      <c r="AA67" s="742">
        <f t="shared" ref="AA67:AA124" si="41">W67+X67+Y67+Z67</f>
        <v>8203911.125</v>
      </c>
      <c r="AB67" s="742">
        <f t="shared" ref="AB67:AB130" si="42">AA67/K67</f>
        <v>142157.53119043494</v>
      </c>
      <c r="AC67" s="739">
        <v>0.25</v>
      </c>
      <c r="AD67" s="742">
        <f t="shared" si="5"/>
        <v>2050977.78125</v>
      </c>
      <c r="AE67" s="738">
        <f t="shared" si="27"/>
        <v>50000</v>
      </c>
      <c r="AF67" s="742">
        <f t="shared" ref="AF67:AF130" si="43">(AD67-AE67)/(AG67)</f>
        <v>46534.367005813954</v>
      </c>
      <c r="AG67" s="743">
        <v>43</v>
      </c>
      <c r="AH67" s="742">
        <f t="shared" ref="AH67:AH130" si="44">AA67-AD67</f>
        <v>6152933.34375</v>
      </c>
      <c r="AI67" s="738">
        <f t="shared" si="17"/>
        <v>0</v>
      </c>
      <c r="AJ67" s="742">
        <f t="shared" si="14"/>
        <v>-8203911.125</v>
      </c>
      <c r="EV67" s="784">
        <f t="shared" ref="EV67:EV130" si="45">W67/K67</f>
        <v>117973.05492982152</v>
      </c>
    </row>
    <row r="68" spans="1:152" x14ac:dyDescent="0.2">
      <c r="A68" s="993">
        <v>6</v>
      </c>
      <c r="B68" s="736">
        <v>66</v>
      </c>
      <c r="C68" s="736" t="s">
        <v>104</v>
      </c>
      <c r="D68" s="736" t="s">
        <v>180</v>
      </c>
      <c r="E68" s="736" t="s">
        <v>194</v>
      </c>
      <c r="F68" s="736" t="s">
        <v>107</v>
      </c>
      <c r="G68" s="736" t="s">
        <v>195</v>
      </c>
      <c r="H68" s="736" t="s">
        <v>109</v>
      </c>
      <c r="I68" s="740">
        <f>'[18]Collection Unsold 10.15.21'!G69</f>
        <v>98.5</v>
      </c>
      <c r="J68" s="741">
        <f>'[18]Collection Unsold 10.15.21'!H69</f>
        <v>10.46</v>
      </c>
      <c r="K68" s="740">
        <f t="shared" si="0"/>
        <v>108.96000000000001</v>
      </c>
      <c r="L68" s="742">
        <f t="shared" ref="L68:L80" si="46">L3</f>
        <v>12447600</v>
      </c>
      <c r="M68" s="736"/>
      <c r="N68" s="736">
        <v>6</v>
      </c>
      <c r="O68" s="738">
        <f t="shared" si="39"/>
        <v>295500</v>
      </c>
      <c r="P68" s="738"/>
      <c r="Q68" s="742"/>
      <c r="R68" s="738">
        <f>I68*1000</f>
        <v>98500</v>
      </c>
      <c r="S68" s="738">
        <f>I68*1000</f>
        <v>98500</v>
      </c>
      <c r="T68" s="738" t="str">
        <f t="shared" ref="T68:T80" si="47">T3</f>
        <v>CORNER</v>
      </c>
      <c r="U68" s="738"/>
      <c r="V68" s="738">
        <f t="shared" si="25"/>
        <v>492500</v>
      </c>
      <c r="W68" s="742">
        <f t="shared" si="40"/>
        <v>12940100</v>
      </c>
      <c r="X68" s="742">
        <f t="shared" ref="X68:X131" si="48">W68*6%</f>
        <v>776406</v>
      </c>
      <c r="Y68" s="742">
        <f t="shared" ref="Y68:Y131" si="49">W68*2.5%</f>
        <v>323502.5</v>
      </c>
      <c r="Z68" s="742">
        <f t="shared" si="26"/>
        <v>1552812</v>
      </c>
      <c r="AA68" s="742">
        <f t="shared" si="41"/>
        <v>15592820.5</v>
      </c>
      <c r="AB68" s="742">
        <f t="shared" si="42"/>
        <v>143105.91501468429</v>
      </c>
      <c r="AC68" s="739">
        <v>0.25</v>
      </c>
      <c r="AD68" s="742">
        <f t="shared" si="5"/>
        <v>3898205.125</v>
      </c>
      <c r="AE68" s="738">
        <f>AE62</f>
        <v>50000</v>
      </c>
      <c r="AF68" s="742">
        <f t="shared" si="43"/>
        <v>89493.142441860458</v>
      </c>
      <c r="AG68" s="743">
        <v>43</v>
      </c>
      <c r="AH68" s="742">
        <f t="shared" si="44"/>
        <v>11694615.375</v>
      </c>
      <c r="AI68" s="738">
        <f t="shared" si="17"/>
        <v>0</v>
      </c>
      <c r="AJ68" s="742">
        <f t="shared" ref="AJ68:AJ131" si="50">AI68-AA68</f>
        <v>-15592820.5</v>
      </c>
      <c r="EV68" s="784">
        <f t="shared" si="45"/>
        <v>118760.09544787077</v>
      </c>
    </row>
    <row r="69" spans="1:152" x14ac:dyDescent="0.2">
      <c r="A69" s="993"/>
      <c r="B69" s="736">
        <v>67</v>
      </c>
      <c r="C69" s="736" t="s">
        <v>104</v>
      </c>
      <c r="D69" s="736" t="s">
        <v>180</v>
      </c>
      <c r="E69" s="736" t="s">
        <v>194</v>
      </c>
      <c r="F69" s="736" t="s">
        <v>111</v>
      </c>
      <c r="G69" s="736" t="s">
        <v>196</v>
      </c>
      <c r="H69" s="736" t="s">
        <v>113</v>
      </c>
      <c r="I69" s="740">
        <f>'[18]Collection Unsold 10.15.21'!G70</f>
        <v>51.02</v>
      </c>
      <c r="J69" s="741">
        <f>'[18]Collection Unsold 10.15.21'!H70</f>
        <v>5.36</v>
      </c>
      <c r="K69" s="740">
        <f t="shared" si="0"/>
        <v>56.38</v>
      </c>
      <c r="L69" s="742">
        <f t="shared" si="46"/>
        <v>6444000</v>
      </c>
      <c r="M69" s="736"/>
      <c r="N69" s="736">
        <v>6</v>
      </c>
      <c r="O69" s="738">
        <f t="shared" si="39"/>
        <v>153060</v>
      </c>
      <c r="P69" s="738"/>
      <c r="Q69" s="742"/>
      <c r="R69" s="738"/>
      <c r="S69" s="738">
        <f>I69*1000</f>
        <v>51020</v>
      </c>
      <c r="T69" s="738" t="str">
        <f t="shared" si="47"/>
        <v>INNER</v>
      </c>
      <c r="U69" s="738"/>
      <c r="V69" s="738">
        <f t="shared" si="25"/>
        <v>204080</v>
      </c>
      <c r="W69" s="742">
        <f t="shared" si="40"/>
        <v>6648080</v>
      </c>
      <c r="X69" s="742">
        <f t="shared" si="48"/>
        <v>398884.8</v>
      </c>
      <c r="Y69" s="742">
        <f t="shared" si="49"/>
        <v>166202</v>
      </c>
      <c r="Z69" s="742">
        <f t="shared" si="26"/>
        <v>797769.6</v>
      </c>
      <c r="AA69" s="742">
        <f t="shared" si="41"/>
        <v>8010936.3999999994</v>
      </c>
      <c r="AB69" s="742">
        <f t="shared" si="42"/>
        <v>142088.26534231997</v>
      </c>
      <c r="AC69" s="739">
        <v>0.25</v>
      </c>
      <c r="AD69" s="742">
        <f t="shared" si="5"/>
        <v>2002734.0999999999</v>
      </c>
      <c r="AE69" s="738">
        <f t="shared" si="27"/>
        <v>50000</v>
      </c>
      <c r="AF69" s="742">
        <f t="shared" si="43"/>
        <v>45412.420930232554</v>
      </c>
      <c r="AG69" s="743">
        <v>43</v>
      </c>
      <c r="AH69" s="742">
        <f t="shared" si="44"/>
        <v>6008202.2999999998</v>
      </c>
      <c r="AI69" s="738">
        <f t="shared" si="17"/>
        <v>0</v>
      </c>
      <c r="AJ69" s="742">
        <f t="shared" si="50"/>
        <v>-8010936.3999999994</v>
      </c>
      <c r="EV69" s="784">
        <f t="shared" si="45"/>
        <v>117915.57289819085</v>
      </c>
    </row>
    <row r="70" spans="1:152" x14ac:dyDescent="0.2">
      <c r="A70" s="993"/>
      <c r="B70" s="736">
        <v>68</v>
      </c>
      <c r="C70" s="736" t="s">
        <v>104</v>
      </c>
      <c r="D70" s="736" t="s">
        <v>180</v>
      </c>
      <c r="E70" s="736" t="s">
        <v>194</v>
      </c>
      <c r="F70" s="736" t="s">
        <v>115</v>
      </c>
      <c r="G70" s="736" t="s">
        <v>197</v>
      </c>
      <c r="H70" s="736" t="s">
        <v>109</v>
      </c>
      <c r="I70" s="740">
        <f>'[18]Collection Unsold 10.15.21'!G71</f>
        <v>55.62</v>
      </c>
      <c r="J70" s="741">
        <f>'[18]Collection Unsold 10.15.21'!H71</f>
        <v>5.37</v>
      </c>
      <c r="K70" s="740">
        <f t="shared" si="0"/>
        <v>60.989999999999995</v>
      </c>
      <c r="L70" s="742">
        <f t="shared" si="46"/>
        <v>6996600</v>
      </c>
      <c r="M70" s="736"/>
      <c r="N70" s="736">
        <v>6</v>
      </c>
      <c r="O70" s="738">
        <f t="shared" si="39"/>
        <v>166859.99999999997</v>
      </c>
      <c r="P70" s="738"/>
      <c r="Q70" s="742"/>
      <c r="R70" s="738"/>
      <c r="S70" s="738">
        <f>I70*1000</f>
        <v>55620</v>
      </c>
      <c r="T70" s="738" t="str">
        <f t="shared" si="47"/>
        <v>INNER</v>
      </c>
      <c r="U70" s="738"/>
      <c r="V70" s="738">
        <f t="shared" si="25"/>
        <v>222479.99999999997</v>
      </c>
      <c r="W70" s="742">
        <f t="shared" si="40"/>
        <v>7219080</v>
      </c>
      <c r="X70" s="742">
        <f t="shared" si="48"/>
        <v>433144.8</v>
      </c>
      <c r="Y70" s="742">
        <f t="shared" si="49"/>
        <v>180477</v>
      </c>
      <c r="Z70" s="742">
        <f t="shared" si="26"/>
        <v>866289.6</v>
      </c>
      <c r="AA70" s="742">
        <f t="shared" si="41"/>
        <v>8698991.4000000004</v>
      </c>
      <c r="AB70" s="742">
        <f t="shared" si="42"/>
        <v>142629.7983275947</v>
      </c>
      <c r="AC70" s="739">
        <v>0.25</v>
      </c>
      <c r="AD70" s="742">
        <f t="shared" si="5"/>
        <v>2174747.85</v>
      </c>
      <c r="AE70" s="738">
        <f t="shared" si="27"/>
        <v>50000</v>
      </c>
      <c r="AF70" s="742">
        <f t="shared" si="43"/>
        <v>49412.740697674424</v>
      </c>
      <c r="AG70" s="743">
        <v>43</v>
      </c>
      <c r="AH70" s="742">
        <f t="shared" si="44"/>
        <v>6524243.5500000007</v>
      </c>
      <c r="AI70" s="738">
        <f t="shared" si="17"/>
        <v>0</v>
      </c>
      <c r="AJ70" s="742">
        <f t="shared" si="50"/>
        <v>-8698991.4000000004</v>
      </c>
      <c r="EV70" s="784">
        <f t="shared" si="45"/>
        <v>118364.97786522382</v>
      </c>
    </row>
    <row r="71" spans="1:152" x14ac:dyDescent="0.2">
      <c r="A71" s="993"/>
      <c r="B71" s="736">
        <v>69</v>
      </c>
      <c r="C71" s="736" t="s">
        <v>104</v>
      </c>
      <c r="D71" s="736" t="s">
        <v>180</v>
      </c>
      <c r="E71" s="736" t="s">
        <v>194</v>
      </c>
      <c r="F71" s="736" t="s">
        <v>117</v>
      </c>
      <c r="G71" s="736" t="s">
        <v>198</v>
      </c>
      <c r="H71" s="736" t="s">
        <v>109</v>
      </c>
      <c r="I71" s="740">
        <f>'[18]Collection Unsold 10.15.21'!G72</f>
        <v>60.78</v>
      </c>
      <c r="J71" s="741">
        <f>'[18]Collection Unsold 10.15.21'!H72</f>
        <v>5.15</v>
      </c>
      <c r="K71" s="740">
        <f t="shared" si="0"/>
        <v>65.930000000000007</v>
      </c>
      <c r="L71" s="742">
        <f t="shared" si="46"/>
        <v>7602600</v>
      </c>
      <c r="M71" s="736"/>
      <c r="N71" s="736">
        <v>6</v>
      </c>
      <c r="O71" s="738">
        <f t="shared" si="39"/>
        <v>182340</v>
      </c>
      <c r="P71" s="738"/>
      <c r="Q71" s="742"/>
      <c r="R71" s="738"/>
      <c r="S71" s="738">
        <f>I71*1000</f>
        <v>60780</v>
      </c>
      <c r="T71" s="738" t="str">
        <f t="shared" si="47"/>
        <v>INNER</v>
      </c>
      <c r="U71" s="738"/>
      <c r="V71" s="738">
        <f t="shared" si="25"/>
        <v>243120</v>
      </c>
      <c r="W71" s="742">
        <f t="shared" si="40"/>
        <v>7845720</v>
      </c>
      <c r="X71" s="742">
        <f t="shared" si="48"/>
        <v>470743.2</v>
      </c>
      <c r="Y71" s="742">
        <f t="shared" si="49"/>
        <v>196143</v>
      </c>
      <c r="Z71" s="742">
        <f t="shared" si="26"/>
        <v>941486.4</v>
      </c>
      <c r="AA71" s="742">
        <f t="shared" si="41"/>
        <v>9454092.5999999996</v>
      </c>
      <c r="AB71" s="742">
        <f t="shared" si="42"/>
        <v>143395.9138480206</v>
      </c>
      <c r="AC71" s="739">
        <v>0.25</v>
      </c>
      <c r="AD71" s="742">
        <f t="shared" si="5"/>
        <v>2363523.15</v>
      </c>
      <c r="AE71" s="738">
        <f t="shared" si="27"/>
        <v>50000</v>
      </c>
      <c r="AF71" s="742">
        <f t="shared" si="43"/>
        <v>53802.86395348837</v>
      </c>
      <c r="AG71" s="743">
        <v>43</v>
      </c>
      <c r="AH71" s="742">
        <f t="shared" si="44"/>
        <v>7090569.4499999993</v>
      </c>
      <c r="AI71" s="738">
        <f t="shared" si="17"/>
        <v>0</v>
      </c>
      <c r="AJ71" s="742">
        <f t="shared" si="50"/>
        <v>-9454092.5999999996</v>
      </c>
      <c r="EV71" s="784">
        <f t="shared" si="45"/>
        <v>119000.75838010009</v>
      </c>
    </row>
    <row r="72" spans="1:152" x14ac:dyDescent="0.2">
      <c r="A72" s="993"/>
      <c r="B72" s="736">
        <v>70</v>
      </c>
      <c r="C72" s="736" t="s">
        <v>104</v>
      </c>
      <c r="D72" s="736" t="s">
        <v>180</v>
      </c>
      <c r="E72" s="736" t="s">
        <v>194</v>
      </c>
      <c r="F72" s="736" t="s">
        <v>119</v>
      </c>
      <c r="G72" s="736" t="s">
        <v>199</v>
      </c>
      <c r="H72" s="736" t="s">
        <v>109</v>
      </c>
      <c r="I72" s="740">
        <f>'[18]Collection Unsold 10.15.21'!G73</f>
        <v>83.49</v>
      </c>
      <c r="J72" s="741">
        <f>'[18]Collection Unsold 10.15.21'!H73</f>
        <v>12.309999999999999</v>
      </c>
      <c r="K72" s="740">
        <f t="shared" si="0"/>
        <v>95.8</v>
      </c>
      <c r="L72" s="742">
        <f t="shared" si="46"/>
        <v>10757400</v>
      </c>
      <c r="M72" s="736"/>
      <c r="N72" s="736">
        <v>6</v>
      </c>
      <c r="O72" s="738">
        <f t="shared" si="39"/>
        <v>250469.99999999997</v>
      </c>
      <c r="P72" s="738"/>
      <c r="Q72" s="742"/>
      <c r="R72" s="738">
        <f>I72*1000</f>
        <v>83490</v>
      </c>
      <c r="S72" s="738">
        <f>I72*1000</f>
        <v>83490</v>
      </c>
      <c r="T72" s="738" t="str">
        <f t="shared" si="47"/>
        <v>CORNER</v>
      </c>
      <c r="U72" s="738"/>
      <c r="V72" s="738">
        <f t="shared" si="25"/>
        <v>417450</v>
      </c>
      <c r="W72" s="742">
        <f t="shared" si="40"/>
        <v>11174850</v>
      </c>
      <c r="X72" s="742">
        <f t="shared" si="48"/>
        <v>670491</v>
      </c>
      <c r="Y72" s="742">
        <f t="shared" si="49"/>
        <v>279371.25</v>
      </c>
      <c r="Z72" s="742">
        <f t="shared" si="26"/>
        <v>1340982</v>
      </c>
      <c r="AA72" s="742">
        <f t="shared" si="41"/>
        <v>13465694.25</v>
      </c>
      <c r="AB72" s="742">
        <f t="shared" si="42"/>
        <v>140560.48277661795</v>
      </c>
      <c r="AC72" s="739">
        <v>0.25</v>
      </c>
      <c r="AD72" s="742">
        <f t="shared" si="5"/>
        <v>3366423.5625</v>
      </c>
      <c r="AE72" s="738">
        <f t="shared" si="27"/>
        <v>50000</v>
      </c>
      <c r="AF72" s="742">
        <f t="shared" si="43"/>
        <v>77126.129360465115</v>
      </c>
      <c r="AG72" s="743">
        <v>43</v>
      </c>
      <c r="AH72" s="742">
        <f t="shared" si="44"/>
        <v>10099270.6875</v>
      </c>
      <c r="AI72" s="738">
        <f t="shared" si="17"/>
        <v>0</v>
      </c>
      <c r="AJ72" s="742">
        <f t="shared" si="50"/>
        <v>-13465694.25</v>
      </c>
      <c r="EV72" s="784">
        <f t="shared" si="45"/>
        <v>116647.70354906055</v>
      </c>
    </row>
    <row r="73" spans="1:152" x14ac:dyDescent="0.2">
      <c r="A73" s="993"/>
      <c r="B73" s="736">
        <v>71</v>
      </c>
      <c r="C73" s="736" t="s">
        <v>104</v>
      </c>
      <c r="D73" s="736" t="s">
        <v>180</v>
      </c>
      <c r="E73" s="736" t="s">
        <v>194</v>
      </c>
      <c r="F73" s="736" t="s">
        <v>121</v>
      </c>
      <c r="G73" s="736" t="s">
        <v>200</v>
      </c>
      <c r="H73" s="736" t="s">
        <v>109</v>
      </c>
      <c r="I73" s="740">
        <f>'[18]Collection Unsold 10.15.21'!G74</f>
        <v>61.03</v>
      </c>
      <c r="J73" s="741">
        <f>'[18]Collection Unsold 10.15.21'!H74</f>
        <v>4.1900000000000004</v>
      </c>
      <c r="K73" s="740">
        <f t="shared" si="0"/>
        <v>65.22</v>
      </c>
      <c r="L73" s="742">
        <f t="shared" si="46"/>
        <v>7575000</v>
      </c>
      <c r="M73" s="736"/>
      <c r="N73" s="736">
        <v>6</v>
      </c>
      <c r="O73" s="738">
        <f t="shared" si="39"/>
        <v>183090</v>
      </c>
      <c r="P73" s="738"/>
      <c r="Q73" s="742"/>
      <c r="R73" s="738"/>
      <c r="S73" s="738"/>
      <c r="T73" s="738" t="str">
        <f t="shared" si="47"/>
        <v>INNER</v>
      </c>
      <c r="U73" s="738"/>
      <c r="V73" s="738">
        <f t="shared" si="25"/>
        <v>183090</v>
      </c>
      <c r="W73" s="742">
        <f t="shared" si="40"/>
        <v>7758090</v>
      </c>
      <c r="X73" s="742">
        <f t="shared" si="48"/>
        <v>465485.39999999997</v>
      </c>
      <c r="Y73" s="742">
        <f t="shared" si="49"/>
        <v>193952.25</v>
      </c>
      <c r="Z73" s="742">
        <f t="shared" si="26"/>
        <v>930970.79999999993</v>
      </c>
      <c r="AA73" s="742">
        <f t="shared" si="41"/>
        <v>9348498.4500000011</v>
      </c>
      <c r="AB73" s="742">
        <f t="shared" si="42"/>
        <v>143337.90938362468</v>
      </c>
      <c r="AC73" s="739">
        <v>0.25</v>
      </c>
      <c r="AD73" s="742">
        <f t="shared" si="5"/>
        <v>2337124.6125000003</v>
      </c>
      <c r="AE73" s="738">
        <f t="shared" si="27"/>
        <v>50000</v>
      </c>
      <c r="AF73" s="742">
        <f t="shared" si="43"/>
        <v>53188.944476744189</v>
      </c>
      <c r="AG73" s="743">
        <v>43</v>
      </c>
      <c r="AH73" s="742">
        <f t="shared" si="44"/>
        <v>7011373.8375000004</v>
      </c>
      <c r="AI73" s="738">
        <f t="shared" si="17"/>
        <v>0</v>
      </c>
      <c r="AJ73" s="742">
        <f t="shared" si="50"/>
        <v>-9348498.4500000011</v>
      </c>
      <c r="EV73" s="784">
        <f t="shared" si="45"/>
        <v>118952.62189512419</v>
      </c>
    </row>
    <row r="74" spans="1:152" x14ac:dyDescent="0.2">
      <c r="A74" s="993"/>
      <c r="B74" s="736">
        <v>72</v>
      </c>
      <c r="C74" s="736" t="s">
        <v>104</v>
      </c>
      <c r="D74" s="736" t="s">
        <v>180</v>
      </c>
      <c r="E74" s="736" t="s">
        <v>194</v>
      </c>
      <c r="F74" s="736" t="s">
        <v>123</v>
      </c>
      <c r="G74" s="736" t="s">
        <v>201</v>
      </c>
      <c r="H74" s="736" t="s">
        <v>109</v>
      </c>
      <c r="I74" s="740">
        <f>'[18]Collection Unsold 10.15.21'!G75</f>
        <v>94.79</v>
      </c>
      <c r="J74" s="741">
        <f>'[18]Collection Unsold 10.15.21'!H75</f>
        <v>11.260000000000002</v>
      </c>
      <c r="K74" s="740">
        <f t="shared" si="0"/>
        <v>106.05000000000001</v>
      </c>
      <c r="L74" s="742">
        <f t="shared" si="46"/>
        <v>12050400</v>
      </c>
      <c r="M74" s="736"/>
      <c r="N74" s="736">
        <v>6</v>
      </c>
      <c r="O74" s="738">
        <f t="shared" si="39"/>
        <v>284370</v>
      </c>
      <c r="P74" s="738"/>
      <c r="Q74" s="742"/>
      <c r="R74" s="738">
        <f>I74*1000</f>
        <v>94790</v>
      </c>
      <c r="S74" s="738"/>
      <c r="T74" s="738" t="str">
        <f t="shared" si="47"/>
        <v>CORNER</v>
      </c>
      <c r="U74" s="738"/>
      <c r="V74" s="738">
        <f t="shared" si="25"/>
        <v>379160</v>
      </c>
      <c r="W74" s="742">
        <f t="shared" si="40"/>
        <v>12429560</v>
      </c>
      <c r="X74" s="742">
        <f t="shared" si="48"/>
        <v>745773.6</v>
      </c>
      <c r="Y74" s="742">
        <f t="shared" si="49"/>
        <v>310739</v>
      </c>
      <c r="Z74" s="742">
        <f t="shared" si="26"/>
        <v>1491547.2</v>
      </c>
      <c r="AA74" s="742">
        <f t="shared" si="41"/>
        <v>14977619.799999999</v>
      </c>
      <c r="AB74" s="742">
        <f t="shared" si="42"/>
        <v>141231.68128241392</v>
      </c>
      <c r="AC74" s="739">
        <v>0.25</v>
      </c>
      <c r="AD74" s="742">
        <f t="shared" si="5"/>
        <v>3744404.9499999997</v>
      </c>
      <c r="AE74" s="738">
        <f t="shared" si="27"/>
        <v>50000</v>
      </c>
      <c r="AF74" s="742">
        <f t="shared" si="43"/>
        <v>85916.394186046498</v>
      </c>
      <c r="AG74" s="743">
        <v>43</v>
      </c>
      <c r="AH74" s="742">
        <f t="shared" si="44"/>
        <v>11233214.85</v>
      </c>
      <c r="AI74" s="738">
        <f t="shared" si="17"/>
        <v>0</v>
      </c>
      <c r="AJ74" s="742">
        <f t="shared" si="50"/>
        <v>-14977619.799999999</v>
      </c>
      <c r="EV74" s="784">
        <f t="shared" si="45"/>
        <v>117204.71475719</v>
      </c>
    </row>
    <row r="75" spans="1:152" x14ac:dyDescent="0.2">
      <c r="A75" s="993"/>
      <c r="B75" s="736">
        <v>73</v>
      </c>
      <c r="C75" s="736" t="s">
        <v>104</v>
      </c>
      <c r="D75" s="736" t="s">
        <v>180</v>
      </c>
      <c r="E75" s="736" t="s">
        <v>194</v>
      </c>
      <c r="F75" s="736" t="s">
        <v>125</v>
      </c>
      <c r="G75" s="736" t="s">
        <v>202</v>
      </c>
      <c r="H75" s="736" t="s">
        <v>109</v>
      </c>
      <c r="I75" s="740">
        <f>'[18]Collection Unsold 10.15.21'!G76</f>
        <v>67.790000000000006</v>
      </c>
      <c r="J75" s="741">
        <f>'[18]Collection Unsold 10.15.21'!H76</f>
        <v>4.2</v>
      </c>
      <c r="K75" s="740">
        <f t="shared" si="0"/>
        <v>71.990000000000009</v>
      </c>
      <c r="L75" s="742">
        <f t="shared" si="46"/>
        <v>8386800.0000000009</v>
      </c>
      <c r="M75" s="736"/>
      <c r="N75" s="736">
        <v>6</v>
      </c>
      <c r="O75" s="738">
        <f t="shared" si="39"/>
        <v>203370</v>
      </c>
      <c r="P75" s="738"/>
      <c r="Q75" s="742"/>
      <c r="R75" s="738"/>
      <c r="S75" s="738"/>
      <c r="T75" s="738" t="str">
        <f t="shared" si="47"/>
        <v>INNER</v>
      </c>
      <c r="U75" s="738"/>
      <c r="V75" s="738">
        <f t="shared" si="25"/>
        <v>203370</v>
      </c>
      <c r="W75" s="742">
        <f t="shared" si="40"/>
        <v>8590170</v>
      </c>
      <c r="X75" s="742">
        <f t="shared" si="48"/>
        <v>515410.19999999995</v>
      </c>
      <c r="Y75" s="742">
        <f t="shared" si="49"/>
        <v>214754.25</v>
      </c>
      <c r="Z75" s="742">
        <f t="shared" si="26"/>
        <v>1030820.3999999999</v>
      </c>
      <c r="AA75" s="742">
        <f t="shared" si="41"/>
        <v>10351154.85</v>
      </c>
      <c r="AB75" s="742">
        <f t="shared" si="42"/>
        <v>143786.00986248089</v>
      </c>
      <c r="AC75" s="739">
        <v>0.25</v>
      </c>
      <c r="AD75" s="742">
        <f t="shared" si="5"/>
        <v>2587788.7124999999</v>
      </c>
      <c r="AE75" s="738">
        <f t="shared" si="27"/>
        <v>50000</v>
      </c>
      <c r="AF75" s="742">
        <f t="shared" si="43"/>
        <v>59018.342151162789</v>
      </c>
      <c r="AG75" s="743">
        <v>43</v>
      </c>
      <c r="AH75" s="742">
        <f t="shared" si="44"/>
        <v>7763366.1374999993</v>
      </c>
      <c r="AI75" s="738">
        <f t="shared" si="17"/>
        <v>0</v>
      </c>
      <c r="AJ75" s="742">
        <f t="shared" si="50"/>
        <v>-10351154.85</v>
      </c>
      <c r="EV75" s="784">
        <f t="shared" si="45"/>
        <v>119324.48951243226</v>
      </c>
    </row>
    <row r="76" spans="1:152" x14ac:dyDescent="0.2">
      <c r="A76" s="993"/>
      <c r="B76" s="736">
        <v>74</v>
      </c>
      <c r="C76" s="736" t="s">
        <v>104</v>
      </c>
      <c r="D76" s="736" t="s">
        <v>180</v>
      </c>
      <c r="E76" s="736" t="s">
        <v>194</v>
      </c>
      <c r="F76" s="736" t="s">
        <v>127</v>
      </c>
      <c r="G76" s="736" t="s">
        <v>203</v>
      </c>
      <c r="H76" s="736" t="s">
        <v>109</v>
      </c>
      <c r="I76" s="740">
        <f>'[18]Collection Unsold 10.15.21'!G77</f>
        <v>67.72</v>
      </c>
      <c r="J76" s="741">
        <f>'[18]Collection Unsold 10.15.21'!H77</f>
        <v>4.2</v>
      </c>
      <c r="K76" s="740">
        <f t="shared" si="0"/>
        <v>71.92</v>
      </c>
      <c r="L76" s="742">
        <f t="shared" si="46"/>
        <v>8378400</v>
      </c>
      <c r="M76" s="736"/>
      <c r="N76" s="736">
        <v>6</v>
      </c>
      <c r="O76" s="738">
        <f t="shared" si="39"/>
        <v>203160</v>
      </c>
      <c r="P76" s="738"/>
      <c r="Q76" s="742"/>
      <c r="R76" s="738"/>
      <c r="S76" s="738"/>
      <c r="T76" s="738" t="str">
        <f t="shared" si="47"/>
        <v>INNER</v>
      </c>
      <c r="U76" s="738"/>
      <c r="V76" s="738">
        <f t="shared" si="25"/>
        <v>203160</v>
      </c>
      <c r="W76" s="742">
        <f t="shared" si="40"/>
        <v>8581560</v>
      </c>
      <c r="X76" s="742">
        <f t="shared" si="48"/>
        <v>514893.6</v>
      </c>
      <c r="Y76" s="742">
        <f t="shared" si="49"/>
        <v>214539</v>
      </c>
      <c r="Z76" s="742">
        <f t="shared" si="26"/>
        <v>1029787.2</v>
      </c>
      <c r="AA76" s="742">
        <f t="shared" si="41"/>
        <v>10340779.799999999</v>
      </c>
      <c r="AB76" s="742">
        <f t="shared" si="42"/>
        <v>143781.69911012234</v>
      </c>
      <c r="AC76" s="739">
        <v>0.25</v>
      </c>
      <c r="AD76" s="742">
        <f t="shared" si="5"/>
        <v>2585194.9499999997</v>
      </c>
      <c r="AE76" s="738">
        <f t="shared" si="27"/>
        <v>50000</v>
      </c>
      <c r="AF76" s="742">
        <f t="shared" si="43"/>
        <v>58958.022093023246</v>
      </c>
      <c r="AG76" s="743">
        <v>43</v>
      </c>
      <c r="AH76" s="742">
        <f t="shared" si="44"/>
        <v>7755584.8499999996</v>
      </c>
      <c r="AI76" s="738">
        <f t="shared" ref="AI76:AI132" si="51">SUM(AL76:CK76)</f>
        <v>0</v>
      </c>
      <c r="AJ76" s="742">
        <f t="shared" si="50"/>
        <v>-10340779.799999999</v>
      </c>
      <c r="EV76" s="784">
        <f t="shared" si="45"/>
        <v>119320.91212458287</v>
      </c>
    </row>
    <row r="77" spans="1:152" x14ac:dyDescent="0.2">
      <c r="A77" s="993"/>
      <c r="B77" s="736">
        <v>75</v>
      </c>
      <c r="C77" s="736" t="s">
        <v>104</v>
      </c>
      <c r="D77" s="736" t="s">
        <v>180</v>
      </c>
      <c r="E77" s="736" t="s">
        <v>194</v>
      </c>
      <c r="F77" s="736" t="s">
        <v>129</v>
      </c>
      <c r="G77" s="736" t="s">
        <v>204</v>
      </c>
      <c r="H77" s="736" t="s">
        <v>109</v>
      </c>
      <c r="I77" s="740">
        <f>'[18]Collection Unsold 10.15.21'!G78</f>
        <v>67.72</v>
      </c>
      <c r="J77" s="741">
        <f>'[18]Collection Unsold 10.15.21'!H78</f>
        <v>4.2</v>
      </c>
      <c r="K77" s="740">
        <f t="shared" si="0"/>
        <v>71.92</v>
      </c>
      <c r="L77" s="742">
        <f t="shared" si="46"/>
        <v>8378400</v>
      </c>
      <c r="M77" s="736"/>
      <c r="N77" s="736">
        <v>6</v>
      </c>
      <c r="O77" s="738">
        <f t="shared" si="39"/>
        <v>203160</v>
      </c>
      <c r="P77" s="738"/>
      <c r="Q77" s="742"/>
      <c r="R77" s="738"/>
      <c r="S77" s="738"/>
      <c r="T77" s="738" t="str">
        <f t="shared" si="47"/>
        <v>INNER</v>
      </c>
      <c r="U77" s="738"/>
      <c r="V77" s="738">
        <f t="shared" si="25"/>
        <v>203160</v>
      </c>
      <c r="W77" s="742">
        <f t="shared" si="40"/>
        <v>8581560</v>
      </c>
      <c r="X77" s="742">
        <f t="shared" si="48"/>
        <v>514893.6</v>
      </c>
      <c r="Y77" s="742">
        <f t="shared" si="49"/>
        <v>214539</v>
      </c>
      <c r="Z77" s="742">
        <f t="shared" si="26"/>
        <v>1029787.2</v>
      </c>
      <c r="AA77" s="742">
        <f t="shared" si="41"/>
        <v>10340779.799999999</v>
      </c>
      <c r="AB77" s="742">
        <f t="shared" si="42"/>
        <v>143781.69911012234</v>
      </c>
      <c r="AC77" s="739">
        <v>0.25</v>
      </c>
      <c r="AD77" s="742">
        <f t="shared" si="5"/>
        <v>2585194.9499999997</v>
      </c>
      <c r="AE77" s="738">
        <f t="shared" si="27"/>
        <v>50000</v>
      </c>
      <c r="AF77" s="742">
        <f t="shared" si="43"/>
        <v>58958.022093023246</v>
      </c>
      <c r="AG77" s="743">
        <v>43</v>
      </c>
      <c r="AH77" s="742">
        <f t="shared" si="44"/>
        <v>7755584.8499999996</v>
      </c>
      <c r="AI77" s="738">
        <f t="shared" si="51"/>
        <v>0</v>
      </c>
      <c r="AJ77" s="742">
        <f t="shared" si="50"/>
        <v>-10340779.799999999</v>
      </c>
      <c r="EV77" s="784">
        <f t="shared" si="45"/>
        <v>119320.91212458287</v>
      </c>
    </row>
    <row r="78" spans="1:152" x14ac:dyDescent="0.2">
      <c r="A78" s="993"/>
      <c r="B78" s="736">
        <v>76</v>
      </c>
      <c r="C78" s="736" t="s">
        <v>104</v>
      </c>
      <c r="D78" s="736" t="s">
        <v>180</v>
      </c>
      <c r="E78" s="736" t="s">
        <v>194</v>
      </c>
      <c r="F78" s="736" t="s">
        <v>131</v>
      </c>
      <c r="G78" s="736" t="s">
        <v>205</v>
      </c>
      <c r="H78" s="736" t="s">
        <v>109</v>
      </c>
      <c r="I78" s="740">
        <f>'[18]Collection Unsold 10.15.21'!G79</f>
        <v>67.72</v>
      </c>
      <c r="J78" s="741">
        <f>'[18]Collection Unsold 10.15.21'!H79</f>
        <v>4.2</v>
      </c>
      <c r="K78" s="740">
        <f t="shared" si="0"/>
        <v>71.92</v>
      </c>
      <c r="L78" s="742">
        <f t="shared" si="46"/>
        <v>8378400</v>
      </c>
      <c r="M78" s="736"/>
      <c r="N78" s="736">
        <v>6</v>
      </c>
      <c r="O78" s="738">
        <f t="shared" si="39"/>
        <v>203160</v>
      </c>
      <c r="P78" s="738"/>
      <c r="Q78" s="742"/>
      <c r="R78" s="738"/>
      <c r="S78" s="738"/>
      <c r="T78" s="738" t="str">
        <f t="shared" si="47"/>
        <v>INNER</v>
      </c>
      <c r="U78" s="738"/>
      <c r="V78" s="738">
        <f t="shared" si="25"/>
        <v>203160</v>
      </c>
      <c r="W78" s="742">
        <f t="shared" si="40"/>
        <v>8581560</v>
      </c>
      <c r="X78" s="742">
        <f t="shared" si="48"/>
        <v>514893.6</v>
      </c>
      <c r="Y78" s="742">
        <f t="shared" si="49"/>
        <v>214539</v>
      </c>
      <c r="Z78" s="742">
        <f t="shared" si="26"/>
        <v>1029787.2</v>
      </c>
      <c r="AA78" s="742">
        <f t="shared" si="41"/>
        <v>10340779.799999999</v>
      </c>
      <c r="AB78" s="742">
        <f t="shared" si="42"/>
        <v>143781.69911012234</v>
      </c>
      <c r="AC78" s="739">
        <v>0.25</v>
      </c>
      <c r="AD78" s="742">
        <f t="shared" si="5"/>
        <v>2585194.9499999997</v>
      </c>
      <c r="AE78" s="738">
        <f t="shared" si="27"/>
        <v>50000</v>
      </c>
      <c r="AF78" s="742">
        <f t="shared" si="43"/>
        <v>58958.022093023246</v>
      </c>
      <c r="AG78" s="743">
        <v>43</v>
      </c>
      <c r="AH78" s="742">
        <f t="shared" si="44"/>
        <v>7755584.8499999996</v>
      </c>
      <c r="AI78" s="738">
        <f t="shared" si="51"/>
        <v>0</v>
      </c>
      <c r="AJ78" s="742">
        <f t="shared" si="50"/>
        <v>-10340779.799999999</v>
      </c>
      <c r="EV78" s="784">
        <f t="shared" si="45"/>
        <v>119320.91212458287</v>
      </c>
    </row>
    <row r="79" spans="1:152" x14ac:dyDescent="0.2">
      <c r="A79" s="993"/>
      <c r="B79" s="736">
        <v>77</v>
      </c>
      <c r="C79" s="736" t="s">
        <v>104</v>
      </c>
      <c r="D79" s="736" t="s">
        <v>180</v>
      </c>
      <c r="E79" s="736" t="s">
        <v>194</v>
      </c>
      <c r="F79" s="736" t="s">
        <v>133</v>
      </c>
      <c r="G79" s="736" t="s">
        <v>206</v>
      </c>
      <c r="H79" s="736" t="s">
        <v>109</v>
      </c>
      <c r="I79" s="740">
        <f>'[18]Collection Unsold 10.15.21'!G80</f>
        <v>86.15</v>
      </c>
      <c r="J79" s="741">
        <f>'[18]Collection Unsold 10.15.21'!H80</f>
        <v>12.66</v>
      </c>
      <c r="K79" s="740">
        <f t="shared" si="0"/>
        <v>98.81</v>
      </c>
      <c r="L79" s="742">
        <f t="shared" si="46"/>
        <v>11097600</v>
      </c>
      <c r="M79" s="736"/>
      <c r="N79" s="736">
        <v>6</v>
      </c>
      <c r="O79" s="738">
        <f t="shared" si="39"/>
        <v>258450.00000000006</v>
      </c>
      <c r="P79" s="738"/>
      <c r="Q79" s="742"/>
      <c r="R79" s="738">
        <f>I79*1000</f>
        <v>86150</v>
      </c>
      <c r="S79" s="738">
        <f t="shared" ref="S79:S80" si="52">I79*1000</f>
        <v>86150</v>
      </c>
      <c r="T79" s="738" t="str">
        <f t="shared" si="47"/>
        <v>CORNER</v>
      </c>
      <c r="U79" s="738"/>
      <c r="V79" s="738">
        <f t="shared" si="25"/>
        <v>430750.00000000006</v>
      </c>
      <c r="W79" s="742">
        <f t="shared" si="40"/>
        <v>11528350</v>
      </c>
      <c r="X79" s="742">
        <f t="shared" si="48"/>
        <v>691701</v>
      </c>
      <c r="Y79" s="742">
        <f t="shared" si="49"/>
        <v>288208.75</v>
      </c>
      <c r="Z79" s="742">
        <f t="shared" si="26"/>
        <v>1383402</v>
      </c>
      <c r="AA79" s="742">
        <f t="shared" si="41"/>
        <v>13891661.75</v>
      </c>
      <c r="AB79" s="742">
        <f t="shared" si="42"/>
        <v>140589.63414634147</v>
      </c>
      <c r="AC79" s="739">
        <v>0.25</v>
      </c>
      <c r="AD79" s="742">
        <f t="shared" si="5"/>
        <v>3472915.4375</v>
      </c>
      <c r="AE79" s="738">
        <f t="shared" si="27"/>
        <v>50000</v>
      </c>
      <c r="AF79" s="742">
        <f t="shared" si="43"/>
        <v>79602.684593023252</v>
      </c>
      <c r="AG79" s="743">
        <v>43</v>
      </c>
      <c r="AH79" s="742">
        <f t="shared" si="44"/>
        <v>10418746.3125</v>
      </c>
      <c r="AI79" s="738">
        <f t="shared" si="51"/>
        <v>0</v>
      </c>
      <c r="AJ79" s="742">
        <f t="shared" si="50"/>
        <v>-13891661.75</v>
      </c>
      <c r="EV79" s="784">
        <f t="shared" si="45"/>
        <v>116671.89555712984</v>
      </c>
    </row>
    <row r="80" spans="1:152" x14ac:dyDescent="0.2">
      <c r="A80" s="993"/>
      <c r="B80" s="736">
        <v>78</v>
      </c>
      <c r="C80" s="736" t="s">
        <v>135</v>
      </c>
      <c r="D80" s="736" t="s">
        <v>180</v>
      </c>
      <c r="E80" s="736" t="s">
        <v>194</v>
      </c>
      <c r="F80" s="736" t="s">
        <v>136</v>
      </c>
      <c r="G80" s="736" t="s">
        <v>207</v>
      </c>
      <c r="H80" s="736" t="s">
        <v>109</v>
      </c>
      <c r="I80" s="740">
        <f>'[18]Collection Unsold 10.15.21'!G81</f>
        <v>53.53</v>
      </c>
      <c r="J80" s="741">
        <f>'[18]Collection Unsold 10.15.21'!H81</f>
        <v>4.18</v>
      </c>
      <c r="K80" s="740">
        <f t="shared" si="0"/>
        <v>57.71</v>
      </c>
      <c r="L80" s="742">
        <f t="shared" si="46"/>
        <v>6674400</v>
      </c>
      <c r="M80" s="736"/>
      <c r="N80" s="736">
        <v>6</v>
      </c>
      <c r="O80" s="738">
        <f t="shared" si="39"/>
        <v>160590</v>
      </c>
      <c r="P80" s="738"/>
      <c r="Q80" s="742"/>
      <c r="R80" s="738"/>
      <c r="S80" s="738">
        <f t="shared" si="52"/>
        <v>53530</v>
      </c>
      <c r="T80" s="738" t="str">
        <f t="shared" si="47"/>
        <v>INNER</v>
      </c>
      <c r="U80" s="738"/>
      <c r="V80" s="738">
        <f t="shared" si="25"/>
        <v>214120</v>
      </c>
      <c r="W80" s="742">
        <f t="shared" si="40"/>
        <v>6888520</v>
      </c>
      <c r="X80" s="742">
        <f t="shared" si="48"/>
        <v>413311.2</v>
      </c>
      <c r="Y80" s="742">
        <f t="shared" si="49"/>
        <v>172213</v>
      </c>
      <c r="Z80" s="742">
        <f t="shared" si="26"/>
        <v>826622.4</v>
      </c>
      <c r="AA80" s="742">
        <f t="shared" si="41"/>
        <v>8300666.6000000006</v>
      </c>
      <c r="AB80" s="742">
        <f t="shared" si="42"/>
        <v>143834.11193900538</v>
      </c>
      <c r="AC80" s="739">
        <v>0.25</v>
      </c>
      <c r="AD80" s="742">
        <f t="shared" si="5"/>
        <v>2075166.6500000001</v>
      </c>
      <c r="AE80" s="738">
        <f t="shared" si="27"/>
        <v>50000</v>
      </c>
      <c r="AF80" s="742">
        <f t="shared" si="43"/>
        <v>47096.898837209308</v>
      </c>
      <c r="AG80" s="743">
        <v>43</v>
      </c>
      <c r="AH80" s="742">
        <f t="shared" si="44"/>
        <v>6225499.9500000002</v>
      </c>
      <c r="AI80" s="738">
        <f t="shared" si="51"/>
        <v>0</v>
      </c>
      <c r="AJ80" s="742">
        <f t="shared" si="50"/>
        <v>-8300666.6000000006</v>
      </c>
      <c r="EV80" s="784">
        <f t="shared" si="45"/>
        <v>119364.40824813723</v>
      </c>
    </row>
    <row r="81" spans="1:152" x14ac:dyDescent="0.2">
      <c r="A81" s="993">
        <v>7</v>
      </c>
      <c r="B81" s="736">
        <v>79</v>
      </c>
      <c r="C81" s="736" t="s">
        <v>104</v>
      </c>
      <c r="D81" s="736" t="s">
        <v>194</v>
      </c>
      <c r="E81" s="736" t="s">
        <v>208</v>
      </c>
      <c r="F81" s="736" t="s">
        <v>107</v>
      </c>
      <c r="G81" s="736" t="s">
        <v>209</v>
      </c>
      <c r="H81" s="736" t="s">
        <v>109</v>
      </c>
      <c r="I81" s="740">
        <f>'[18]Collection Unsold 10.15.21'!G82</f>
        <v>98.5</v>
      </c>
      <c r="J81" s="741">
        <f>'[18]Collection Unsold 10.15.21'!H82</f>
        <v>10.46</v>
      </c>
      <c r="K81" s="740">
        <f t="shared" si="0"/>
        <v>108.96000000000001</v>
      </c>
      <c r="L81" s="742">
        <f t="shared" ref="L81:L93" si="53">L3</f>
        <v>12447600</v>
      </c>
      <c r="M81" s="736"/>
      <c r="N81" s="736">
        <v>7</v>
      </c>
      <c r="O81" s="738">
        <f t="shared" si="39"/>
        <v>344750</v>
      </c>
      <c r="P81" s="738"/>
      <c r="Q81" s="742"/>
      <c r="R81" s="738">
        <f>I81*1000</f>
        <v>98500</v>
      </c>
      <c r="S81" s="738">
        <f>I81*1000</f>
        <v>98500</v>
      </c>
      <c r="T81" s="738" t="str">
        <f t="shared" ref="T81:T93" si="54">T3</f>
        <v>CORNER</v>
      </c>
      <c r="U81" s="738"/>
      <c r="V81" s="738">
        <f t="shared" si="25"/>
        <v>541750</v>
      </c>
      <c r="W81" s="742">
        <f t="shared" si="40"/>
        <v>12989350</v>
      </c>
      <c r="X81" s="742">
        <f t="shared" si="48"/>
        <v>779361</v>
      </c>
      <c r="Y81" s="742">
        <f t="shared" si="49"/>
        <v>324733.75</v>
      </c>
      <c r="Z81" s="742">
        <f t="shared" si="26"/>
        <v>1558722</v>
      </c>
      <c r="AA81" s="742">
        <f t="shared" si="41"/>
        <v>15652166.75</v>
      </c>
      <c r="AB81" s="742">
        <f t="shared" si="42"/>
        <v>143650.57589941262</v>
      </c>
      <c r="AC81" s="739">
        <v>0.25</v>
      </c>
      <c r="AD81" s="742">
        <f t="shared" si="5"/>
        <v>3913041.6875</v>
      </c>
      <c r="AE81" s="738">
        <f>AE75</f>
        <v>50000</v>
      </c>
      <c r="AF81" s="742">
        <f t="shared" si="43"/>
        <v>89838.178779069771</v>
      </c>
      <c r="AG81" s="743">
        <v>43</v>
      </c>
      <c r="AH81" s="742">
        <f t="shared" si="44"/>
        <v>11739125.0625</v>
      </c>
      <c r="AI81" s="738">
        <f t="shared" si="51"/>
        <v>0</v>
      </c>
      <c r="AJ81" s="742">
        <f t="shared" si="50"/>
        <v>-15652166.75</v>
      </c>
      <c r="EV81" s="784">
        <f t="shared" si="45"/>
        <v>119212.09618208517</v>
      </c>
    </row>
    <row r="82" spans="1:152" x14ac:dyDescent="0.2">
      <c r="A82" s="993"/>
      <c r="B82" s="736">
        <v>80</v>
      </c>
      <c r="C82" s="736" t="s">
        <v>104</v>
      </c>
      <c r="D82" s="736" t="s">
        <v>194</v>
      </c>
      <c r="E82" s="736" t="s">
        <v>208</v>
      </c>
      <c r="F82" s="736" t="s">
        <v>111</v>
      </c>
      <c r="G82" s="736" t="s">
        <v>210</v>
      </c>
      <c r="H82" s="736" t="s">
        <v>113</v>
      </c>
      <c r="I82" s="740">
        <f>'[18]Collection Unsold 10.15.21'!G83</f>
        <v>51.02</v>
      </c>
      <c r="J82" s="741">
        <f>'[18]Collection Unsold 10.15.21'!H83</f>
        <v>5.36</v>
      </c>
      <c r="K82" s="740">
        <f t="shared" si="0"/>
        <v>56.38</v>
      </c>
      <c r="L82" s="742">
        <f t="shared" si="53"/>
        <v>6444000</v>
      </c>
      <c r="M82" s="736"/>
      <c r="N82" s="736">
        <v>7</v>
      </c>
      <c r="O82" s="738">
        <f t="shared" si="39"/>
        <v>178570.00000000003</v>
      </c>
      <c r="P82" s="738"/>
      <c r="Q82" s="742"/>
      <c r="R82" s="738"/>
      <c r="S82" s="738">
        <f>I82*1000</f>
        <v>51020</v>
      </c>
      <c r="T82" s="738" t="str">
        <f t="shared" si="54"/>
        <v>INNER</v>
      </c>
      <c r="U82" s="738"/>
      <c r="V82" s="738">
        <f t="shared" si="25"/>
        <v>229590.00000000003</v>
      </c>
      <c r="W82" s="742">
        <f t="shared" si="40"/>
        <v>6673590</v>
      </c>
      <c r="X82" s="742">
        <f t="shared" si="48"/>
        <v>400415.39999999997</v>
      </c>
      <c r="Y82" s="742">
        <f t="shared" si="49"/>
        <v>166839.75</v>
      </c>
      <c r="Z82" s="742">
        <f t="shared" si="26"/>
        <v>800830.79999999993</v>
      </c>
      <c r="AA82" s="742">
        <f t="shared" si="41"/>
        <v>8041675.9500000002</v>
      </c>
      <c r="AB82" s="742">
        <f t="shared" si="42"/>
        <v>142633.48616530685</v>
      </c>
      <c r="AC82" s="739">
        <v>0.25</v>
      </c>
      <c r="AD82" s="742">
        <f t="shared" si="5"/>
        <v>2010418.9875</v>
      </c>
      <c r="AE82" s="738">
        <f t="shared" si="27"/>
        <v>50000</v>
      </c>
      <c r="AF82" s="742">
        <f t="shared" si="43"/>
        <v>45591.139244186044</v>
      </c>
      <c r="AG82" s="743">
        <v>43</v>
      </c>
      <c r="AH82" s="742">
        <f t="shared" si="44"/>
        <v>6031256.9625000004</v>
      </c>
      <c r="AI82" s="738">
        <f t="shared" si="51"/>
        <v>0</v>
      </c>
      <c r="AJ82" s="742">
        <f t="shared" si="50"/>
        <v>-8041675.9500000002</v>
      </c>
      <c r="EV82" s="784">
        <f t="shared" si="45"/>
        <v>118368.03831145796</v>
      </c>
    </row>
    <row r="83" spans="1:152" x14ac:dyDescent="0.2">
      <c r="A83" s="993"/>
      <c r="B83" s="736">
        <v>81</v>
      </c>
      <c r="C83" s="736" t="s">
        <v>104</v>
      </c>
      <c r="D83" s="736" t="s">
        <v>194</v>
      </c>
      <c r="E83" s="736" t="s">
        <v>208</v>
      </c>
      <c r="F83" s="736" t="s">
        <v>115</v>
      </c>
      <c r="G83" s="736" t="s">
        <v>211</v>
      </c>
      <c r="H83" s="736" t="s">
        <v>109</v>
      </c>
      <c r="I83" s="740">
        <f>'[18]Collection Unsold 10.15.21'!G84</f>
        <v>55.62</v>
      </c>
      <c r="J83" s="741">
        <f>'[18]Collection Unsold 10.15.21'!H84</f>
        <v>5.37</v>
      </c>
      <c r="K83" s="740">
        <f t="shared" si="0"/>
        <v>60.989999999999995</v>
      </c>
      <c r="L83" s="742">
        <f t="shared" si="53"/>
        <v>6996600</v>
      </c>
      <c r="M83" s="736"/>
      <c r="N83" s="736">
        <v>7</v>
      </c>
      <c r="O83" s="738">
        <f t="shared" si="39"/>
        <v>194670</v>
      </c>
      <c r="P83" s="738"/>
      <c r="Q83" s="742"/>
      <c r="R83" s="738"/>
      <c r="S83" s="738">
        <f>I83*1000</f>
        <v>55620</v>
      </c>
      <c r="T83" s="738" t="str">
        <f t="shared" si="54"/>
        <v>INNER</v>
      </c>
      <c r="U83" s="738"/>
      <c r="V83" s="738">
        <f t="shared" si="25"/>
        <v>250290</v>
      </c>
      <c r="W83" s="742">
        <f t="shared" si="40"/>
        <v>7246890</v>
      </c>
      <c r="X83" s="742">
        <f t="shared" si="48"/>
        <v>434813.39999999997</v>
      </c>
      <c r="Y83" s="742">
        <f t="shared" si="49"/>
        <v>181172.25</v>
      </c>
      <c r="Z83" s="742">
        <f t="shared" si="26"/>
        <v>869626.79999999993</v>
      </c>
      <c r="AA83" s="742">
        <f t="shared" si="41"/>
        <v>8732502.4500000011</v>
      </c>
      <c r="AB83" s="742">
        <f t="shared" si="42"/>
        <v>143179.24987702904</v>
      </c>
      <c r="AC83" s="739">
        <v>0.25</v>
      </c>
      <c r="AD83" s="742">
        <f t="shared" si="5"/>
        <v>2183125.6125000003</v>
      </c>
      <c r="AE83" s="738">
        <f t="shared" si="27"/>
        <v>50000</v>
      </c>
      <c r="AF83" s="742">
        <f t="shared" si="43"/>
        <v>49607.572383720937</v>
      </c>
      <c r="AG83" s="743">
        <v>43</v>
      </c>
      <c r="AH83" s="742">
        <f t="shared" si="44"/>
        <v>6549376.8375000004</v>
      </c>
      <c r="AI83" s="738">
        <f t="shared" si="51"/>
        <v>0</v>
      </c>
      <c r="AJ83" s="742">
        <f t="shared" si="50"/>
        <v>-8732502.4500000011</v>
      </c>
      <c r="EV83" s="784">
        <f t="shared" si="45"/>
        <v>118820.95425479588</v>
      </c>
    </row>
    <row r="84" spans="1:152" x14ac:dyDescent="0.2">
      <c r="A84" s="993"/>
      <c r="B84" s="736">
        <v>82</v>
      </c>
      <c r="C84" s="736" t="s">
        <v>104</v>
      </c>
      <c r="D84" s="736" t="s">
        <v>194</v>
      </c>
      <c r="E84" s="736" t="s">
        <v>208</v>
      </c>
      <c r="F84" s="736" t="s">
        <v>117</v>
      </c>
      <c r="G84" s="736" t="s">
        <v>212</v>
      </c>
      <c r="H84" s="736" t="s">
        <v>109</v>
      </c>
      <c r="I84" s="740">
        <f>'[18]Collection Unsold 10.15.21'!G85</f>
        <v>60.78</v>
      </c>
      <c r="J84" s="741">
        <f>'[18]Collection Unsold 10.15.21'!H85</f>
        <v>5.15</v>
      </c>
      <c r="K84" s="740">
        <f t="shared" si="0"/>
        <v>65.930000000000007</v>
      </c>
      <c r="L84" s="742">
        <f t="shared" si="53"/>
        <v>7602600</v>
      </c>
      <c r="M84" s="736"/>
      <c r="N84" s="736">
        <v>7</v>
      </c>
      <c r="O84" s="738">
        <f t="shared" si="39"/>
        <v>212730.00000000003</v>
      </c>
      <c r="P84" s="738"/>
      <c r="Q84" s="742"/>
      <c r="R84" s="738"/>
      <c r="S84" s="738">
        <f>I84*1000</f>
        <v>60780</v>
      </c>
      <c r="T84" s="738" t="str">
        <f t="shared" si="54"/>
        <v>INNER</v>
      </c>
      <c r="U84" s="738"/>
      <c r="V84" s="738">
        <f t="shared" si="25"/>
        <v>273510</v>
      </c>
      <c r="W84" s="742">
        <f t="shared" si="40"/>
        <v>7876110</v>
      </c>
      <c r="X84" s="742">
        <f t="shared" si="48"/>
        <v>472566.6</v>
      </c>
      <c r="Y84" s="742">
        <f t="shared" si="49"/>
        <v>196902.75</v>
      </c>
      <c r="Z84" s="742">
        <f t="shared" si="26"/>
        <v>945133.2</v>
      </c>
      <c r="AA84" s="742">
        <f t="shared" si="41"/>
        <v>9490712.5499999989</v>
      </c>
      <c r="AB84" s="742">
        <f t="shared" si="42"/>
        <v>143951.35067495826</v>
      </c>
      <c r="AC84" s="739">
        <v>0.25</v>
      </c>
      <c r="AD84" s="742">
        <f t="shared" si="5"/>
        <v>2372678.1374999997</v>
      </c>
      <c r="AE84" s="738">
        <f t="shared" si="27"/>
        <v>50000</v>
      </c>
      <c r="AF84" s="742">
        <f t="shared" si="43"/>
        <v>54015.77063953488</v>
      </c>
      <c r="AG84" s="743">
        <v>43</v>
      </c>
      <c r="AH84" s="742">
        <f t="shared" si="44"/>
        <v>7118034.4124999996</v>
      </c>
      <c r="AI84" s="738">
        <f t="shared" si="51"/>
        <v>0</v>
      </c>
      <c r="AJ84" s="742">
        <f t="shared" si="50"/>
        <v>-9490712.5499999989</v>
      </c>
      <c r="EV84" s="784">
        <f t="shared" si="45"/>
        <v>119461.70180494462</v>
      </c>
    </row>
    <row r="85" spans="1:152" x14ac:dyDescent="0.2">
      <c r="A85" s="993"/>
      <c r="B85" s="736">
        <v>83</v>
      </c>
      <c r="C85" s="736" t="s">
        <v>104</v>
      </c>
      <c r="D85" s="736" t="s">
        <v>194</v>
      </c>
      <c r="E85" s="736" t="s">
        <v>208</v>
      </c>
      <c r="F85" s="736" t="s">
        <v>119</v>
      </c>
      <c r="G85" s="736" t="s">
        <v>213</v>
      </c>
      <c r="H85" s="736" t="s">
        <v>109</v>
      </c>
      <c r="I85" s="740">
        <f>'[18]Collection Unsold 10.15.21'!G86</f>
        <v>83.49</v>
      </c>
      <c r="J85" s="741">
        <f>'[18]Collection Unsold 10.15.21'!H86</f>
        <v>12.309999999999999</v>
      </c>
      <c r="K85" s="740">
        <f t="shared" si="0"/>
        <v>95.8</v>
      </c>
      <c r="L85" s="742">
        <f t="shared" si="53"/>
        <v>10757400</v>
      </c>
      <c r="M85" s="736"/>
      <c r="N85" s="736">
        <v>7</v>
      </c>
      <c r="O85" s="738">
        <f t="shared" si="39"/>
        <v>292215</v>
      </c>
      <c r="P85" s="738"/>
      <c r="Q85" s="742"/>
      <c r="R85" s="738">
        <f>I85*1000</f>
        <v>83490</v>
      </c>
      <c r="S85" s="738">
        <f>I85*1000</f>
        <v>83490</v>
      </c>
      <c r="T85" s="738" t="str">
        <f t="shared" si="54"/>
        <v>CORNER</v>
      </c>
      <c r="U85" s="738"/>
      <c r="V85" s="738">
        <f t="shared" si="25"/>
        <v>459195</v>
      </c>
      <c r="W85" s="742">
        <f t="shared" si="40"/>
        <v>11216595</v>
      </c>
      <c r="X85" s="742">
        <f t="shared" si="48"/>
        <v>672995.7</v>
      </c>
      <c r="Y85" s="742">
        <f t="shared" si="49"/>
        <v>280414.875</v>
      </c>
      <c r="Z85" s="742">
        <f t="shared" si="26"/>
        <v>1345991.4</v>
      </c>
      <c r="AA85" s="742">
        <f t="shared" si="41"/>
        <v>13515996.975</v>
      </c>
      <c r="AB85" s="742">
        <f t="shared" si="42"/>
        <v>141085.56341336117</v>
      </c>
      <c r="AC85" s="739">
        <v>0.25</v>
      </c>
      <c r="AD85" s="742">
        <f t="shared" si="5"/>
        <v>3378999.2437499999</v>
      </c>
      <c r="AE85" s="738">
        <f t="shared" si="27"/>
        <v>50000</v>
      </c>
      <c r="AF85" s="742">
        <f t="shared" si="43"/>
        <v>77418.587063953484</v>
      </c>
      <c r="AG85" s="743">
        <v>43</v>
      </c>
      <c r="AH85" s="742">
        <f t="shared" si="44"/>
        <v>10136997.731249999</v>
      </c>
      <c r="AI85" s="738">
        <f t="shared" si="51"/>
        <v>0</v>
      </c>
      <c r="AJ85" s="742">
        <f t="shared" si="50"/>
        <v>-13515996.975</v>
      </c>
      <c r="EV85" s="784">
        <f t="shared" si="45"/>
        <v>117083.45511482254</v>
      </c>
    </row>
    <row r="86" spans="1:152" x14ac:dyDescent="0.2">
      <c r="A86" s="993"/>
      <c r="B86" s="736">
        <v>84</v>
      </c>
      <c r="C86" s="736" t="s">
        <v>104</v>
      </c>
      <c r="D86" s="736" t="s">
        <v>194</v>
      </c>
      <c r="E86" s="736" t="s">
        <v>208</v>
      </c>
      <c r="F86" s="736" t="s">
        <v>121</v>
      </c>
      <c r="G86" s="736" t="s">
        <v>214</v>
      </c>
      <c r="H86" s="736" t="s">
        <v>109</v>
      </c>
      <c r="I86" s="740">
        <f>'[18]Collection Unsold 10.15.21'!G87</f>
        <v>61.03</v>
      </c>
      <c r="J86" s="741">
        <f>'[18]Collection Unsold 10.15.21'!H87</f>
        <v>4.1900000000000004</v>
      </c>
      <c r="K86" s="740">
        <f t="shared" si="0"/>
        <v>65.22</v>
      </c>
      <c r="L86" s="742">
        <f t="shared" si="53"/>
        <v>7575000</v>
      </c>
      <c r="M86" s="736"/>
      <c r="N86" s="736">
        <v>7</v>
      </c>
      <c r="O86" s="738">
        <f t="shared" si="39"/>
        <v>213605.00000000003</v>
      </c>
      <c r="P86" s="738"/>
      <c r="Q86" s="742"/>
      <c r="R86" s="738"/>
      <c r="S86" s="738"/>
      <c r="T86" s="738" t="str">
        <f t="shared" si="54"/>
        <v>INNER</v>
      </c>
      <c r="U86" s="738"/>
      <c r="V86" s="738">
        <f t="shared" si="25"/>
        <v>213605.00000000003</v>
      </c>
      <c r="W86" s="742">
        <f t="shared" si="40"/>
        <v>7788605</v>
      </c>
      <c r="X86" s="742">
        <f t="shared" si="48"/>
        <v>467316.3</v>
      </c>
      <c r="Y86" s="742">
        <f t="shared" si="49"/>
        <v>194715.125</v>
      </c>
      <c r="Z86" s="742">
        <f t="shared" si="26"/>
        <v>934632.6</v>
      </c>
      <c r="AA86" s="742">
        <f t="shared" si="41"/>
        <v>9385269.0250000004</v>
      </c>
      <c r="AB86" s="742">
        <f t="shared" si="42"/>
        <v>143901.70231524072</v>
      </c>
      <c r="AC86" s="739">
        <v>0.25</v>
      </c>
      <c r="AD86" s="742">
        <f t="shared" si="5"/>
        <v>2346317.2562500001</v>
      </c>
      <c r="AE86" s="738">
        <f t="shared" si="27"/>
        <v>50000</v>
      </c>
      <c r="AF86" s="742">
        <f t="shared" si="43"/>
        <v>53402.726889534883</v>
      </c>
      <c r="AG86" s="743">
        <v>43</v>
      </c>
      <c r="AH86" s="742">
        <f t="shared" si="44"/>
        <v>7038951.7687500007</v>
      </c>
      <c r="AI86" s="738">
        <f t="shared" si="51"/>
        <v>0</v>
      </c>
      <c r="AJ86" s="742">
        <f t="shared" si="50"/>
        <v>-9385269.0250000004</v>
      </c>
      <c r="EV86" s="784">
        <f t="shared" si="45"/>
        <v>119420.4998466728</v>
      </c>
    </row>
    <row r="87" spans="1:152" x14ac:dyDescent="0.2">
      <c r="A87" s="993"/>
      <c r="B87" s="736">
        <v>85</v>
      </c>
      <c r="C87" s="736" t="s">
        <v>104</v>
      </c>
      <c r="D87" s="736" t="s">
        <v>194</v>
      </c>
      <c r="E87" s="736" t="s">
        <v>208</v>
      </c>
      <c r="F87" s="736" t="s">
        <v>123</v>
      </c>
      <c r="G87" s="736" t="s">
        <v>215</v>
      </c>
      <c r="H87" s="736" t="s">
        <v>109</v>
      </c>
      <c r="I87" s="740">
        <f>'[18]Collection Unsold 10.15.21'!G88</f>
        <v>94.79</v>
      </c>
      <c r="J87" s="741">
        <f>'[18]Collection Unsold 10.15.21'!H88</f>
        <v>11.260000000000002</v>
      </c>
      <c r="K87" s="740">
        <f t="shared" si="0"/>
        <v>106.05000000000001</v>
      </c>
      <c r="L87" s="742">
        <f t="shared" si="53"/>
        <v>12050400</v>
      </c>
      <c r="M87" s="736"/>
      <c r="N87" s="736">
        <v>7</v>
      </c>
      <c r="O87" s="738">
        <f t="shared" si="39"/>
        <v>331765.00000000006</v>
      </c>
      <c r="P87" s="738"/>
      <c r="Q87" s="742"/>
      <c r="R87" s="738">
        <f>I87*1000</f>
        <v>94790</v>
      </c>
      <c r="S87" s="738"/>
      <c r="T87" s="738" t="str">
        <f t="shared" si="54"/>
        <v>CORNER</v>
      </c>
      <c r="U87" s="738"/>
      <c r="V87" s="738">
        <f t="shared" si="25"/>
        <v>426555.00000000006</v>
      </c>
      <c r="W87" s="742">
        <f t="shared" si="40"/>
        <v>12476955</v>
      </c>
      <c r="X87" s="742">
        <f t="shared" si="48"/>
        <v>748617.29999999993</v>
      </c>
      <c r="Y87" s="742">
        <f t="shared" si="49"/>
        <v>311923.875</v>
      </c>
      <c r="Z87" s="742">
        <f t="shared" si="26"/>
        <v>1497234.5999999999</v>
      </c>
      <c r="AA87" s="742">
        <f t="shared" si="41"/>
        <v>15034730.775</v>
      </c>
      <c r="AB87" s="742">
        <f t="shared" si="42"/>
        <v>141770.21004243279</v>
      </c>
      <c r="AC87" s="739">
        <v>0.25</v>
      </c>
      <c r="AD87" s="742">
        <f t="shared" si="5"/>
        <v>3758682.6937500001</v>
      </c>
      <c r="AE87" s="738">
        <f t="shared" si="27"/>
        <v>50000</v>
      </c>
      <c r="AF87" s="742">
        <f t="shared" si="43"/>
        <v>86248.434738372089</v>
      </c>
      <c r="AG87" s="743">
        <v>43</v>
      </c>
      <c r="AH87" s="742">
        <f t="shared" si="44"/>
        <v>11276048.081250001</v>
      </c>
      <c r="AI87" s="738">
        <f t="shared" si="51"/>
        <v>0</v>
      </c>
      <c r="AJ87" s="742">
        <f t="shared" si="50"/>
        <v>-15034730.775</v>
      </c>
      <c r="EV87" s="784">
        <f t="shared" si="45"/>
        <v>117651.62659123054</v>
      </c>
    </row>
    <row r="88" spans="1:152" x14ac:dyDescent="0.2">
      <c r="A88" s="993"/>
      <c r="B88" s="736">
        <v>86</v>
      </c>
      <c r="C88" s="736" t="s">
        <v>104</v>
      </c>
      <c r="D88" s="736" t="s">
        <v>194</v>
      </c>
      <c r="E88" s="736" t="s">
        <v>208</v>
      </c>
      <c r="F88" s="736" t="s">
        <v>125</v>
      </c>
      <c r="G88" s="736" t="s">
        <v>216</v>
      </c>
      <c r="H88" s="736" t="s">
        <v>109</v>
      </c>
      <c r="I88" s="740">
        <f>'[18]Collection Unsold 10.15.21'!G89</f>
        <v>67.790000000000006</v>
      </c>
      <c r="J88" s="741">
        <f>'[18]Collection Unsold 10.15.21'!H89</f>
        <v>4.2</v>
      </c>
      <c r="K88" s="740">
        <f t="shared" si="0"/>
        <v>71.990000000000009</v>
      </c>
      <c r="L88" s="742">
        <f t="shared" si="53"/>
        <v>8386800.0000000009</v>
      </c>
      <c r="M88" s="736"/>
      <c r="N88" s="736">
        <v>7</v>
      </c>
      <c r="O88" s="738">
        <f t="shared" si="39"/>
        <v>237265.00000000003</v>
      </c>
      <c r="P88" s="738"/>
      <c r="Q88" s="742"/>
      <c r="R88" s="738"/>
      <c r="S88" s="738"/>
      <c r="T88" s="738" t="str">
        <f t="shared" si="54"/>
        <v>INNER</v>
      </c>
      <c r="U88" s="738"/>
      <c r="V88" s="738">
        <f t="shared" si="25"/>
        <v>237265.00000000003</v>
      </c>
      <c r="W88" s="742">
        <f t="shared" si="40"/>
        <v>8624065.0000000019</v>
      </c>
      <c r="X88" s="742">
        <f t="shared" si="48"/>
        <v>517443.90000000008</v>
      </c>
      <c r="Y88" s="742">
        <f t="shared" si="49"/>
        <v>215601.62500000006</v>
      </c>
      <c r="Z88" s="742">
        <f t="shared" si="26"/>
        <v>1034887.8000000002</v>
      </c>
      <c r="AA88" s="742">
        <f t="shared" si="41"/>
        <v>10391998.325000003</v>
      </c>
      <c r="AB88" s="742">
        <f t="shared" si="42"/>
        <v>144353.35914710379</v>
      </c>
      <c r="AC88" s="739">
        <v>0.25</v>
      </c>
      <c r="AD88" s="742">
        <f t="shared" si="5"/>
        <v>2597999.5812500007</v>
      </c>
      <c r="AE88" s="738">
        <f t="shared" si="27"/>
        <v>50000</v>
      </c>
      <c r="AF88" s="742">
        <f t="shared" si="43"/>
        <v>59255.804215116295</v>
      </c>
      <c r="AG88" s="743">
        <v>43</v>
      </c>
      <c r="AH88" s="742">
        <f t="shared" si="44"/>
        <v>7793998.7437500022</v>
      </c>
      <c r="AI88" s="738">
        <f t="shared" si="51"/>
        <v>0</v>
      </c>
      <c r="AJ88" s="742">
        <f t="shared" si="50"/>
        <v>-10391998.325000003</v>
      </c>
      <c r="EV88" s="784">
        <f t="shared" si="45"/>
        <v>119795.31879427699</v>
      </c>
    </row>
    <row r="89" spans="1:152" x14ac:dyDescent="0.2">
      <c r="A89" s="993"/>
      <c r="B89" s="736">
        <v>87</v>
      </c>
      <c r="C89" s="736" t="s">
        <v>104</v>
      </c>
      <c r="D89" s="736" t="s">
        <v>194</v>
      </c>
      <c r="E89" s="736" t="s">
        <v>208</v>
      </c>
      <c r="F89" s="736" t="s">
        <v>127</v>
      </c>
      <c r="G89" s="736" t="s">
        <v>217</v>
      </c>
      <c r="H89" s="736" t="s">
        <v>109</v>
      </c>
      <c r="I89" s="740">
        <f>'[18]Collection Unsold 10.15.21'!G90</f>
        <v>67.72</v>
      </c>
      <c r="J89" s="741">
        <f>'[18]Collection Unsold 10.15.21'!H90</f>
        <v>4.2</v>
      </c>
      <c r="K89" s="740">
        <f t="shared" si="0"/>
        <v>71.92</v>
      </c>
      <c r="L89" s="742">
        <f t="shared" si="53"/>
        <v>8378400</v>
      </c>
      <c r="M89" s="736"/>
      <c r="N89" s="736">
        <v>7</v>
      </c>
      <c r="O89" s="738">
        <f t="shared" si="39"/>
        <v>237019.99999999997</v>
      </c>
      <c r="P89" s="738"/>
      <c r="Q89" s="742"/>
      <c r="R89" s="738"/>
      <c r="S89" s="738"/>
      <c r="T89" s="738" t="str">
        <f t="shared" si="54"/>
        <v>INNER</v>
      </c>
      <c r="U89" s="738"/>
      <c r="V89" s="738">
        <f t="shared" si="25"/>
        <v>237019.99999999997</v>
      </c>
      <c r="W89" s="742">
        <f t="shared" si="40"/>
        <v>8615420</v>
      </c>
      <c r="X89" s="742">
        <f t="shared" si="48"/>
        <v>516925.19999999995</v>
      </c>
      <c r="Y89" s="742">
        <f t="shared" si="49"/>
        <v>215385.5</v>
      </c>
      <c r="Z89" s="742">
        <f t="shared" si="26"/>
        <v>1033850.3999999999</v>
      </c>
      <c r="AA89" s="742">
        <f t="shared" si="41"/>
        <v>10381581.1</v>
      </c>
      <c r="AB89" s="742">
        <f t="shared" si="42"/>
        <v>144349.0141824249</v>
      </c>
      <c r="AC89" s="739">
        <v>0.25</v>
      </c>
      <c r="AD89" s="742">
        <f t="shared" si="5"/>
        <v>2595395.2749999999</v>
      </c>
      <c r="AE89" s="738">
        <f t="shared" si="27"/>
        <v>50000</v>
      </c>
      <c r="AF89" s="742">
        <f t="shared" si="43"/>
        <v>59195.23895348837</v>
      </c>
      <c r="AG89" s="743">
        <v>43</v>
      </c>
      <c r="AH89" s="742">
        <f t="shared" si="44"/>
        <v>7786185.8249999993</v>
      </c>
      <c r="AI89" s="738">
        <f t="shared" si="51"/>
        <v>0</v>
      </c>
      <c r="AJ89" s="742">
        <f t="shared" si="50"/>
        <v>-10381581.1</v>
      </c>
      <c r="EV89" s="784">
        <f t="shared" si="45"/>
        <v>119791.7130144605</v>
      </c>
    </row>
    <row r="90" spans="1:152" x14ac:dyDescent="0.2">
      <c r="A90" s="993"/>
      <c r="B90" s="736">
        <v>88</v>
      </c>
      <c r="C90" s="736" t="s">
        <v>104</v>
      </c>
      <c r="D90" s="736" t="s">
        <v>194</v>
      </c>
      <c r="E90" s="736" t="s">
        <v>208</v>
      </c>
      <c r="F90" s="736" t="s">
        <v>129</v>
      </c>
      <c r="G90" s="736" t="s">
        <v>218</v>
      </c>
      <c r="H90" s="736" t="s">
        <v>109</v>
      </c>
      <c r="I90" s="740">
        <f>'[18]Collection Unsold 10.15.21'!G91</f>
        <v>67.72</v>
      </c>
      <c r="J90" s="741">
        <f>'[18]Collection Unsold 10.15.21'!H91</f>
        <v>4.2</v>
      </c>
      <c r="K90" s="740">
        <f t="shared" si="0"/>
        <v>71.92</v>
      </c>
      <c r="L90" s="742">
        <f t="shared" si="53"/>
        <v>8378400</v>
      </c>
      <c r="M90" s="736"/>
      <c r="N90" s="736">
        <v>7</v>
      </c>
      <c r="O90" s="738">
        <f t="shared" si="39"/>
        <v>237019.99999999997</v>
      </c>
      <c r="P90" s="738"/>
      <c r="Q90" s="742"/>
      <c r="R90" s="738"/>
      <c r="S90" s="738"/>
      <c r="T90" s="738" t="str">
        <f t="shared" si="54"/>
        <v>INNER</v>
      </c>
      <c r="U90" s="738"/>
      <c r="V90" s="738">
        <f t="shared" si="25"/>
        <v>237019.99999999997</v>
      </c>
      <c r="W90" s="742">
        <f t="shared" si="40"/>
        <v>8615420</v>
      </c>
      <c r="X90" s="742">
        <f t="shared" si="48"/>
        <v>516925.19999999995</v>
      </c>
      <c r="Y90" s="742">
        <f t="shared" si="49"/>
        <v>215385.5</v>
      </c>
      <c r="Z90" s="742">
        <f t="shared" si="26"/>
        <v>1033850.3999999999</v>
      </c>
      <c r="AA90" s="742">
        <f t="shared" si="41"/>
        <v>10381581.1</v>
      </c>
      <c r="AB90" s="742">
        <f t="shared" si="42"/>
        <v>144349.0141824249</v>
      </c>
      <c r="AC90" s="739">
        <v>0.25</v>
      </c>
      <c r="AD90" s="742">
        <f t="shared" si="5"/>
        <v>2595395.2749999999</v>
      </c>
      <c r="AE90" s="738">
        <f t="shared" si="27"/>
        <v>50000</v>
      </c>
      <c r="AF90" s="742">
        <f t="shared" si="43"/>
        <v>59195.23895348837</v>
      </c>
      <c r="AG90" s="743">
        <v>43</v>
      </c>
      <c r="AH90" s="742">
        <f t="shared" si="44"/>
        <v>7786185.8249999993</v>
      </c>
      <c r="AI90" s="738">
        <f t="shared" si="51"/>
        <v>0</v>
      </c>
      <c r="AJ90" s="742">
        <f t="shared" si="50"/>
        <v>-10381581.1</v>
      </c>
      <c r="EV90" s="784">
        <f t="shared" si="45"/>
        <v>119791.7130144605</v>
      </c>
    </row>
    <row r="91" spans="1:152" x14ac:dyDescent="0.2">
      <c r="A91" s="993"/>
      <c r="B91" s="736">
        <v>89</v>
      </c>
      <c r="C91" s="736" t="s">
        <v>104</v>
      </c>
      <c r="D91" s="736" t="s">
        <v>194</v>
      </c>
      <c r="E91" s="736" t="s">
        <v>208</v>
      </c>
      <c r="F91" s="736" t="s">
        <v>131</v>
      </c>
      <c r="G91" s="736" t="s">
        <v>219</v>
      </c>
      <c r="H91" s="736" t="s">
        <v>109</v>
      </c>
      <c r="I91" s="740">
        <f>'[18]Collection Unsold 10.15.21'!G92</f>
        <v>67.72</v>
      </c>
      <c r="J91" s="741">
        <f>'[18]Collection Unsold 10.15.21'!H92</f>
        <v>4.2</v>
      </c>
      <c r="K91" s="740">
        <f t="shared" si="0"/>
        <v>71.92</v>
      </c>
      <c r="L91" s="742">
        <f t="shared" si="53"/>
        <v>8378400</v>
      </c>
      <c r="M91" s="736"/>
      <c r="N91" s="736">
        <v>7</v>
      </c>
      <c r="O91" s="738">
        <f t="shared" si="39"/>
        <v>237019.99999999997</v>
      </c>
      <c r="P91" s="738"/>
      <c r="Q91" s="742"/>
      <c r="R91" s="738"/>
      <c r="S91" s="738"/>
      <c r="T91" s="738" t="str">
        <f t="shared" si="54"/>
        <v>INNER</v>
      </c>
      <c r="U91" s="738"/>
      <c r="V91" s="738">
        <f t="shared" si="25"/>
        <v>237019.99999999997</v>
      </c>
      <c r="W91" s="742">
        <f t="shared" si="40"/>
        <v>8615420</v>
      </c>
      <c r="X91" s="742">
        <f t="shared" si="48"/>
        <v>516925.19999999995</v>
      </c>
      <c r="Y91" s="742">
        <f t="shared" si="49"/>
        <v>215385.5</v>
      </c>
      <c r="Z91" s="742">
        <f t="shared" si="26"/>
        <v>1033850.3999999999</v>
      </c>
      <c r="AA91" s="742">
        <f t="shared" si="41"/>
        <v>10381581.1</v>
      </c>
      <c r="AB91" s="742">
        <f t="shared" si="42"/>
        <v>144349.0141824249</v>
      </c>
      <c r="AC91" s="739">
        <v>0.25</v>
      </c>
      <c r="AD91" s="742">
        <f t="shared" si="5"/>
        <v>2595395.2749999999</v>
      </c>
      <c r="AE91" s="738">
        <f t="shared" si="27"/>
        <v>50000</v>
      </c>
      <c r="AF91" s="742">
        <f t="shared" si="43"/>
        <v>59195.23895348837</v>
      </c>
      <c r="AG91" s="743">
        <v>43</v>
      </c>
      <c r="AH91" s="742">
        <f t="shared" si="44"/>
        <v>7786185.8249999993</v>
      </c>
      <c r="AI91" s="738">
        <f t="shared" si="51"/>
        <v>0</v>
      </c>
      <c r="AJ91" s="742">
        <f t="shared" si="50"/>
        <v>-10381581.1</v>
      </c>
      <c r="EV91" s="784">
        <f t="shared" si="45"/>
        <v>119791.7130144605</v>
      </c>
    </row>
    <row r="92" spans="1:152" x14ac:dyDescent="0.2">
      <c r="A92" s="993"/>
      <c r="B92" s="736">
        <v>90</v>
      </c>
      <c r="C92" s="736" t="s">
        <v>104</v>
      </c>
      <c r="D92" s="736" t="s">
        <v>194</v>
      </c>
      <c r="E92" s="736" t="s">
        <v>208</v>
      </c>
      <c r="F92" s="736" t="s">
        <v>133</v>
      </c>
      <c r="G92" s="736" t="s">
        <v>220</v>
      </c>
      <c r="H92" s="736" t="s">
        <v>109</v>
      </c>
      <c r="I92" s="740">
        <f>'[18]Collection Unsold 10.15.21'!G93</f>
        <v>86.15</v>
      </c>
      <c r="J92" s="741">
        <f>'[18]Collection Unsold 10.15.21'!H93</f>
        <v>12.66</v>
      </c>
      <c r="K92" s="740">
        <f t="shared" si="0"/>
        <v>98.81</v>
      </c>
      <c r="L92" s="742">
        <f t="shared" si="53"/>
        <v>11097600</v>
      </c>
      <c r="M92" s="736"/>
      <c r="N92" s="736">
        <v>7</v>
      </c>
      <c r="O92" s="738">
        <f t="shared" si="39"/>
        <v>301525.00000000006</v>
      </c>
      <c r="P92" s="738"/>
      <c r="Q92" s="742"/>
      <c r="R92" s="738">
        <f>I92*1000</f>
        <v>86150</v>
      </c>
      <c r="S92" s="738"/>
      <c r="T92" s="738" t="str">
        <f t="shared" si="54"/>
        <v>CORNER</v>
      </c>
      <c r="U92" s="738"/>
      <c r="V92" s="738">
        <f t="shared" si="25"/>
        <v>387675.00000000006</v>
      </c>
      <c r="W92" s="742">
        <f t="shared" si="40"/>
        <v>11485275</v>
      </c>
      <c r="X92" s="742">
        <f t="shared" si="48"/>
        <v>689116.5</v>
      </c>
      <c r="Y92" s="742">
        <f t="shared" si="49"/>
        <v>287131.875</v>
      </c>
      <c r="Z92" s="742">
        <f t="shared" si="26"/>
        <v>1378233</v>
      </c>
      <c r="AA92" s="742">
        <f t="shared" si="41"/>
        <v>13839756.375</v>
      </c>
      <c r="AB92" s="742">
        <f t="shared" si="42"/>
        <v>140064.32926829267</v>
      </c>
      <c r="AC92" s="739">
        <v>0.25</v>
      </c>
      <c r="AD92" s="742">
        <f t="shared" si="5"/>
        <v>3459939.09375</v>
      </c>
      <c r="AE92" s="738">
        <f t="shared" si="27"/>
        <v>50000</v>
      </c>
      <c r="AF92" s="742">
        <f t="shared" si="43"/>
        <v>79300.909156976748</v>
      </c>
      <c r="AG92" s="743">
        <v>43</v>
      </c>
      <c r="AH92" s="742">
        <f t="shared" si="44"/>
        <v>10379817.28125</v>
      </c>
      <c r="AI92" s="738">
        <f t="shared" si="51"/>
        <v>0</v>
      </c>
      <c r="AJ92" s="742">
        <f t="shared" si="50"/>
        <v>-13839756.375</v>
      </c>
      <c r="EV92" s="784">
        <f t="shared" si="45"/>
        <v>116235.95789899808</v>
      </c>
    </row>
    <row r="93" spans="1:152" x14ac:dyDescent="0.2">
      <c r="A93" s="993"/>
      <c r="B93" s="736">
        <v>91</v>
      </c>
      <c r="C93" s="736" t="s">
        <v>135</v>
      </c>
      <c r="D93" s="736" t="s">
        <v>194</v>
      </c>
      <c r="E93" s="736" t="s">
        <v>208</v>
      </c>
      <c r="F93" s="736" t="s">
        <v>136</v>
      </c>
      <c r="G93" s="736" t="s">
        <v>221</v>
      </c>
      <c r="H93" s="736" t="s">
        <v>109</v>
      </c>
      <c r="I93" s="740">
        <f>'[18]Collection Unsold 10.15.21'!G94</f>
        <v>53.53</v>
      </c>
      <c r="J93" s="741">
        <f>'[18]Collection Unsold 10.15.21'!H94</f>
        <v>4.18</v>
      </c>
      <c r="K93" s="740">
        <f t="shared" si="0"/>
        <v>57.71</v>
      </c>
      <c r="L93" s="742">
        <f t="shared" si="53"/>
        <v>6674400</v>
      </c>
      <c r="M93" s="736"/>
      <c r="N93" s="736">
        <v>7</v>
      </c>
      <c r="O93" s="738">
        <f t="shared" si="39"/>
        <v>187355.00000000003</v>
      </c>
      <c r="P93" s="738"/>
      <c r="Q93" s="742"/>
      <c r="R93" s="738"/>
      <c r="S93" s="738"/>
      <c r="T93" s="738" t="str">
        <f t="shared" si="54"/>
        <v>INNER</v>
      </c>
      <c r="U93" s="738"/>
      <c r="V93" s="738">
        <f t="shared" si="25"/>
        <v>187355.00000000003</v>
      </c>
      <c r="W93" s="742">
        <f t="shared" si="40"/>
        <v>6861755</v>
      </c>
      <c r="X93" s="742">
        <f t="shared" si="48"/>
        <v>411705.3</v>
      </c>
      <c r="Y93" s="742">
        <f t="shared" si="49"/>
        <v>171543.875</v>
      </c>
      <c r="Z93" s="742">
        <f t="shared" si="26"/>
        <v>823410.6</v>
      </c>
      <c r="AA93" s="742">
        <f t="shared" si="41"/>
        <v>8268414.7749999994</v>
      </c>
      <c r="AB93" s="742">
        <f t="shared" si="42"/>
        <v>143275.25168948187</v>
      </c>
      <c r="AC93" s="739">
        <v>0.25</v>
      </c>
      <c r="AD93" s="742">
        <f t="shared" si="5"/>
        <v>2067103.6937499999</v>
      </c>
      <c r="AE93" s="738">
        <f t="shared" si="27"/>
        <v>50000</v>
      </c>
      <c r="AF93" s="742">
        <f t="shared" si="43"/>
        <v>46909.38822674418</v>
      </c>
      <c r="AG93" s="743">
        <v>43</v>
      </c>
      <c r="AH93" s="742">
        <f t="shared" si="44"/>
        <v>6201311.0812499998</v>
      </c>
      <c r="AI93" s="738">
        <f t="shared" si="51"/>
        <v>0</v>
      </c>
      <c r="AJ93" s="742">
        <f t="shared" si="50"/>
        <v>-8268414.7749999994</v>
      </c>
      <c r="EV93" s="784">
        <f t="shared" si="45"/>
        <v>118900.62380869867</v>
      </c>
    </row>
    <row r="94" spans="1:152" x14ac:dyDescent="0.2">
      <c r="A94" s="993">
        <v>8</v>
      </c>
      <c r="B94" s="736">
        <v>92</v>
      </c>
      <c r="C94" s="736" t="s">
        <v>104</v>
      </c>
      <c r="D94" s="736" t="s">
        <v>208</v>
      </c>
      <c r="E94" s="736" t="s">
        <v>222</v>
      </c>
      <c r="F94" s="736" t="s">
        <v>107</v>
      </c>
      <c r="G94" s="736" t="s">
        <v>223</v>
      </c>
      <c r="H94" s="736" t="s">
        <v>109</v>
      </c>
      <c r="I94" s="740">
        <f>'[18]Collection Unsold 10.15.21'!G95</f>
        <v>98.5</v>
      </c>
      <c r="J94" s="741">
        <f>'[18]Collection Unsold 10.15.21'!H95</f>
        <v>10.46</v>
      </c>
      <c r="K94" s="740">
        <f t="shared" si="0"/>
        <v>108.96000000000001</v>
      </c>
      <c r="L94" s="742">
        <f t="shared" ref="L94:L106" si="55">L3</f>
        <v>12447600</v>
      </c>
      <c r="M94" s="736"/>
      <c r="N94" s="736">
        <v>8</v>
      </c>
      <c r="O94" s="738">
        <f t="shared" si="39"/>
        <v>394000</v>
      </c>
      <c r="P94" s="738"/>
      <c r="Q94" s="742"/>
      <c r="R94" s="738">
        <f>I94*1000</f>
        <v>98500</v>
      </c>
      <c r="S94" s="738">
        <f>I94*1000</f>
        <v>98500</v>
      </c>
      <c r="T94" s="738" t="str">
        <f t="shared" ref="T94:T106" si="56">T3</f>
        <v>CORNER</v>
      </c>
      <c r="U94" s="738"/>
      <c r="V94" s="738">
        <f t="shared" si="25"/>
        <v>591000</v>
      </c>
      <c r="W94" s="742">
        <f t="shared" si="40"/>
        <v>13038600</v>
      </c>
      <c r="X94" s="742">
        <f t="shared" si="48"/>
        <v>782316</v>
      </c>
      <c r="Y94" s="742">
        <f t="shared" si="49"/>
        <v>325965</v>
      </c>
      <c r="Z94" s="742">
        <f t="shared" si="26"/>
        <v>1564632</v>
      </c>
      <c r="AA94" s="742">
        <f t="shared" si="41"/>
        <v>15711513</v>
      </c>
      <c r="AB94" s="742">
        <f t="shared" si="42"/>
        <v>144195.23678414096</v>
      </c>
      <c r="AC94" s="739">
        <v>0.25</v>
      </c>
      <c r="AD94" s="742">
        <f t="shared" si="5"/>
        <v>3927878.25</v>
      </c>
      <c r="AE94" s="738">
        <f>AE88</f>
        <v>50000</v>
      </c>
      <c r="AF94" s="742">
        <f t="shared" si="43"/>
        <v>90183.215116279069</v>
      </c>
      <c r="AG94" s="743">
        <v>43</v>
      </c>
      <c r="AH94" s="742">
        <f t="shared" si="44"/>
        <v>11783634.75</v>
      </c>
      <c r="AI94" s="738">
        <f t="shared" si="51"/>
        <v>0</v>
      </c>
      <c r="AJ94" s="742">
        <f t="shared" si="50"/>
        <v>-15711513</v>
      </c>
      <c r="EV94" s="784">
        <f t="shared" si="45"/>
        <v>119664.09691629955</v>
      </c>
    </row>
    <row r="95" spans="1:152" x14ac:dyDescent="0.2">
      <c r="A95" s="993"/>
      <c r="B95" s="736">
        <v>93</v>
      </c>
      <c r="C95" s="736" t="s">
        <v>104</v>
      </c>
      <c r="D95" s="736" t="s">
        <v>208</v>
      </c>
      <c r="E95" s="736" t="s">
        <v>222</v>
      </c>
      <c r="F95" s="736" t="s">
        <v>111</v>
      </c>
      <c r="G95" s="736" t="s">
        <v>224</v>
      </c>
      <c r="H95" s="736" t="s">
        <v>113</v>
      </c>
      <c r="I95" s="740">
        <f>'[18]Collection Unsold 10.15.21'!G96</f>
        <v>51.02</v>
      </c>
      <c r="J95" s="741">
        <f>'[18]Collection Unsold 10.15.21'!H96</f>
        <v>5.36</v>
      </c>
      <c r="K95" s="740">
        <f t="shared" si="0"/>
        <v>56.38</v>
      </c>
      <c r="L95" s="742">
        <f t="shared" si="55"/>
        <v>6444000</v>
      </c>
      <c r="M95" s="736"/>
      <c r="N95" s="736">
        <v>8</v>
      </c>
      <c r="O95" s="738">
        <f t="shared" si="39"/>
        <v>204080</v>
      </c>
      <c r="P95" s="738"/>
      <c r="Q95" s="742"/>
      <c r="R95" s="738"/>
      <c r="S95" s="738">
        <f>I95*1000</f>
        <v>51020</v>
      </c>
      <c r="T95" s="738" t="str">
        <f t="shared" si="56"/>
        <v>INNER</v>
      </c>
      <c r="U95" s="738"/>
      <c r="V95" s="738">
        <f t="shared" si="25"/>
        <v>255100</v>
      </c>
      <c r="W95" s="742">
        <f t="shared" si="40"/>
        <v>6699100</v>
      </c>
      <c r="X95" s="742">
        <f t="shared" si="48"/>
        <v>401946</v>
      </c>
      <c r="Y95" s="742">
        <f t="shared" si="49"/>
        <v>167477.5</v>
      </c>
      <c r="Z95" s="742">
        <f t="shared" si="26"/>
        <v>803892</v>
      </c>
      <c r="AA95" s="742">
        <f t="shared" si="41"/>
        <v>8072415.5</v>
      </c>
      <c r="AB95" s="742">
        <f t="shared" si="42"/>
        <v>143178.70698829371</v>
      </c>
      <c r="AC95" s="739">
        <v>0.25</v>
      </c>
      <c r="AD95" s="742">
        <f t="shared" ref="AD95:AD132" si="57">AA95*AC95</f>
        <v>2018103.875</v>
      </c>
      <c r="AE95" s="738">
        <f t="shared" ref="AE95:AE132" si="58">AE94</f>
        <v>50000</v>
      </c>
      <c r="AF95" s="742">
        <f t="shared" si="43"/>
        <v>45769.857558139534</v>
      </c>
      <c r="AG95" s="743">
        <v>43</v>
      </c>
      <c r="AH95" s="742">
        <f t="shared" si="44"/>
        <v>6054311.625</v>
      </c>
      <c r="AI95" s="738">
        <f t="shared" si="51"/>
        <v>0</v>
      </c>
      <c r="AJ95" s="742">
        <f t="shared" si="50"/>
        <v>-8072415.5</v>
      </c>
      <c r="EV95" s="784">
        <f t="shared" si="45"/>
        <v>118820.50372472507</v>
      </c>
    </row>
    <row r="96" spans="1:152" x14ac:dyDescent="0.2">
      <c r="A96" s="993"/>
      <c r="B96" s="736">
        <v>94</v>
      </c>
      <c r="C96" s="736" t="s">
        <v>104</v>
      </c>
      <c r="D96" s="736" t="s">
        <v>208</v>
      </c>
      <c r="E96" s="736" t="s">
        <v>222</v>
      </c>
      <c r="F96" s="736" t="s">
        <v>115</v>
      </c>
      <c r="G96" s="736" t="s">
        <v>225</v>
      </c>
      <c r="H96" s="736" t="s">
        <v>109</v>
      </c>
      <c r="I96" s="740">
        <f>'[18]Collection Unsold 10.15.21'!G97</f>
        <v>55.62</v>
      </c>
      <c r="J96" s="741">
        <f>'[18]Collection Unsold 10.15.21'!H97</f>
        <v>5.37</v>
      </c>
      <c r="K96" s="740">
        <f t="shared" si="0"/>
        <v>60.989999999999995</v>
      </c>
      <c r="L96" s="742">
        <f t="shared" si="55"/>
        <v>6996600</v>
      </c>
      <c r="M96" s="736"/>
      <c r="N96" s="736">
        <v>8</v>
      </c>
      <c r="O96" s="738">
        <f t="shared" si="39"/>
        <v>222480</v>
      </c>
      <c r="P96" s="738"/>
      <c r="Q96" s="742"/>
      <c r="R96" s="738"/>
      <c r="S96" s="738">
        <f>I96*1000</f>
        <v>55620</v>
      </c>
      <c r="T96" s="738" t="str">
        <f t="shared" si="56"/>
        <v>INNER</v>
      </c>
      <c r="U96" s="738"/>
      <c r="V96" s="738">
        <f t="shared" si="25"/>
        <v>278100</v>
      </c>
      <c r="W96" s="742">
        <f t="shared" si="40"/>
        <v>7274700</v>
      </c>
      <c r="X96" s="742">
        <f t="shared" si="48"/>
        <v>436482</v>
      </c>
      <c r="Y96" s="742">
        <f t="shared" si="49"/>
        <v>181867.5</v>
      </c>
      <c r="Z96" s="742">
        <f t="shared" si="26"/>
        <v>872964</v>
      </c>
      <c r="AA96" s="742">
        <f t="shared" si="41"/>
        <v>8766013.5</v>
      </c>
      <c r="AB96" s="742">
        <f t="shared" si="42"/>
        <v>143728.70142646338</v>
      </c>
      <c r="AC96" s="739">
        <v>0.25</v>
      </c>
      <c r="AD96" s="742">
        <f t="shared" si="57"/>
        <v>2191503.375</v>
      </c>
      <c r="AE96" s="738">
        <f t="shared" si="58"/>
        <v>50000</v>
      </c>
      <c r="AF96" s="742">
        <f t="shared" si="43"/>
        <v>49802.404069767443</v>
      </c>
      <c r="AG96" s="743">
        <v>43</v>
      </c>
      <c r="AH96" s="742">
        <f t="shared" si="44"/>
        <v>6574510.125</v>
      </c>
      <c r="AI96" s="738">
        <f t="shared" si="51"/>
        <v>0</v>
      </c>
      <c r="AJ96" s="742">
        <f t="shared" si="50"/>
        <v>-8766013.5</v>
      </c>
      <c r="EV96" s="784">
        <f t="shared" si="45"/>
        <v>119276.93064436794</v>
      </c>
    </row>
    <row r="97" spans="1:152" x14ac:dyDescent="0.2">
      <c r="A97" s="993"/>
      <c r="B97" s="736">
        <v>95</v>
      </c>
      <c r="C97" s="736" t="s">
        <v>104</v>
      </c>
      <c r="D97" s="736" t="s">
        <v>208</v>
      </c>
      <c r="E97" s="736" t="s">
        <v>222</v>
      </c>
      <c r="F97" s="736" t="s">
        <v>117</v>
      </c>
      <c r="G97" s="736" t="s">
        <v>226</v>
      </c>
      <c r="H97" s="736" t="s">
        <v>109</v>
      </c>
      <c r="I97" s="740">
        <f>'[18]Collection Unsold 10.15.21'!G98</f>
        <v>60.78</v>
      </c>
      <c r="J97" s="741">
        <f>'[18]Collection Unsold 10.15.21'!H98</f>
        <v>5.15</v>
      </c>
      <c r="K97" s="740">
        <f t="shared" si="0"/>
        <v>65.930000000000007</v>
      </c>
      <c r="L97" s="742">
        <f t="shared" si="55"/>
        <v>7602600</v>
      </c>
      <c r="M97" s="736"/>
      <c r="N97" s="736">
        <v>8</v>
      </c>
      <c r="O97" s="738">
        <f t="shared" si="39"/>
        <v>243120</v>
      </c>
      <c r="P97" s="738"/>
      <c r="Q97" s="742"/>
      <c r="R97" s="738"/>
      <c r="S97" s="738">
        <f>I97*1000</f>
        <v>60780</v>
      </c>
      <c r="T97" s="738" t="str">
        <f t="shared" si="56"/>
        <v>INNER</v>
      </c>
      <c r="U97" s="738"/>
      <c r="V97" s="738">
        <f t="shared" si="25"/>
        <v>303900</v>
      </c>
      <c r="W97" s="742">
        <f t="shared" si="40"/>
        <v>7906500</v>
      </c>
      <c r="X97" s="742">
        <f t="shared" si="48"/>
        <v>474390</v>
      </c>
      <c r="Y97" s="742">
        <f t="shared" si="49"/>
        <v>197662.5</v>
      </c>
      <c r="Z97" s="742">
        <f t="shared" si="26"/>
        <v>948780</v>
      </c>
      <c r="AA97" s="742">
        <f t="shared" si="41"/>
        <v>9527332.5</v>
      </c>
      <c r="AB97" s="742">
        <f t="shared" si="42"/>
        <v>144506.78750189595</v>
      </c>
      <c r="AC97" s="739">
        <v>0.25</v>
      </c>
      <c r="AD97" s="742">
        <f t="shared" si="57"/>
        <v>2381833.125</v>
      </c>
      <c r="AE97" s="738">
        <f t="shared" si="58"/>
        <v>50000</v>
      </c>
      <c r="AF97" s="742">
        <f t="shared" si="43"/>
        <v>54228.677325581397</v>
      </c>
      <c r="AG97" s="743">
        <v>43</v>
      </c>
      <c r="AH97" s="742">
        <f t="shared" si="44"/>
        <v>7145499.375</v>
      </c>
      <c r="AI97" s="738">
        <f t="shared" si="51"/>
        <v>0</v>
      </c>
      <c r="AJ97" s="742">
        <f t="shared" si="50"/>
        <v>-9527332.5</v>
      </c>
      <c r="EV97" s="784">
        <f t="shared" si="45"/>
        <v>119922.64522978915</v>
      </c>
    </row>
    <row r="98" spans="1:152" x14ac:dyDescent="0.2">
      <c r="A98" s="993"/>
      <c r="B98" s="736">
        <v>96</v>
      </c>
      <c r="C98" s="736" t="s">
        <v>104</v>
      </c>
      <c r="D98" s="736" t="s">
        <v>208</v>
      </c>
      <c r="E98" s="736" t="s">
        <v>222</v>
      </c>
      <c r="F98" s="736" t="s">
        <v>119</v>
      </c>
      <c r="G98" s="736" t="s">
        <v>227</v>
      </c>
      <c r="H98" s="736" t="s">
        <v>109</v>
      </c>
      <c r="I98" s="740">
        <f>'[18]Collection Unsold 10.15.21'!G99</f>
        <v>83.49</v>
      </c>
      <c r="J98" s="741">
        <f>'[18]Collection Unsold 10.15.21'!H99</f>
        <v>12.309999999999999</v>
      </c>
      <c r="K98" s="740">
        <f t="shared" si="0"/>
        <v>95.8</v>
      </c>
      <c r="L98" s="742">
        <f t="shared" si="55"/>
        <v>10757400</v>
      </c>
      <c r="M98" s="736"/>
      <c r="N98" s="736">
        <v>8</v>
      </c>
      <c r="O98" s="738">
        <f t="shared" si="39"/>
        <v>333960</v>
      </c>
      <c r="P98" s="738"/>
      <c r="Q98" s="742"/>
      <c r="R98" s="738">
        <f>I98*1000</f>
        <v>83490</v>
      </c>
      <c r="S98" s="738">
        <f>I98*1000</f>
        <v>83490</v>
      </c>
      <c r="T98" s="738" t="str">
        <f t="shared" si="56"/>
        <v>CORNER</v>
      </c>
      <c r="U98" s="738"/>
      <c r="V98" s="738">
        <f t="shared" si="25"/>
        <v>500940</v>
      </c>
      <c r="W98" s="742">
        <f t="shared" si="40"/>
        <v>11258340</v>
      </c>
      <c r="X98" s="742">
        <f t="shared" si="48"/>
        <v>675500.4</v>
      </c>
      <c r="Y98" s="742">
        <f t="shared" si="49"/>
        <v>281458.5</v>
      </c>
      <c r="Z98" s="742">
        <f t="shared" si="26"/>
        <v>1351000.8</v>
      </c>
      <c r="AA98" s="742">
        <f t="shared" si="41"/>
        <v>13566299.700000001</v>
      </c>
      <c r="AB98" s="742">
        <f t="shared" si="42"/>
        <v>141610.6440501044</v>
      </c>
      <c r="AC98" s="739">
        <v>0.25</v>
      </c>
      <c r="AD98" s="742">
        <f t="shared" si="57"/>
        <v>3391574.9250000003</v>
      </c>
      <c r="AE98" s="738">
        <f t="shared" si="58"/>
        <v>50000</v>
      </c>
      <c r="AF98" s="742">
        <f t="shared" si="43"/>
        <v>77711.044767441868</v>
      </c>
      <c r="AG98" s="743">
        <v>43</v>
      </c>
      <c r="AH98" s="742">
        <f t="shared" si="44"/>
        <v>10174724.775</v>
      </c>
      <c r="AI98" s="738">
        <f t="shared" si="51"/>
        <v>0</v>
      </c>
      <c r="AJ98" s="742">
        <f t="shared" si="50"/>
        <v>-13566299.700000001</v>
      </c>
      <c r="EV98" s="784">
        <f t="shared" si="45"/>
        <v>117519.20668058455</v>
      </c>
    </row>
    <row r="99" spans="1:152" x14ac:dyDescent="0.2">
      <c r="A99" s="993"/>
      <c r="B99" s="736">
        <v>97</v>
      </c>
      <c r="C99" s="736" t="s">
        <v>104</v>
      </c>
      <c r="D99" s="736" t="s">
        <v>208</v>
      </c>
      <c r="E99" s="736" t="s">
        <v>222</v>
      </c>
      <c r="F99" s="736" t="s">
        <v>121</v>
      </c>
      <c r="G99" s="736" t="s">
        <v>228</v>
      </c>
      <c r="H99" s="736" t="s">
        <v>109</v>
      </c>
      <c r="I99" s="740">
        <f>'[18]Collection Unsold 10.15.21'!G100</f>
        <v>61.03</v>
      </c>
      <c r="J99" s="741">
        <f>'[18]Collection Unsold 10.15.21'!H100</f>
        <v>4.1900000000000004</v>
      </c>
      <c r="K99" s="740">
        <f t="shared" ref="K99:K132" si="59">I99+J99</f>
        <v>65.22</v>
      </c>
      <c r="L99" s="742">
        <f t="shared" si="55"/>
        <v>7575000</v>
      </c>
      <c r="M99" s="736"/>
      <c r="N99" s="736">
        <v>8</v>
      </c>
      <c r="O99" s="738">
        <f t="shared" si="39"/>
        <v>244120</v>
      </c>
      <c r="P99" s="738"/>
      <c r="Q99" s="742"/>
      <c r="R99" s="738"/>
      <c r="S99" s="738"/>
      <c r="T99" s="738" t="str">
        <f t="shared" si="56"/>
        <v>INNER</v>
      </c>
      <c r="U99" s="738"/>
      <c r="V99" s="738">
        <f t="shared" si="25"/>
        <v>244120</v>
      </c>
      <c r="W99" s="742">
        <f t="shared" si="40"/>
        <v>7819120</v>
      </c>
      <c r="X99" s="742">
        <f t="shared" si="48"/>
        <v>469147.2</v>
      </c>
      <c r="Y99" s="742">
        <f t="shared" si="49"/>
        <v>195478</v>
      </c>
      <c r="Z99" s="742">
        <f t="shared" si="26"/>
        <v>938294.4</v>
      </c>
      <c r="AA99" s="742">
        <f t="shared" si="41"/>
        <v>9422039.5999999996</v>
      </c>
      <c r="AB99" s="742">
        <f t="shared" si="42"/>
        <v>144465.49524685679</v>
      </c>
      <c r="AC99" s="739">
        <v>0.25</v>
      </c>
      <c r="AD99" s="742">
        <f t="shared" si="57"/>
        <v>2355509.9</v>
      </c>
      <c r="AE99" s="738">
        <f t="shared" si="58"/>
        <v>50000</v>
      </c>
      <c r="AF99" s="742">
        <f t="shared" si="43"/>
        <v>53616.509302325576</v>
      </c>
      <c r="AG99" s="743">
        <v>43</v>
      </c>
      <c r="AH99" s="742">
        <f t="shared" si="44"/>
        <v>7066529.6999999993</v>
      </c>
      <c r="AI99" s="738">
        <f t="shared" si="51"/>
        <v>0</v>
      </c>
      <c r="AJ99" s="742">
        <f t="shared" si="50"/>
        <v>-9422039.5999999996</v>
      </c>
      <c r="EV99" s="784">
        <f t="shared" si="45"/>
        <v>119888.37779822141</v>
      </c>
    </row>
    <row r="100" spans="1:152" x14ac:dyDescent="0.2">
      <c r="A100" s="993"/>
      <c r="B100" s="736">
        <v>98</v>
      </c>
      <c r="C100" s="736" t="s">
        <v>104</v>
      </c>
      <c r="D100" s="736" t="s">
        <v>208</v>
      </c>
      <c r="E100" s="736" t="s">
        <v>222</v>
      </c>
      <c r="F100" s="736" t="s">
        <v>123</v>
      </c>
      <c r="G100" s="736" t="s">
        <v>229</v>
      </c>
      <c r="H100" s="736" t="s">
        <v>109</v>
      </c>
      <c r="I100" s="740">
        <f>'[18]Collection Unsold 10.15.21'!G101</f>
        <v>94.79</v>
      </c>
      <c r="J100" s="741">
        <f>'[18]Collection Unsold 10.15.21'!H101</f>
        <v>11.260000000000002</v>
      </c>
      <c r="K100" s="740">
        <f t="shared" si="59"/>
        <v>106.05000000000001</v>
      </c>
      <c r="L100" s="742">
        <f t="shared" si="55"/>
        <v>12050400</v>
      </c>
      <c r="M100" s="736"/>
      <c r="N100" s="736">
        <v>8</v>
      </c>
      <c r="O100" s="738">
        <f t="shared" si="39"/>
        <v>379160</v>
      </c>
      <c r="P100" s="738"/>
      <c r="Q100" s="742"/>
      <c r="R100" s="738">
        <f>I100*1000</f>
        <v>94790</v>
      </c>
      <c r="S100" s="738"/>
      <c r="T100" s="738" t="str">
        <f t="shared" si="56"/>
        <v>CORNER</v>
      </c>
      <c r="U100" s="738"/>
      <c r="V100" s="738">
        <f t="shared" si="25"/>
        <v>473950</v>
      </c>
      <c r="W100" s="742">
        <f t="shared" si="40"/>
        <v>12524350</v>
      </c>
      <c r="X100" s="742">
        <f t="shared" si="48"/>
        <v>751461</v>
      </c>
      <c r="Y100" s="742">
        <f t="shared" si="49"/>
        <v>313108.75</v>
      </c>
      <c r="Z100" s="742">
        <f t="shared" si="26"/>
        <v>1502922</v>
      </c>
      <c r="AA100" s="742">
        <f t="shared" si="41"/>
        <v>15091841.75</v>
      </c>
      <c r="AB100" s="742">
        <f t="shared" si="42"/>
        <v>142308.73880245167</v>
      </c>
      <c r="AC100" s="739">
        <v>0.25</v>
      </c>
      <c r="AD100" s="742">
        <f t="shared" si="57"/>
        <v>3772960.4375</v>
      </c>
      <c r="AE100" s="738">
        <f t="shared" si="58"/>
        <v>50000</v>
      </c>
      <c r="AF100" s="742">
        <f t="shared" si="43"/>
        <v>86580.475290697679</v>
      </c>
      <c r="AG100" s="743">
        <v>43</v>
      </c>
      <c r="AH100" s="742">
        <f t="shared" si="44"/>
        <v>11318881.3125</v>
      </c>
      <c r="AI100" s="738">
        <f t="shared" si="51"/>
        <v>0</v>
      </c>
      <c r="AJ100" s="742">
        <f t="shared" si="50"/>
        <v>-15091841.75</v>
      </c>
      <c r="EV100" s="784">
        <f t="shared" si="45"/>
        <v>118098.53842527108</v>
      </c>
    </row>
    <row r="101" spans="1:152" x14ac:dyDescent="0.2">
      <c r="A101" s="993"/>
      <c r="B101" s="736">
        <v>99</v>
      </c>
      <c r="C101" s="736" t="s">
        <v>104</v>
      </c>
      <c r="D101" s="736" t="s">
        <v>208</v>
      </c>
      <c r="E101" s="736" t="s">
        <v>222</v>
      </c>
      <c r="F101" s="736" t="s">
        <v>125</v>
      </c>
      <c r="G101" s="736" t="s">
        <v>230</v>
      </c>
      <c r="H101" s="736" t="s">
        <v>109</v>
      </c>
      <c r="I101" s="740">
        <f>'[18]Collection Unsold 10.15.21'!G102</f>
        <v>67.790000000000006</v>
      </c>
      <c r="J101" s="741">
        <f>'[18]Collection Unsold 10.15.21'!H102</f>
        <v>4.2</v>
      </c>
      <c r="K101" s="740">
        <f t="shared" si="59"/>
        <v>71.990000000000009</v>
      </c>
      <c r="L101" s="742">
        <f t="shared" si="55"/>
        <v>8386800.0000000009</v>
      </c>
      <c r="M101" s="736"/>
      <c r="N101" s="736">
        <v>8</v>
      </c>
      <c r="O101" s="738">
        <f t="shared" si="39"/>
        <v>271160</v>
      </c>
      <c r="P101" s="738"/>
      <c r="Q101" s="742"/>
      <c r="R101" s="738"/>
      <c r="S101" s="738"/>
      <c r="T101" s="738" t="str">
        <f t="shared" si="56"/>
        <v>INNER</v>
      </c>
      <c r="U101" s="738"/>
      <c r="V101" s="738">
        <f t="shared" si="25"/>
        <v>271160</v>
      </c>
      <c r="W101" s="742">
        <f t="shared" si="40"/>
        <v>8657960</v>
      </c>
      <c r="X101" s="742">
        <f t="shared" si="48"/>
        <v>519477.6</v>
      </c>
      <c r="Y101" s="742">
        <f t="shared" si="49"/>
        <v>216449</v>
      </c>
      <c r="Z101" s="742">
        <f t="shared" si="26"/>
        <v>1038955.2</v>
      </c>
      <c r="AA101" s="742">
        <f t="shared" si="41"/>
        <v>10432841.799999999</v>
      </c>
      <c r="AB101" s="742">
        <f t="shared" si="42"/>
        <v>144920.70843172658</v>
      </c>
      <c r="AC101" s="739">
        <v>0.25</v>
      </c>
      <c r="AD101" s="742">
        <f t="shared" si="57"/>
        <v>2608210.4499999997</v>
      </c>
      <c r="AE101" s="738">
        <f t="shared" si="58"/>
        <v>50000</v>
      </c>
      <c r="AF101" s="742">
        <f t="shared" si="43"/>
        <v>59493.266279069758</v>
      </c>
      <c r="AG101" s="743">
        <v>43</v>
      </c>
      <c r="AH101" s="742">
        <f t="shared" si="44"/>
        <v>7824631.3499999996</v>
      </c>
      <c r="AI101" s="738">
        <f t="shared" si="51"/>
        <v>0</v>
      </c>
      <c r="AJ101" s="742">
        <f t="shared" si="50"/>
        <v>-10432841.799999999</v>
      </c>
      <c r="EV101" s="784">
        <f t="shared" si="45"/>
        <v>120266.14807612167</v>
      </c>
    </row>
    <row r="102" spans="1:152" x14ac:dyDescent="0.2">
      <c r="A102" s="993"/>
      <c r="B102" s="736">
        <v>100</v>
      </c>
      <c r="C102" s="736" t="s">
        <v>104</v>
      </c>
      <c r="D102" s="736" t="s">
        <v>208</v>
      </c>
      <c r="E102" s="736" t="s">
        <v>222</v>
      </c>
      <c r="F102" s="736" t="s">
        <v>127</v>
      </c>
      <c r="G102" s="736" t="s">
        <v>231</v>
      </c>
      <c r="H102" s="736" t="s">
        <v>109</v>
      </c>
      <c r="I102" s="740">
        <f>'[18]Collection Unsold 10.15.21'!G103</f>
        <v>67.72</v>
      </c>
      <c r="J102" s="741">
        <f>'[18]Collection Unsold 10.15.21'!H103</f>
        <v>4.2</v>
      </c>
      <c r="K102" s="740">
        <f t="shared" si="59"/>
        <v>71.92</v>
      </c>
      <c r="L102" s="742">
        <f t="shared" si="55"/>
        <v>8378400</v>
      </c>
      <c r="M102" s="736"/>
      <c r="N102" s="736">
        <v>8</v>
      </c>
      <c r="O102" s="738">
        <f t="shared" si="39"/>
        <v>270880</v>
      </c>
      <c r="P102" s="738"/>
      <c r="Q102" s="742"/>
      <c r="R102" s="738"/>
      <c r="S102" s="738"/>
      <c r="T102" s="738" t="str">
        <f t="shared" si="56"/>
        <v>INNER</v>
      </c>
      <c r="U102" s="738"/>
      <c r="V102" s="738">
        <f t="shared" si="25"/>
        <v>270880</v>
      </c>
      <c r="W102" s="742">
        <f t="shared" si="40"/>
        <v>8649280</v>
      </c>
      <c r="X102" s="742">
        <f t="shared" si="48"/>
        <v>518956.79999999999</v>
      </c>
      <c r="Y102" s="742">
        <f t="shared" si="49"/>
        <v>216232</v>
      </c>
      <c r="Z102" s="742">
        <f t="shared" si="26"/>
        <v>1037913.6</v>
      </c>
      <c r="AA102" s="742">
        <f t="shared" si="41"/>
        <v>10422382.4</v>
      </c>
      <c r="AB102" s="742">
        <f t="shared" si="42"/>
        <v>144916.32925472749</v>
      </c>
      <c r="AC102" s="739">
        <v>0.25</v>
      </c>
      <c r="AD102" s="742">
        <f t="shared" si="57"/>
        <v>2605595.6</v>
      </c>
      <c r="AE102" s="738">
        <f t="shared" si="58"/>
        <v>50000</v>
      </c>
      <c r="AF102" s="742">
        <f t="shared" si="43"/>
        <v>59432.455813953493</v>
      </c>
      <c r="AG102" s="743">
        <v>43</v>
      </c>
      <c r="AH102" s="742">
        <f t="shared" si="44"/>
        <v>7816786.8000000007</v>
      </c>
      <c r="AI102" s="738">
        <f t="shared" si="51"/>
        <v>0</v>
      </c>
      <c r="AJ102" s="742">
        <f t="shared" si="50"/>
        <v>-10422382.4</v>
      </c>
      <c r="EV102" s="784">
        <f t="shared" si="45"/>
        <v>120262.51390433815</v>
      </c>
    </row>
    <row r="103" spans="1:152" x14ac:dyDescent="0.2">
      <c r="A103" s="993"/>
      <c r="B103" s="736">
        <v>101</v>
      </c>
      <c r="C103" s="736" t="s">
        <v>104</v>
      </c>
      <c r="D103" s="736" t="s">
        <v>208</v>
      </c>
      <c r="E103" s="736" t="s">
        <v>222</v>
      </c>
      <c r="F103" s="736" t="s">
        <v>129</v>
      </c>
      <c r="G103" s="736" t="s">
        <v>232</v>
      </c>
      <c r="H103" s="736" t="s">
        <v>109</v>
      </c>
      <c r="I103" s="740">
        <f>'[18]Collection Unsold 10.15.21'!G104</f>
        <v>67.72</v>
      </c>
      <c r="J103" s="741">
        <f>'[18]Collection Unsold 10.15.21'!H104</f>
        <v>4.2</v>
      </c>
      <c r="K103" s="740">
        <f t="shared" si="59"/>
        <v>71.92</v>
      </c>
      <c r="L103" s="742">
        <f t="shared" si="55"/>
        <v>8378400</v>
      </c>
      <c r="M103" s="736"/>
      <c r="N103" s="736">
        <v>8</v>
      </c>
      <c r="O103" s="738">
        <f t="shared" si="39"/>
        <v>270880</v>
      </c>
      <c r="P103" s="738"/>
      <c r="Q103" s="742"/>
      <c r="R103" s="738"/>
      <c r="S103" s="738"/>
      <c r="T103" s="738" t="str">
        <f t="shared" si="56"/>
        <v>INNER</v>
      </c>
      <c r="U103" s="738"/>
      <c r="V103" s="738">
        <f t="shared" ref="V103:V132" si="60">SUM(O103:S103)</f>
        <v>270880</v>
      </c>
      <c r="W103" s="742">
        <f t="shared" si="40"/>
        <v>8649280</v>
      </c>
      <c r="X103" s="742">
        <f t="shared" si="48"/>
        <v>518956.79999999999</v>
      </c>
      <c r="Y103" s="742">
        <f t="shared" si="49"/>
        <v>216232</v>
      </c>
      <c r="Z103" s="742">
        <f t="shared" ref="Z103:Z132" si="61">W103*12%</f>
        <v>1037913.6</v>
      </c>
      <c r="AA103" s="742">
        <f t="shared" si="41"/>
        <v>10422382.4</v>
      </c>
      <c r="AB103" s="742">
        <f t="shared" si="42"/>
        <v>144916.32925472749</v>
      </c>
      <c r="AC103" s="739">
        <v>0.25</v>
      </c>
      <c r="AD103" s="742">
        <f t="shared" si="57"/>
        <v>2605595.6</v>
      </c>
      <c r="AE103" s="738">
        <f t="shared" si="58"/>
        <v>50000</v>
      </c>
      <c r="AF103" s="742">
        <f t="shared" si="43"/>
        <v>59432.455813953493</v>
      </c>
      <c r="AG103" s="743">
        <v>43</v>
      </c>
      <c r="AH103" s="742">
        <f t="shared" si="44"/>
        <v>7816786.8000000007</v>
      </c>
      <c r="AI103" s="738">
        <f t="shared" si="51"/>
        <v>0</v>
      </c>
      <c r="AJ103" s="742">
        <f t="shared" si="50"/>
        <v>-10422382.4</v>
      </c>
      <c r="EV103" s="784">
        <f t="shared" si="45"/>
        <v>120262.51390433815</v>
      </c>
    </row>
    <row r="104" spans="1:152" x14ac:dyDescent="0.2">
      <c r="A104" s="993"/>
      <c r="B104" s="736">
        <v>102</v>
      </c>
      <c r="C104" s="736" t="s">
        <v>104</v>
      </c>
      <c r="D104" s="736" t="s">
        <v>208</v>
      </c>
      <c r="E104" s="736" t="s">
        <v>222</v>
      </c>
      <c r="F104" s="736" t="s">
        <v>131</v>
      </c>
      <c r="G104" s="736" t="s">
        <v>233</v>
      </c>
      <c r="H104" s="736" t="s">
        <v>109</v>
      </c>
      <c r="I104" s="740">
        <f>'[18]Collection Unsold 10.15.21'!G105</f>
        <v>67.72</v>
      </c>
      <c r="J104" s="741">
        <f>'[18]Collection Unsold 10.15.21'!H105</f>
        <v>4.2</v>
      </c>
      <c r="K104" s="740">
        <f t="shared" si="59"/>
        <v>71.92</v>
      </c>
      <c r="L104" s="742">
        <f t="shared" si="55"/>
        <v>8378400</v>
      </c>
      <c r="M104" s="736"/>
      <c r="N104" s="736">
        <v>8</v>
      </c>
      <c r="O104" s="738">
        <f t="shared" si="39"/>
        <v>270880</v>
      </c>
      <c r="P104" s="738"/>
      <c r="Q104" s="742"/>
      <c r="R104" s="738"/>
      <c r="S104" s="738"/>
      <c r="T104" s="738" t="str">
        <f t="shared" si="56"/>
        <v>INNER</v>
      </c>
      <c r="U104" s="738"/>
      <c r="V104" s="738">
        <f t="shared" si="60"/>
        <v>270880</v>
      </c>
      <c r="W104" s="742">
        <f t="shared" si="40"/>
        <v>8649280</v>
      </c>
      <c r="X104" s="742">
        <f t="shared" si="48"/>
        <v>518956.79999999999</v>
      </c>
      <c r="Y104" s="742">
        <f t="shared" si="49"/>
        <v>216232</v>
      </c>
      <c r="Z104" s="742">
        <f t="shared" si="61"/>
        <v>1037913.6</v>
      </c>
      <c r="AA104" s="742">
        <f t="shared" si="41"/>
        <v>10422382.4</v>
      </c>
      <c r="AB104" s="742">
        <f t="shared" si="42"/>
        <v>144916.32925472749</v>
      </c>
      <c r="AC104" s="739">
        <v>0.25</v>
      </c>
      <c r="AD104" s="742">
        <f t="shared" si="57"/>
        <v>2605595.6</v>
      </c>
      <c r="AE104" s="738">
        <f t="shared" si="58"/>
        <v>50000</v>
      </c>
      <c r="AF104" s="742">
        <f t="shared" si="43"/>
        <v>59432.455813953493</v>
      </c>
      <c r="AG104" s="743">
        <v>43</v>
      </c>
      <c r="AH104" s="742">
        <f t="shared" si="44"/>
        <v>7816786.8000000007</v>
      </c>
      <c r="AI104" s="738">
        <f t="shared" si="51"/>
        <v>0</v>
      </c>
      <c r="AJ104" s="742">
        <f t="shared" si="50"/>
        <v>-10422382.4</v>
      </c>
      <c r="EV104" s="784">
        <f t="shared" si="45"/>
        <v>120262.51390433815</v>
      </c>
    </row>
    <row r="105" spans="1:152" x14ac:dyDescent="0.2">
      <c r="A105" s="993"/>
      <c r="B105" s="736">
        <v>103</v>
      </c>
      <c r="C105" s="736" t="s">
        <v>104</v>
      </c>
      <c r="D105" s="736" t="s">
        <v>208</v>
      </c>
      <c r="E105" s="736" t="s">
        <v>222</v>
      </c>
      <c r="F105" s="736" t="s">
        <v>133</v>
      </c>
      <c r="G105" s="736" t="s">
        <v>234</v>
      </c>
      <c r="H105" s="736" t="s">
        <v>109</v>
      </c>
      <c r="I105" s="740">
        <f>'[18]Collection Unsold 10.15.21'!G106</f>
        <v>86.15</v>
      </c>
      <c r="J105" s="741">
        <f>'[18]Collection Unsold 10.15.21'!H106</f>
        <v>12.66</v>
      </c>
      <c r="K105" s="740">
        <f t="shared" si="59"/>
        <v>98.81</v>
      </c>
      <c r="L105" s="742">
        <f t="shared" si="55"/>
        <v>11097600</v>
      </c>
      <c r="M105" s="736"/>
      <c r="N105" s="736">
        <v>8</v>
      </c>
      <c r="O105" s="738">
        <f t="shared" si="39"/>
        <v>344600</v>
      </c>
      <c r="P105" s="738"/>
      <c r="Q105" s="742"/>
      <c r="R105" s="738">
        <f>I105*1000</f>
        <v>86150</v>
      </c>
      <c r="S105" s="738">
        <f t="shared" ref="S105:S111" si="62">I105*1000</f>
        <v>86150</v>
      </c>
      <c r="T105" s="738" t="str">
        <f t="shared" si="56"/>
        <v>CORNER</v>
      </c>
      <c r="U105" s="738"/>
      <c r="V105" s="738">
        <f t="shared" si="60"/>
        <v>516900</v>
      </c>
      <c r="W105" s="742">
        <f t="shared" si="40"/>
        <v>11614500</v>
      </c>
      <c r="X105" s="742">
        <f t="shared" si="48"/>
        <v>696870</v>
      </c>
      <c r="Y105" s="742">
        <f t="shared" si="49"/>
        <v>290362.5</v>
      </c>
      <c r="Z105" s="742">
        <f t="shared" si="61"/>
        <v>1393740</v>
      </c>
      <c r="AA105" s="742">
        <f t="shared" si="41"/>
        <v>13995472.5</v>
      </c>
      <c r="AB105" s="742">
        <f t="shared" si="42"/>
        <v>141640.24390243902</v>
      </c>
      <c r="AC105" s="739">
        <v>0.25</v>
      </c>
      <c r="AD105" s="742">
        <f t="shared" si="57"/>
        <v>3498868.125</v>
      </c>
      <c r="AE105" s="738">
        <f t="shared" si="58"/>
        <v>50000</v>
      </c>
      <c r="AF105" s="742">
        <f t="shared" si="43"/>
        <v>80206.235465116275</v>
      </c>
      <c r="AG105" s="743">
        <v>43</v>
      </c>
      <c r="AH105" s="742">
        <f t="shared" si="44"/>
        <v>10496604.375</v>
      </c>
      <c r="AI105" s="738">
        <f t="shared" si="51"/>
        <v>0</v>
      </c>
      <c r="AJ105" s="742">
        <f t="shared" si="50"/>
        <v>-13995472.5</v>
      </c>
      <c r="EV105" s="784">
        <f t="shared" si="45"/>
        <v>117543.77087339338</v>
      </c>
    </row>
    <row r="106" spans="1:152" x14ac:dyDescent="0.2">
      <c r="A106" s="993"/>
      <c r="B106" s="736">
        <v>104</v>
      </c>
      <c r="C106" s="736" t="s">
        <v>135</v>
      </c>
      <c r="D106" s="736" t="s">
        <v>208</v>
      </c>
      <c r="E106" s="736" t="s">
        <v>222</v>
      </c>
      <c r="F106" s="736" t="s">
        <v>136</v>
      </c>
      <c r="G106" s="736" t="s">
        <v>235</v>
      </c>
      <c r="H106" s="736" t="s">
        <v>109</v>
      </c>
      <c r="I106" s="740">
        <f>'[18]Collection Unsold 10.15.21'!G107</f>
        <v>53.53</v>
      </c>
      <c r="J106" s="741">
        <f>'[18]Collection Unsold 10.15.21'!H107</f>
        <v>4.18</v>
      </c>
      <c r="K106" s="740">
        <f t="shared" si="59"/>
        <v>57.71</v>
      </c>
      <c r="L106" s="742">
        <f t="shared" si="55"/>
        <v>6674400</v>
      </c>
      <c r="M106" s="736"/>
      <c r="N106" s="736">
        <v>8</v>
      </c>
      <c r="O106" s="738">
        <f t="shared" si="39"/>
        <v>214120</v>
      </c>
      <c r="P106" s="738"/>
      <c r="Q106" s="742"/>
      <c r="R106" s="738"/>
      <c r="S106" s="738">
        <f t="shared" si="62"/>
        <v>53530</v>
      </c>
      <c r="T106" s="738" t="str">
        <f t="shared" si="56"/>
        <v>INNER</v>
      </c>
      <c r="U106" s="738"/>
      <c r="V106" s="738">
        <f t="shared" si="60"/>
        <v>267650</v>
      </c>
      <c r="W106" s="742">
        <f t="shared" si="40"/>
        <v>6942050</v>
      </c>
      <c r="X106" s="742">
        <f t="shared" si="48"/>
        <v>416523</v>
      </c>
      <c r="Y106" s="742">
        <f t="shared" si="49"/>
        <v>173551.25</v>
      </c>
      <c r="Z106" s="742">
        <f t="shared" si="61"/>
        <v>833046</v>
      </c>
      <c r="AA106" s="742">
        <f t="shared" si="41"/>
        <v>8365170.25</v>
      </c>
      <c r="AB106" s="742">
        <f t="shared" si="42"/>
        <v>144951.83243805234</v>
      </c>
      <c r="AC106" s="739">
        <v>0.25</v>
      </c>
      <c r="AD106" s="742">
        <f t="shared" si="57"/>
        <v>2091292.5625</v>
      </c>
      <c r="AE106" s="738">
        <f t="shared" si="58"/>
        <v>50000</v>
      </c>
      <c r="AF106" s="742">
        <f t="shared" si="43"/>
        <v>47471.920058139534</v>
      </c>
      <c r="AG106" s="743">
        <v>43</v>
      </c>
      <c r="AH106" s="742">
        <f t="shared" si="44"/>
        <v>6273877.6875</v>
      </c>
      <c r="AI106" s="738">
        <f t="shared" si="51"/>
        <v>0</v>
      </c>
      <c r="AJ106" s="742">
        <f t="shared" si="50"/>
        <v>-8365170.25</v>
      </c>
      <c r="EV106" s="784">
        <f t="shared" si="45"/>
        <v>120291.97712701438</v>
      </c>
    </row>
    <row r="107" spans="1:152" x14ac:dyDescent="0.2">
      <c r="A107" s="993">
        <v>9</v>
      </c>
      <c r="B107" s="736">
        <v>105</v>
      </c>
      <c r="C107" s="736" t="s">
        <v>236</v>
      </c>
      <c r="D107" s="736" t="s">
        <v>222</v>
      </c>
      <c r="E107" s="736" t="s">
        <v>237</v>
      </c>
      <c r="F107" s="736" t="s">
        <v>107</v>
      </c>
      <c r="G107" s="736" t="s">
        <v>238</v>
      </c>
      <c r="H107" s="736" t="s">
        <v>109</v>
      </c>
      <c r="I107" s="740">
        <f>'[18]Collection Unsold 10.15.21'!G108</f>
        <v>98.5</v>
      </c>
      <c r="J107" s="741">
        <f>'[18]Collection Unsold 10.15.21'!H108</f>
        <v>10.46</v>
      </c>
      <c r="K107" s="740">
        <f t="shared" si="59"/>
        <v>108.96000000000001</v>
      </c>
      <c r="L107" s="742">
        <f t="shared" ref="L107:L119" si="63">L3</f>
        <v>12447600</v>
      </c>
      <c r="M107" s="746"/>
      <c r="N107" s="736">
        <v>9</v>
      </c>
      <c r="O107" s="738">
        <f t="shared" si="39"/>
        <v>443250</v>
      </c>
      <c r="P107" s="738"/>
      <c r="Q107" s="742"/>
      <c r="R107" s="738">
        <f>I107*1000</f>
        <v>98500</v>
      </c>
      <c r="S107" s="738">
        <f t="shared" si="62"/>
        <v>98500</v>
      </c>
      <c r="T107" s="738" t="str">
        <f t="shared" ref="T107:T119" si="64">T3</f>
        <v>CORNER</v>
      </c>
      <c r="U107" s="738"/>
      <c r="V107" s="738">
        <f t="shared" si="60"/>
        <v>640250</v>
      </c>
      <c r="W107" s="742">
        <f t="shared" si="40"/>
        <v>13087850</v>
      </c>
      <c r="X107" s="742">
        <f t="shared" si="48"/>
        <v>785271</v>
      </c>
      <c r="Y107" s="742">
        <f t="shared" si="49"/>
        <v>327196.25</v>
      </c>
      <c r="Z107" s="742">
        <f t="shared" si="61"/>
        <v>1570542</v>
      </c>
      <c r="AA107" s="742">
        <f t="shared" si="41"/>
        <v>15770859.25</v>
      </c>
      <c r="AB107" s="742">
        <f t="shared" si="42"/>
        <v>144739.89766886929</v>
      </c>
      <c r="AC107" s="739">
        <v>0.25</v>
      </c>
      <c r="AD107" s="742">
        <f t="shared" si="57"/>
        <v>3942714.8125</v>
      </c>
      <c r="AE107" s="738">
        <f t="shared" si="58"/>
        <v>50000</v>
      </c>
      <c r="AF107" s="742">
        <f t="shared" si="43"/>
        <v>90528.251453488367</v>
      </c>
      <c r="AG107" s="747">
        <v>43</v>
      </c>
      <c r="AH107" s="742">
        <f t="shared" si="44"/>
        <v>11828144.4375</v>
      </c>
      <c r="AI107" s="738">
        <f t="shared" si="51"/>
        <v>0</v>
      </c>
      <c r="AJ107" s="742">
        <f t="shared" si="50"/>
        <v>-15770859.25</v>
      </c>
      <c r="EV107" s="784">
        <f t="shared" si="45"/>
        <v>120116.09765051394</v>
      </c>
    </row>
    <row r="108" spans="1:152" x14ac:dyDescent="0.2">
      <c r="A108" s="993"/>
      <c r="B108" s="736">
        <v>106</v>
      </c>
      <c r="C108" s="736" t="s">
        <v>236</v>
      </c>
      <c r="D108" s="736" t="s">
        <v>222</v>
      </c>
      <c r="E108" s="736" t="s">
        <v>237</v>
      </c>
      <c r="F108" s="736" t="s">
        <v>111</v>
      </c>
      <c r="G108" s="736" t="s">
        <v>239</v>
      </c>
      <c r="H108" s="736" t="s">
        <v>113</v>
      </c>
      <c r="I108" s="740">
        <f>'[18]Collection Unsold 10.15.21'!G109</f>
        <v>51.02</v>
      </c>
      <c r="J108" s="741">
        <f>'[18]Collection Unsold 10.15.21'!H109</f>
        <v>5.36</v>
      </c>
      <c r="K108" s="740">
        <f t="shared" si="59"/>
        <v>56.38</v>
      </c>
      <c r="L108" s="742">
        <f t="shared" si="63"/>
        <v>6444000</v>
      </c>
      <c r="M108" s="746"/>
      <c r="N108" s="736">
        <f t="shared" ref="N108:N119" si="65">$N$107</f>
        <v>9</v>
      </c>
      <c r="O108" s="738">
        <f t="shared" si="39"/>
        <v>229590</v>
      </c>
      <c r="P108" s="738"/>
      <c r="Q108" s="742"/>
      <c r="R108" s="738"/>
      <c r="S108" s="738">
        <f t="shared" si="62"/>
        <v>51020</v>
      </c>
      <c r="T108" s="738" t="str">
        <f t="shared" si="64"/>
        <v>INNER</v>
      </c>
      <c r="U108" s="738"/>
      <c r="V108" s="738">
        <f t="shared" si="60"/>
        <v>280610</v>
      </c>
      <c r="W108" s="742">
        <f t="shared" si="40"/>
        <v>6724610</v>
      </c>
      <c r="X108" s="742">
        <f t="shared" si="48"/>
        <v>403476.6</v>
      </c>
      <c r="Y108" s="742">
        <f t="shared" si="49"/>
        <v>168115.25</v>
      </c>
      <c r="Z108" s="742">
        <f t="shared" si="61"/>
        <v>806953.2</v>
      </c>
      <c r="AA108" s="742">
        <f t="shared" si="41"/>
        <v>8103155.0499999998</v>
      </c>
      <c r="AB108" s="742">
        <f t="shared" si="42"/>
        <v>143723.92781128059</v>
      </c>
      <c r="AC108" s="739">
        <v>0.25</v>
      </c>
      <c r="AD108" s="742">
        <f t="shared" si="57"/>
        <v>2025788.7625</v>
      </c>
      <c r="AE108" s="738">
        <f t="shared" si="58"/>
        <v>50000</v>
      </c>
      <c r="AF108" s="742">
        <f t="shared" si="43"/>
        <v>45948.575872093024</v>
      </c>
      <c r="AG108" s="747">
        <v>43</v>
      </c>
      <c r="AH108" s="742">
        <f t="shared" si="44"/>
        <v>6077366.2874999996</v>
      </c>
      <c r="AI108" s="738">
        <f t="shared" si="51"/>
        <v>0</v>
      </c>
      <c r="AJ108" s="742">
        <f t="shared" si="50"/>
        <v>-8103155.0499999998</v>
      </c>
      <c r="AW108" s="721"/>
      <c r="EV108" s="784">
        <f t="shared" si="45"/>
        <v>119272.96913799219</v>
      </c>
    </row>
    <row r="109" spans="1:152" x14ac:dyDescent="0.2">
      <c r="A109" s="993"/>
      <c r="B109" s="736">
        <v>107</v>
      </c>
      <c r="C109" s="736" t="s">
        <v>236</v>
      </c>
      <c r="D109" s="736" t="s">
        <v>222</v>
      </c>
      <c r="E109" s="736" t="s">
        <v>237</v>
      </c>
      <c r="F109" s="736" t="s">
        <v>115</v>
      </c>
      <c r="G109" s="736" t="s">
        <v>240</v>
      </c>
      <c r="H109" s="736" t="s">
        <v>109</v>
      </c>
      <c r="I109" s="740">
        <f>'[18]Collection Unsold 10.15.21'!G110</f>
        <v>55.62</v>
      </c>
      <c r="J109" s="741">
        <f>'[18]Collection Unsold 10.15.21'!H110</f>
        <v>5.37</v>
      </c>
      <c r="K109" s="740">
        <f t="shared" si="59"/>
        <v>60.989999999999995</v>
      </c>
      <c r="L109" s="742">
        <f t="shared" si="63"/>
        <v>6996600</v>
      </c>
      <c r="M109" s="746"/>
      <c r="N109" s="736">
        <f t="shared" si="65"/>
        <v>9</v>
      </c>
      <c r="O109" s="738">
        <f t="shared" si="39"/>
        <v>250290</v>
      </c>
      <c r="P109" s="738"/>
      <c r="Q109" s="742"/>
      <c r="R109" s="738"/>
      <c r="S109" s="738">
        <f t="shared" si="62"/>
        <v>55620</v>
      </c>
      <c r="T109" s="738" t="str">
        <f t="shared" si="64"/>
        <v>INNER</v>
      </c>
      <c r="U109" s="738"/>
      <c r="V109" s="738">
        <f t="shared" si="60"/>
        <v>305910</v>
      </c>
      <c r="W109" s="742">
        <f t="shared" si="40"/>
        <v>7302510</v>
      </c>
      <c r="X109" s="742">
        <f t="shared" si="48"/>
        <v>438150.6</v>
      </c>
      <c r="Y109" s="742">
        <f t="shared" si="49"/>
        <v>182562.75</v>
      </c>
      <c r="Z109" s="742">
        <f t="shared" si="61"/>
        <v>876301.2</v>
      </c>
      <c r="AA109" s="742">
        <f t="shared" si="41"/>
        <v>8799524.5499999989</v>
      </c>
      <c r="AB109" s="742">
        <f t="shared" si="42"/>
        <v>144278.15297589768</v>
      </c>
      <c r="AC109" s="739">
        <v>0.25</v>
      </c>
      <c r="AD109" s="742">
        <f t="shared" si="57"/>
        <v>2199881.1374999997</v>
      </c>
      <c r="AE109" s="738">
        <f t="shared" si="58"/>
        <v>50000</v>
      </c>
      <c r="AF109" s="742">
        <f t="shared" si="43"/>
        <v>49997.235755813948</v>
      </c>
      <c r="AG109" s="747">
        <v>43</v>
      </c>
      <c r="AH109" s="742">
        <f t="shared" si="44"/>
        <v>6599643.4124999996</v>
      </c>
      <c r="AI109" s="738">
        <f t="shared" si="51"/>
        <v>0</v>
      </c>
      <c r="AJ109" s="742">
        <f t="shared" si="50"/>
        <v>-8799524.5499999989</v>
      </c>
      <c r="AW109" s="721"/>
      <c r="EV109" s="784">
        <f t="shared" si="45"/>
        <v>119732.90703394001</v>
      </c>
    </row>
    <row r="110" spans="1:152" x14ac:dyDescent="0.2">
      <c r="A110" s="993"/>
      <c r="B110" s="736">
        <v>108</v>
      </c>
      <c r="C110" s="736" t="s">
        <v>236</v>
      </c>
      <c r="D110" s="736" t="s">
        <v>222</v>
      </c>
      <c r="E110" s="736" t="s">
        <v>237</v>
      </c>
      <c r="F110" s="736" t="s">
        <v>117</v>
      </c>
      <c r="G110" s="736" t="s">
        <v>241</v>
      </c>
      <c r="H110" s="736" t="s">
        <v>109</v>
      </c>
      <c r="I110" s="740">
        <f>'[18]Collection Unsold 10.15.21'!G111</f>
        <v>60.78</v>
      </c>
      <c r="J110" s="741">
        <f>'[18]Collection Unsold 10.15.21'!H111</f>
        <v>5.15</v>
      </c>
      <c r="K110" s="740">
        <f t="shared" si="59"/>
        <v>65.930000000000007</v>
      </c>
      <c r="L110" s="742">
        <f t="shared" si="63"/>
        <v>7602600</v>
      </c>
      <c r="M110" s="746"/>
      <c r="N110" s="736">
        <f t="shared" si="65"/>
        <v>9</v>
      </c>
      <c r="O110" s="738">
        <f t="shared" si="39"/>
        <v>273510</v>
      </c>
      <c r="P110" s="738"/>
      <c r="Q110" s="742"/>
      <c r="R110" s="738"/>
      <c r="S110" s="738">
        <f t="shared" si="62"/>
        <v>60780</v>
      </c>
      <c r="T110" s="738" t="str">
        <f t="shared" si="64"/>
        <v>INNER</v>
      </c>
      <c r="U110" s="738"/>
      <c r="V110" s="738">
        <f t="shared" si="60"/>
        <v>334290</v>
      </c>
      <c r="W110" s="742">
        <f t="shared" si="40"/>
        <v>7936890</v>
      </c>
      <c r="X110" s="742">
        <f t="shared" si="48"/>
        <v>476213.39999999997</v>
      </c>
      <c r="Y110" s="742">
        <f t="shared" si="49"/>
        <v>198422.25</v>
      </c>
      <c r="Z110" s="742">
        <f t="shared" si="61"/>
        <v>952426.79999999993</v>
      </c>
      <c r="AA110" s="742">
        <f t="shared" si="41"/>
        <v>9563952.4500000011</v>
      </c>
      <c r="AB110" s="742">
        <f t="shared" si="42"/>
        <v>145062.2243288336</v>
      </c>
      <c r="AC110" s="739">
        <v>0.25</v>
      </c>
      <c r="AD110" s="742">
        <f t="shared" si="57"/>
        <v>2390988.1125000003</v>
      </c>
      <c r="AE110" s="738">
        <f t="shared" si="58"/>
        <v>50000</v>
      </c>
      <c r="AF110" s="742">
        <f t="shared" si="43"/>
        <v>54441.584011627914</v>
      </c>
      <c r="AG110" s="747">
        <v>43</v>
      </c>
      <c r="AH110" s="742">
        <f t="shared" si="44"/>
        <v>7172964.3375000004</v>
      </c>
      <c r="AI110" s="738">
        <f t="shared" si="51"/>
        <v>0</v>
      </c>
      <c r="AJ110" s="742">
        <f t="shared" si="50"/>
        <v>-9563952.4500000011</v>
      </c>
      <c r="AW110" s="721"/>
      <c r="EV110" s="784">
        <f t="shared" si="45"/>
        <v>120383.58865463368</v>
      </c>
    </row>
    <row r="111" spans="1:152" x14ac:dyDescent="0.2">
      <c r="A111" s="993"/>
      <c r="B111" s="736">
        <v>109</v>
      </c>
      <c r="C111" s="736" t="s">
        <v>236</v>
      </c>
      <c r="D111" s="736" t="s">
        <v>222</v>
      </c>
      <c r="E111" s="736" t="s">
        <v>237</v>
      </c>
      <c r="F111" s="736" t="s">
        <v>119</v>
      </c>
      <c r="G111" s="736" t="s">
        <v>242</v>
      </c>
      <c r="H111" s="736" t="s">
        <v>109</v>
      </c>
      <c r="I111" s="740">
        <f>'[18]Collection Unsold 10.15.21'!G112</f>
        <v>83.49</v>
      </c>
      <c r="J111" s="741">
        <f>'[18]Collection Unsold 10.15.21'!H112</f>
        <v>12.309999999999999</v>
      </c>
      <c r="K111" s="740">
        <f t="shared" si="59"/>
        <v>95.8</v>
      </c>
      <c r="L111" s="742">
        <f t="shared" si="63"/>
        <v>10757400</v>
      </c>
      <c r="M111" s="746"/>
      <c r="N111" s="736">
        <f t="shared" si="65"/>
        <v>9</v>
      </c>
      <c r="O111" s="738">
        <f t="shared" si="39"/>
        <v>375705</v>
      </c>
      <c r="P111" s="738"/>
      <c r="Q111" s="742"/>
      <c r="R111" s="738">
        <f>I111*1000</f>
        <v>83490</v>
      </c>
      <c r="S111" s="738">
        <f t="shared" si="62"/>
        <v>83490</v>
      </c>
      <c r="T111" s="738" t="str">
        <f t="shared" si="64"/>
        <v>CORNER</v>
      </c>
      <c r="U111" s="738"/>
      <c r="V111" s="738">
        <f t="shared" si="60"/>
        <v>542685</v>
      </c>
      <c r="W111" s="742">
        <f t="shared" si="40"/>
        <v>11300085</v>
      </c>
      <c r="X111" s="742">
        <f t="shared" si="48"/>
        <v>678005.1</v>
      </c>
      <c r="Y111" s="742">
        <f t="shared" si="49"/>
        <v>282502.125</v>
      </c>
      <c r="Z111" s="742">
        <f t="shared" si="61"/>
        <v>1356010.2</v>
      </c>
      <c r="AA111" s="742">
        <f t="shared" si="41"/>
        <v>13616602.424999999</v>
      </c>
      <c r="AB111" s="742">
        <f t="shared" si="42"/>
        <v>142135.72468684759</v>
      </c>
      <c r="AC111" s="739">
        <v>0.25</v>
      </c>
      <c r="AD111" s="742">
        <f t="shared" si="57"/>
        <v>3404150.6062499997</v>
      </c>
      <c r="AE111" s="738">
        <f t="shared" si="58"/>
        <v>50000</v>
      </c>
      <c r="AF111" s="742">
        <f t="shared" si="43"/>
        <v>78003.502470930223</v>
      </c>
      <c r="AG111" s="747">
        <v>43</v>
      </c>
      <c r="AH111" s="742">
        <f t="shared" si="44"/>
        <v>10212451.81875</v>
      </c>
      <c r="AI111" s="738">
        <f t="shared" si="51"/>
        <v>0</v>
      </c>
      <c r="AJ111" s="742">
        <f t="shared" si="50"/>
        <v>-13616602.424999999</v>
      </c>
      <c r="AW111" s="721"/>
      <c r="EV111" s="784">
        <f t="shared" si="45"/>
        <v>117954.95824634656</v>
      </c>
    </row>
    <row r="112" spans="1:152" x14ac:dyDescent="0.2">
      <c r="A112" s="993"/>
      <c r="B112" s="736">
        <v>110</v>
      </c>
      <c r="C112" s="736" t="s">
        <v>236</v>
      </c>
      <c r="D112" s="736" t="s">
        <v>222</v>
      </c>
      <c r="E112" s="736" t="s">
        <v>237</v>
      </c>
      <c r="F112" s="736" t="s">
        <v>121</v>
      </c>
      <c r="G112" s="736" t="s">
        <v>243</v>
      </c>
      <c r="H112" s="736" t="s">
        <v>109</v>
      </c>
      <c r="I112" s="740">
        <f>'[18]Collection Unsold 10.15.21'!G113</f>
        <v>61.03</v>
      </c>
      <c r="J112" s="744">
        <f>'[18]Collection Unsold 10.15.21'!H113</f>
        <v>4.1900000000000004</v>
      </c>
      <c r="K112" s="740">
        <f t="shared" si="59"/>
        <v>65.22</v>
      </c>
      <c r="L112" s="742">
        <f t="shared" si="63"/>
        <v>7575000</v>
      </c>
      <c r="M112" s="746"/>
      <c r="N112" s="736">
        <f t="shared" si="65"/>
        <v>9</v>
      </c>
      <c r="O112" s="738">
        <f t="shared" si="39"/>
        <v>274635</v>
      </c>
      <c r="P112" s="738"/>
      <c r="Q112" s="742"/>
      <c r="R112" s="738"/>
      <c r="S112" s="738"/>
      <c r="T112" s="738" t="str">
        <f t="shared" si="64"/>
        <v>INNER</v>
      </c>
      <c r="U112" s="738"/>
      <c r="V112" s="738">
        <f t="shared" si="60"/>
        <v>274635</v>
      </c>
      <c r="W112" s="742">
        <f t="shared" si="40"/>
        <v>7849635</v>
      </c>
      <c r="X112" s="742">
        <f t="shared" si="48"/>
        <v>470978.1</v>
      </c>
      <c r="Y112" s="742">
        <f t="shared" si="49"/>
        <v>196240.875</v>
      </c>
      <c r="Z112" s="742">
        <f t="shared" si="61"/>
        <v>941956.2</v>
      </c>
      <c r="AA112" s="742">
        <f t="shared" si="41"/>
        <v>9458810.1749999989</v>
      </c>
      <c r="AB112" s="742">
        <f t="shared" si="42"/>
        <v>145029.28817847284</v>
      </c>
      <c r="AC112" s="739">
        <v>0.25</v>
      </c>
      <c r="AD112" s="742">
        <f t="shared" si="57"/>
        <v>2364702.5437499997</v>
      </c>
      <c r="AE112" s="738">
        <f t="shared" si="58"/>
        <v>50000</v>
      </c>
      <c r="AF112" s="742">
        <f t="shared" si="43"/>
        <v>53830.291715116269</v>
      </c>
      <c r="AG112" s="747">
        <v>43</v>
      </c>
      <c r="AH112" s="742">
        <f t="shared" si="44"/>
        <v>7094107.6312499996</v>
      </c>
      <c r="AI112" s="738">
        <f t="shared" si="51"/>
        <v>0</v>
      </c>
      <c r="AJ112" s="742">
        <f t="shared" si="50"/>
        <v>-9458810.1749999989</v>
      </c>
      <c r="AW112" s="721"/>
      <c r="EV112" s="784">
        <f t="shared" si="45"/>
        <v>120356.25574977002</v>
      </c>
    </row>
    <row r="113" spans="1:152" x14ac:dyDescent="0.2">
      <c r="A113" s="993"/>
      <c r="B113" s="736">
        <v>111</v>
      </c>
      <c r="C113" s="736" t="s">
        <v>236</v>
      </c>
      <c r="D113" s="736" t="s">
        <v>222</v>
      </c>
      <c r="E113" s="736" t="s">
        <v>237</v>
      </c>
      <c r="F113" s="736" t="s">
        <v>123</v>
      </c>
      <c r="G113" s="736" t="s">
        <v>244</v>
      </c>
      <c r="H113" s="736" t="s">
        <v>109</v>
      </c>
      <c r="I113" s="740">
        <f>'[18]Collection Unsold 10.15.21'!G114</f>
        <v>94.79</v>
      </c>
      <c r="J113" s="744">
        <f>'[18]Collection Unsold 10.15.21'!H114</f>
        <v>11.260000000000002</v>
      </c>
      <c r="K113" s="740">
        <f t="shared" si="59"/>
        <v>106.05000000000001</v>
      </c>
      <c r="L113" s="742">
        <f t="shared" si="63"/>
        <v>12050400</v>
      </c>
      <c r="M113" s="746"/>
      <c r="N113" s="736">
        <f t="shared" si="65"/>
        <v>9</v>
      </c>
      <c r="O113" s="738">
        <f t="shared" si="39"/>
        <v>426555</v>
      </c>
      <c r="P113" s="738"/>
      <c r="Q113" s="742"/>
      <c r="R113" s="738">
        <f>I113*1000</f>
        <v>94790</v>
      </c>
      <c r="S113" s="738"/>
      <c r="T113" s="738" t="str">
        <f t="shared" si="64"/>
        <v>CORNER</v>
      </c>
      <c r="U113" s="738"/>
      <c r="V113" s="738">
        <f t="shared" si="60"/>
        <v>521345</v>
      </c>
      <c r="W113" s="742">
        <f t="shared" si="40"/>
        <v>12571745</v>
      </c>
      <c r="X113" s="742">
        <f t="shared" si="48"/>
        <v>754304.7</v>
      </c>
      <c r="Y113" s="742">
        <f t="shared" si="49"/>
        <v>314293.625</v>
      </c>
      <c r="Z113" s="742">
        <f t="shared" si="61"/>
        <v>1508609.4</v>
      </c>
      <c r="AA113" s="742">
        <f t="shared" si="41"/>
        <v>15148952.725</v>
      </c>
      <c r="AB113" s="742">
        <f t="shared" si="42"/>
        <v>142847.26756247052</v>
      </c>
      <c r="AC113" s="739">
        <v>0.25</v>
      </c>
      <c r="AD113" s="742">
        <f t="shared" si="57"/>
        <v>3787238.1812499999</v>
      </c>
      <c r="AE113" s="738">
        <f t="shared" si="58"/>
        <v>50000</v>
      </c>
      <c r="AF113" s="742">
        <f t="shared" si="43"/>
        <v>86912.515843023255</v>
      </c>
      <c r="AG113" s="747">
        <v>43</v>
      </c>
      <c r="AH113" s="742">
        <f t="shared" si="44"/>
        <v>11361714.543749999</v>
      </c>
      <c r="AI113" s="738">
        <f t="shared" si="51"/>
        <v>0</v>
      </c>
      <c r="AJ113" s="742">
        <f t="shared" si="50"/>
        <v>-15148952.725</v>
      </c>
      <c r="EV113" s="784">
        <f t="shared" si="45"/>
        <v>118545.45025931163</v>
      </c>
    </row>
    <row r="114" spans="1:152" x14ac:dyDescent="0.2">
      <c r="A114" s="993"/>
      <c r="B114" s="736">
        <v>112</v>
      </c>
      <c r="C114" s="736" t="s">
        <v>236</v>
      </c>
      <c r="D114" s="736" t="s">
        <v>222</v>
      </c>
      <c r="E114" s="736" t="s">
        <v>237</v>
      </c>
      <c r="F114" s="736" t="s">
        <v>125</v>
      </c>
      <c r="G114" s="736" t="s">
        <v>245</v>
      </c>
      <c r="H114" s="736" t="s">
        <v>109</v>
      </c>
      <c r="I114" s="740">
        <f>'[18]Collection Unsold 10.15.21'!G115</f>
        <v>67.790000000000006</v>
      </c>
      <c r="J114" s="744">
        <f>'[18]Collection Unsold 10.15.21'!H115</f>
        <v>4.2</v>
      </c>
      <c r="K114" s="740">
        <f t="shared" si="59"/>
        <v>71.990000000000009</v>
      </c>
      <c r="L114" s="742">
        <f t="shared" si="63"/>
        <v>8386800.0000000009</v>
      </c>
      <c r="M114" s="746"/>
      <c r="N114" s="736">
        <f t="shared" si="65"/>
        <v>9</v>
      </c>
      <c r="O114" s="738">
        <f t="shared" si="39"/>
        <v>305055</v>
      </c>
      <c r="P114" s="738"/>
      <c r="Q114" s="742"/>
      <c r="R114" s="738"/>
      <c r="S114" s="738"/>
      <c r="T114" s="738" t="str">
        <f t="shared" si="64"/>
        <v>INNER</v>
      </c>
      <c r="U114" s="738"/>
      <c r="V114" s="738">
        <f t="shared" si="60"/>
        <v>305055</v>
      </c>
      <c r="W114" s="742">
        <f t="shared" si="40"/>
        <v>8691855</v>
      </c>
      <c r="X114" s="742">
        <f t="shared" si="48"/>
        <v>521511.3</v>
      </c>
      <c r="Y114" s="742">
        <f t="shared" si="49"/>
        <v>217296.375</v>
      </c>
      <c r="Z114" s="742">
        <f t="shared" si="61"/>
        <v>1043022.6</v>
      </c>
      <c r="AA114" s="742">
        <f t="shared" si="41"/>
        <v>10473685.275</v>
      </c>
      <c r="AB114" s="742">
        <f t="shared" si="42"/>
        <v>145488.05771634949</v>
      </c>
      <c r="AC114" s="739">
        <v>0.25</v>
      </c>
      <c r="AD114" s="742">
        <f t="shared" si="57"/>
        <v>2618421.3187500001</v>
      </c>
      <c r="AE114" s="738">
        <f t="shared" si="58"/>
        <v>50000</v>
      </c>
      <c r="AF114" s="742">
        <f t="shared" si="43"/>
        <v>59730.728343023256</v>
      </c>
      <c r="AG114" s="747">
        <v>43</v>
      </c>
      <c r="AH114" s="742">
        <f t="shared" si="44"/>
        <v>7855263.9562500007</v>
      </c>
      <c r="AI114" s="738">
        <f t="shared" si="51"/>
        <v>0</v>
      </c>
      <c r="AJ114" s="742">
        <f t="shared" si="50"/>
        <v>-10473685.275</v>
      </c>
      <c r="EV114" s="784">
        <f t="shared" si="45"/>
        <v>120736.97735796637</v>
      </c>
    </row>
    <row r="115" spans="1:152" x14ac:dyDescent="0.2">
      <c r="A115" s="993"/>
      <c r="B115" s="736">
        <v>113</v>
      </c>
      <c r="C115" s="736" t="s">
        <v>236</v>
      </c>
      <c r="D115" s="736" t="s">
        <v>222</v>
      </c>
      <c r="E115" s="736" t="s">
        <v>237</v>
      </c>
      <c r="F115" s="736" t="s">
        <v>127</v>
      </c>
      <c r="G115" s="736" t="s">
        <v>246</v>
      </c>
      <c r="H115" s="736" t="s">
        <v>109</v>
      </c>
      <c r="I115" s="740">
        <f>'[18]Collection Unsold 10.15.21'!G116</f>
        <v>67.72</v>
      </c>
      <c r="J115" s="744">
        <f>'[18]Collection Unsold 10.15.21'!H116</f>
        <v>4.2</v>
      </c>
      <c r="K115" s="740">
        <f t="shared" si="59"/>
        <v>71.92</v>
      </c>
      <c r="L115" s="742">
        <f t="shared" si="63"/>
        <v>8378400</v>
      </c>
      <c r="M115" s="746"/>
      <c r="N115" s="736">
        <f t="shared" si="65"/>
        <v>9</v>
      </c>
      <c r="O115" s="738">
        <f t="shared" si="39"/>
        <v>304740</v>
      </c>
      <c r="P115" s="738"/>
      <c r="Q115" s="742"/>
      <c r="R115" s="738"/>
      <c r="S115" s="738"/>
      <c r="T115" s="738" t="str">
        <f t="shared" si="64"/>
        <v>INNER</v>
      </c>
      <c r="U115" s="738"/>
      <c r="V115" s="738">
        <f t="shared" si="60"/>
        <v>304740</v>
      </c>
      <c r="W115" s="742">
        <f t="shared" si="40"/>
        <v>8683140</v>
      </c>
      <c r="X115" s="742">
        <f t="shared" si="48"/>
        <v>520988.39999999997</v>
      </c>
      <c r="Y115" s="742">
        <f t="shared" si="49"/>
        <v>217078.5</v>
      </c>
      <c r="Z115" s="742">
        <f t="shared" si="61"/>
        <v>1041976.7999999999</v>
      </c>
      <c r="AA115" s="742">
        <f t="shared" si="41"/>
        <v>10463183.700000001</v>
      </c>
      <c r="AB115" s="742">
        <f t="shared" si="42"/>
        <v>145483.64432703005</v>
      </c>
      <c r="AC115" s="739">
        <v>0.25</v>
      </c>
      <c r="AD115" s="742">
        <f t="shared" si="57"/>
        <v>2615795.9250000003</v>
      </c>
      <c r="AE115" s="738">
        <f t="shared" si="58"/>
        <v>50000</v>
      </c>
      <c r="AF115" s="742">
        <f t="shared" si="43"/>
        <v>59669.672674418609</v>
      </c>
      <c r="AG115" s="747">
        <v>43</v>
      </c>
      <c r="AH115" s="742">
        <f t="shared" si="44"/>
        <v>7847387.7750000004</v>
      </c>
      <c r="AI115" s="738">
        <f t="shared" si="51"/>
        <v>0</v>
      </c>
      <c r="AJ115" s="742">
        <f t="shared" si="50"/>
        <v>-10463183.700000001</v>
      </c>
      <c r="EV115" s="784">
        <f t="shared" si="45"/>
        <v>120733.3147942158</v>
      </c>
    </row>
    <row r="116" spans="1:152" x14ac:dyDescent="0.2">
      <c r="A116" s="993"/>
      <c r="B116" s="736">
        <v>114</v>
      </c>
      <c r="C116" s="736" t="s">
        <v>236</v>
      </c>
      <c r="D116" s="736" t="s">
        <v>222</v>
      </c>
      <c r="E116" s="736" t="s">
        <v>237</v>
      </c>
      <c r="F116" s="736" t="s">
        <v>129</v>
      </c>
      <c r="G116" s="736" t="s">
        <v>247</v>
      </c>
      <c r="H116" s="736" t="s">
        <v>109</v>
      </c>
      <c r="I116" s="740">
        <f>'[18]Collection Unsold 10.15.21'!G117</f>
        <v>67.72</v>
      </c>
      <c r="J116" s="744">
        <f>'[18]Collection Unsold 10.15.21'!H117</f>
        <v>4.2</v>
      </c>
      <c r="K116" s="740">
        <f t="shared" si="59"/>
        <v>71.92</v>
      </c>
      <c r="L116" s="742">
        <f t="shared" si="63"/>
        <v>8378400</v>
      </c>
      <c r="M116" s="746"/>
      <c r="N116" s="736">
        <f t="shared" si="65"/>
        <v>9</v>
      </c>
      <c r="O116" s="738">
        <f t="shared" si="39"/>
        <v>304740</v>
      </c>
      <c r="P116" s="738"/>
      <c r="Q116" s="742"/>
      <c r="R116" s="738"/>
      <c r="S116" s="738"/>
      <c r="T116" s="738" t="str">
        <f t="shared" si="64"/>
        <v>INNER</v>
      </c>
      <c r="U116" s="738"/>
      <c r="V116" s="738">
        <f t="shared" si="60"/>
        <v>304740</v>
      </c>
      <c r="W116" s="742">
        <f t="shared" si="40"/>
        <v>8683140</v>
      </c>
      <c r="X116" s="742">
        <f t="shared" si="48"/>
        <v>520988.39999999997</v>
      </c>
      <c r="Y116" s="742">
        <f t="shared" si="49"/>
        <v>217078.5</v>
      </c>
      <c r="Z116" s="742">
        <f t="shared" si="61"/>
        <v>1041976.7999999999</v>
      </c>
      <c r="AA116" s="742">
        <f t="shared" si="41"/>
        <v>10463183.700000001</v>
      </c>
      <c r="AB116" s="742">
        <f t="shared" si="42"/>
        <v>145483.64432703005</v>
      </c>
      <c r="AC116" s="739">
        <v>0.25</v>
      </c>
      <c r="AD116" s="742">
        <f t="shared" si="57"/>
        <v>2615795.9250000003</v>
      </c>
      <c r="AE116" s="738">
        <f t="shared" si="58"/>
        <v>50000</v>
      </c>
      <c r="AF116" s="742">
        <f t="shared" si="43"/>
        <v>59669.672674418609</v>
      </c>
      <c r="AG116" s="747">
        <v>43</v>
      </c>
      <c r="AH116" s="742">
        <f t="shared" si="44"/>
        <v>7847387.7750000004</v>
      </c>
      <c r="AI116" s="738">
        <f t="shared" si="51"/>
        <v>0</v>
      </c>
      <c r="AJ116" s="742">
        <f t="shared" si="50"/>
        <v>-10463183.700000001</v>
      </c>
      <c r="EV116" s="784">
        <f t="shared" si="45"/>
        <v>120733.3147942158</v>
      </c>
    </row>
    <row r="117" spans="1:152" x14ac:dyDescent="0.2">
      <c r="A117" s="993"/>
      <c r="B117" s="736">
        <v>115</v>
      </c>
      <c r="C117" s="736" t="s">
        <v>236</v>
      </c>
      <c r="D117" s="736" t="s">
        <v>222</v>
      </c>
      <c r="E117" s="736" t="s">
        <v>237</v>
      </c>
      <c r="F117" s="736" t="s">
        <v>131</v>
      </c>
      <c r="G117" s="736" t="s">
        <v>248</v>
      </c>
      <c r="H117" s="736" t="s">
        <v>109</v>
      </c>
      <c r="I117" s="740">
        <f>'[18]Collection Unsold 10.15.21'!G118</f>
        <v>67.72</v>
      </c>
      <c r="J117" s="744">
        <f>'[18]Collection Unsold 10.15.21'!H118</f>
        <v>4.2</v>
      </c>
      <c r="K117" s="740">
        <f t="shared" si="59"/>
        <v>71.92</v>
      </c>
      <c r="L117" s="742">
        <f t="shared" si="63"/>
        <v>8378400</v>
      </c>
      <c r="M117" s="746"/>
      <c r="N117" s="736">
        <f t="shared" si="65"/>
        <v>9</v>
      </c>
      <c r="O117" s="738">
        <f t="shared" si="39"/>
        <v>304740</v>
      </c>
      <c r="P117" s="738"/>
      <c r="Q117" s="742"/>
      <c r="R117" s="738"/>
      <c r="S117" s="738"/>
      <c r="T117" s="738" t="str">
        <f t="shared" si="64"/>
        <v>INNER</v>
      </c>
      <c r="U117" s="738"/>
      <c r="V117" s="738">
        <f t="shared" si="60"/>
        <v>304740</v>
      </c>
      <c r="W117" s="742">
        <f t="shared" si="40"/>
        <v>8683140</v>
      </c>
      <c r="X117" s="742">
        <f t="shared" si="48"/>
        <v>520988.39999999997</v>
      </c>
      <c r="Y117" s="742">
        <f t="shared" si="49"/>
        <v>217078.5</v>
      </c>
      <c r="Z117" s="742">
        <f t="shared" si="61"/>
        <v>1041976.7999999999</v>
      </c>
      <c r="AA117" s="742">
        <f t="shared" si="41"/>
        <v>10463183.700000001</v>
      </c>
      <c r="AB117" s="742">
        <f t="shared" si="42"/>
        <v>145483.64432703005</v>
      </c>
      <c r="AC117" s="739">
        <v>0.25</v>
      </c>
      <c r="AD117" s="742">
        <f t="shared" si="57"/>
        <v>2615795.9250000003</v>
      </c>
      <c r="AE117" s="738">
        <f t="shared" si="58"/>
        <v>50000</v>
      </c>
      <c r="AF117" s="742">
        <f t="shared" si="43"/>
        <v>59669.672674418609</v>
      </c>
      <c r="AG117" s="747">
        <v>43</v>
      </c>
      <c r="AH117" s="742">
        <f t="shared" si="44"/>
        <v>7847387.7750000004</v>
      </c>
      <c r="AI117" s="738">
        <f t="shared" si="51"/>
        <v>0</v>
      </c>
      <c r="AJ117" s="742">
        <f t="shared" si="50"/>
        <v>-10463183.700000001</v>
      </c>
      <c r="EV117" s="784">
        <f t="shared" si="45"/>
        <v>120733.3147942158</v>
      </c>
    </row>
    <row r="118" spans="1:152" x14ac:dyDescent="0.2">
      <c r="A118" s="993"/>
      <c r="B118" s="736">
        <v>116</v>
      </c>
      <c r="C118" s="736" t="s">
        <v>236</v>
      </c>
      <c r="D118" s="736" t="s">
        <v>222</v>
      </c>
      <c r="E118" s="736" t="s">
        <v>237</v>
      </c>
      <c r="F118" s="736" t="s">
        <v>133</v>
      </c>
      <c r="G118" s="736" t="s">
        <v>249</v>
      </c>
      <c r="H118" s="736" t="s">
        <v>109</v>
      </c>
      <c r="I118" s="740">
        <f>'[18]Collection Unsold 10.15.21'!G119</f>
        <v>86.15</v>
      </c>
      <c r="J118" s="744">
        <f>'[18]Collection Unsold 10.15.21'!H119</f>
        <v>12.66</v>
      </c>
      <c r="K118" s="740">
        <f t="shared" si="59"/>
        <v>98.81</v>
      </c>
      <c r="L118" s="742">
        <f t="shared" si="63"/>
        <v>11097600</v>
      </c>
      <c r="M118" s="746"/>
      <c r="N118" s="736">
        <f t="shared" si="65"/>
        <v>9</v>
      </c>
      <c r="O118" s="738">
        <f t="shared" si="39"/>
        <v>387675</v>
      </c>
      <c r="P118" s="738"/>
      <c r="Q118" s="742"/>
      <c r="R118" s="738">
        <f>I118*1000</f>
        <v>86150</v>
      </c>
      <c r="S118" s="738"/>
      <c r="T118" s="738" t="str">
        <f t="shared" si="64"/>
        <v>CORNER</v>
      </c>
      <c r="U118" s="738"/>
      <c r="V118" s="738">
        <f t="shared" si="60"/>
        <v>473825</v>
      </c>
      <c r="W118" s="742">
        <f t="shared" si="40"/>
        <v>11571425</v>
      </c>
      <c r="X118" s="742">
        <f t="shared" si="48"/>
        <v>694285.5</v>
      </c>
      <c r="Y118" s="742">
        <f t="shared" si="49"/>
        <v>289285.625</v>
      </c>
      <c r="Z118" s="742">
        <f t="shared" si="61"/>
        <v>1388571</v>
      </c>
      <c r="AA118" s="742">
        <f t="shared" si="41"/>
        <v>13943567.125</v>
      </c>
      <c r="AB118" s="742">
        <f t="shared" si="42"/>
        <v>141114.93902439025</v>
      </c>
      <c r="AC118" s="739">
        <v>0.25</v>
      </c>
      <c r="AD118" s="742">
        <f t="shared" si="57"/>
        <v>3485891.78125</v>
      </c>
      <c r="AE118" s="738">
        <f t="shared" si="58"/>
        <v>50000</v>
      </c>
      <c r="AF118" s="742">
        <f t="shared" si="43"/>
        <v>79904.460029069771</v>
      </c>
      <c r="AG118" s="747">
        <v>43</v>
      </c>
      <c r="AH118" s="742">
        <f t="shared" si="44"/>
        <v>10457675.34375</v>
      </c>
      <c r="AI118" s="738">
        <f t="shared" si="51"/>
        <v>0</v>
      </c>
      <c r="AJ118" s="742">
        <f t="shared" si="50"/>
        <v>-13943567.125</v>
      </c>
      <c r="EV118" s="784">
        <f t="shared" si="45"/>
        <v>117107.83321526161</v>
      </c>
    </row>
    <row r="119" spans="1:152" x14ac:dyDescent="0.2">
      <c r="A119" s="993"/>
      <c r="B119" s="736">
        <v>117</v>
      </c>
      <c r="C119" s="736" t="s">
        <v>135</v>
      </c>
      <c r="D119" s="736" t="s">
        <v>222</v>
      </c>
      <c r="E119" s="736" t="s">
        <v>237</v>
      </c>
      <c r="F119" s="736" t="s">
        <v>136</v>
      </c>
      <c r="G119" s="736" t="s">
        <v>250</v>
      </c>
      <c r="H119" s="736" t="s">
        <v>109</v>
      </c>
      <c r="I119" s="740">
        <f>'[18]Collection Unsold 10.15.21'!G120</f>
        <v>53.53</v>
      </c>
      <c r="J119" s="744">
        <f>'[18]Collection Unsold 10.15.21'!H120</f>
        <v>4.18</v>
      </c>
      <c r="K119" s="740">
        <f t="shared" si="59"/>
        <v>57.71</v>
      </c>
      <c r="L119" s="742">
        <f t="shared" si="63"/>
        <v>6674400</v>
      </c>
      <c r="M119" s="746"/>
      <c r="N119" s="736">
        <f t="shared" si="65"/>
        <v>9</v>
      </c>
      <c r="O119" s="738">
        <f t="shared" si="39"/>
        <v>240885</v>
      </c>
      <c r="P119" s="738"/>
      <c r="Q119" s="742"/>
      <c r="R119" s="738"/>
      <c r="S119" s="738"/>
      <c r="T119" s="738" t="str">
        <f t="shared" si="64"/>
        <v>INNER</v>
      </c>
      <c r="U119" s="738"/>
      <c r="V119" s="738">
        <f t="shared" si="60"/>
        <v>240885</v>
      </c>
      <c r="W119" s="742">
        <f t="shared" si="40"/>
        <v>6915285</v>
      </c>
      <c r="X119" s="742">
        <f t="shared" si="48"/>
        <v>414917.1</v>
      </c>
      <c r="Y119" s="742">
        <f t="shared" si="49"/>
        <v>172882.125</v>
      </c>
      <c r="Z119" s="742">
        <f t="shared" si="61"/>
        <v>829834.2</v>
      </c>
      <c r="AA119" s="742">
        <f t="shared" si="41"/>
        <v>8332918.4249999998</v>
      </c>
      <c r="AB119" s="742">
        <f t="shared" si="42"/>
        <v>144392.97218852886</v>
      </c>
      <c r="AC119" s="739">
        <v>0.25</v>
      </c>
      <c r="AD119" s="742">
        <f t="shared" si="57"/>
        <v>2083229.60625</v>
      </c>
      <c r="AE119" s="738">
        <f t="shared" si="58"/>
        <v>50000</v>
      </c>
      <c r="AF119" s="742">
        <f t="shared" si="43"/>
        <v>47284.409447674414</v>
      </c>
      <c r="AG119" s="747">
        <v>43</v>
      </c>
      <c r="AH119" s="742">
        <f t="shared" si="44"/>
        <v>6249688.8187499996</v>
      </c>
      <c r="AI119" s="738">
        <f t="shared" si="51"/>
        <v>0</v>
      </c>
      <c r="AJ119" s="742">
        <f t="shared" si="50"/>
        <v>-8332918.4249999998</v>
      </c>
      <c r="EV119" s="784">
        <f t="shared" si="45"/>
        <v>119828.19268757581</v>
      </c>
    </row>
    <row r="120" spans="1:152" x14ac:dyDescent="0.2">
      <c r="A120" s="993">
        <v>14</v>
      </c>
      <c r="B120" s="736">
        <v>118</v>
      </c>
      <c r="C120" s="736" t="s">
        <v>236</v>
      </c>
      <c r="D120" s="736" t="s">
        <v>251</v>
      </c>
      <c r="E120" s="736" t="s">
        <v>252</v>
      </c>
      <c r="F120" s="736" t="s">
        <v>107</v>
      </c>
      <c r="G120" s="736" t="s">
        <v>253</v>
      </c>
      <c r="H120" s="736" t="s">
        <v>109</v>
      </c>
      <c r="I120" s="740">
        <f>'[18]Collection Unsold 10.15.21'!G121</f>
        <v>98.5</v>
      </c>
      <c r="J120" s="744">
        <f>'[18]Collection Unsold 10.15.21'!H121</f>
        <v>10.46</v>
      </c>
      <c r="K120" s="740">
        <f t="shared" si="59"/>
        <v>108.96000000000001</v>
      </c>
      <c r="L120" s="742">
        <f t="shared" ref="L120:L132" si="66">L3</f>
        <v>12447600</v>
      </c>
      <c r="M120" s="746"/>
      <c r="N120" s="736">
        <v>10</v>
      </c>
      <c r="O120" s="738">
        <f t="shared" si="39"/>
        <v>492500</v>
      </c>
      <c r="P120" s="738"/>
      <c r="Q120" s="742"/>
      <c r="R120" s="738">
        <f>I120*1000</f>
        <v>98500</v>
      </c>
      <c r="S120" s="738">
        <f>I120*1000</f>
        <v>98500</v>
      </c>
      <c r="T120" s="738" t="str">
        <f t="shared" ref="T120:T132" si="67">T3</f>
        <v>CORNER</v>
      </c>
      <c r="U120" s="738"/>
      <c r="V120" s="738">
        <f t="shared" si="60"/>
        <v>689500</v>
      </c>
      <c r="W120" s="742">
        <f t="shared" si="40"/>
        <v>13137100</v>
      </c>
      <c r="X120" s="742">
        <f t="shared" si="48"/>
        <v>788226</v>
      </c>
      <c r="Y120" s="742">
        <f t="shared" si="49"/>
        <v>328427.5</v>
      </c>
      <c r="Z120" s="742">
        <f t="shared" si="61"/>
        <v>1576452</v>
      </c>
      <c r="AA120" s="742">
        <f t="shared" si="41"/>
        <v>15830205.5</v>
      </c>
      <c r="AB120" s="742">
        <f t="shared" si="42"/>
        <v>145284.55855359763</v>
      </c>
      <c r="AC120" s="739">
        <v>0.25</v>
      </c>
      <c r="AD120" s="742">
        <f t="shared" si="57"/>
        <v>3957551.375</v>
      </c>
      <c r="AE120" s="738">
        <f t="shared" si="58"/>
        <v>50000</v>
      </c>
      <c r="AF120" s="742">
        <f t="shared" si="43"/>
        <v>90873.287790697679</v>
      </c>
      <c r="AG120" s="747">
        <v>43</v>
      </c>
      <c r="AH120" s="742">
        <f t="shared" si="44"/>
        <v>11872654.125</v>
      </c>
      <c r="AI120" s="738">
        <f t="shared" si="51"/>
        <v>0</v>
      </c>
      <c r="AJ120" s="742">
        <f t="shared" si="50"/>
        <v>-15830205.5</v>
      </c>
      <c r="EV120" s="784">
        <f t="shared" si="45"/>
        <v>120568.09838472834</v>
      </c>
    </row>
    <row r="121" spans="1:152" x14ac:dyDescent="0.2">
      <c r="A121" s="993"/>
      <c r="B121" s="736">
        <v>119</v>
      </c>
      <c r="C121" s="736" t="s">
        <v>236</v>
      </c>
      <c r="D121" s="736" t="s">
        <v>251</v>
      </c>
      <c r="E121" s="736" t="s">
        <v>252</v>
      </c>
      <c r="F121" s="736" t="s">
        <v>111</v>
      </c>
      <c r="G121" s="736" t="s">
        <v>254</v>
      </c>
      <c r="H121" s="736" t="s">
        <v>113</v>
      </c>
      <c r="I121" s="740">
        <f>'[18]Collection Unsold 10.15.21'!G122</f>
        <v>51.02</v>
      </c>
      <c r="J121" s="744">
        <f>'[18]Collection Unsold 10.15.21'!H122</f>
        <v>5.36</v>
      </c>
      <c r="K121" s="740">
        <f t="shared" si="59"/>
        <v>56.38</v>
      </c>
      <c r="L121" s="742">
        <f t="shared" si="66"/>
        <v>6444000</v>
      </c>
      <c r="M121" s="746"/>
      <c r="N121" s="736">
        <f t="shared" ref="N121:N132" si="68">$N$120</f>
        <v>10</v>
      </c>
      <c r="O121" s="738">
        <f t="shared" si="39"/>
        <v>255100.00000000003</v>
      </c>
      <c r="P121" s="738"/>
      <c r="Q121" s="742"/>
      <c r="R121" s="738"/>
      <c r="S121" s="738">
        <f>I121*1000</f>
        <v>51020</v>
      </c>
      <c r="T121" s="738" t="str">
        <f t="shared" si="67"/>
        <v>INNER</v>
      </c>
      <c r="U121" s="738"/>
      <c r="V121" s="738">
        <f t="shared" si="60"/>
        <v>306120</v>
      </c>
      <c r="W121" s="742">
        <f t="shared" si="40"/>
        <v>6750120</v>
      </c>
      <c r="X121" s="742">
        <f t="shared" si="48"/>
        <v>405007.2</v>
      </c>
      <c r="Y121" s="742">
        <f t="shared" si="49"/>
        <v>168753</v>
      </c>
      <c r="Z121" s="742">
        <f t="shared" si="61"/>
        <v>810014.4</v>
      </c>
      <c r="AA121" s="742">
        <f t="shared" si="41"/>
        <v>8133894.6000000006</v>
      </c>
      <c r="AB121" s="742">
        <f t="shared" si="42"/>
        <v>144269.14863426748</v>
      </c>
      <c r="AC121" s="739">
        <v>0.25</v>
      </c>
      <c r="AD121" s="742">
        <f t="shared" si="57"/>
        <v>2033473.6500000001</v>
      </c>
      <c r="AE121" s="738">
        <f t="shared" si="58"/>
        <v>50000</v>
      </c>
      <c r="AF121" s="742">
        <f t="shared" si="43"/>
        <v>46127.294186046514</v>
      </c>
      <c r="AG121" s="747">
        <v>43</v>
      </c>
      <c r="AH121" s="742">
        <f t="shared" si="44"/>
        <v>6100420.9500000002</v>
      </c>
      <c r="AI121" s="738">
        <f t="shared" si="51"/>
        <v>0</v>
      </c>
      <c r="AJ121" s="742">
        <f t="shared" si="50"/>
        <v>-8133894.6000000006</v>
      </c>
      <c r="AX121" s="721"/>
      <c r="EV121" s="784">
        <f t="shared" si="45"/>
        <v>119725.43455125931</v>
      </c>
    </row>
    <row r="122" spans="1:152" x14ac:dyDescent="0.2">
      <c r="A122" s="993"/>
      <c r="B122" s="736">
        <v>120</v>
      </c>
      <c r="C122" s="736" t="s">
        <v>236</v>
      </c>
      <c r="D122" s="736" t="s">
        <v>251</v>
      </c>
      <c r="E122" s="736" t="s">
        <v>252</v>
      </c>
      <c r="F122" s="736" t="s">
        <v>115</v>
      </c>
      <c r="G122" s="736" t="s">
        <v>255</v>
      </c>
      <c r="H122" s="736" t="s">
        <v>109</v>
      </c>
      <c r="I122" s="740">
        <f>'[18]Collection Unsold 10.15.21'!G123</f>
        <v>55.62</v>
      </c>
      <c r="J122" s="744">
        <f>'[18]Collection Unsold 10.15.21'!H123</f>
        <v>5.37</v>
      </c>
      <c r="K122" s="740">
        <f t="shared" si="59"/>
        <v>60.989999999999995</v>
      </c>
      <c r="L122" s="742">
        <f t="shared" si="66"/>
        <v>6996600</v>
      </c>
      <c r="M122" s="746"/>
      <c r="N122" s="736">
        <f t="shared" si="68"/>
        <v>10</v>
      </c>
      <c r="O122" s="738">
        <f t="shared" si="39"/>
        <v>278099.99999999994</v>
      </c>
      <c r="P122" s="738"/>
      <c r="Q122" s="742"/>
      <c r="R122" s="738"/>
      <c r="S122" s="738">
        <f>I122*1000</f>
        <v>55620</v>
      </c>
      <c r="T122" s="738" t="str">
        <f t="shared" si="67"/>
        <v>INNER</v>
      </c>
      <c r="U122" s="738"/>
      <c r="V122" s="738">
        <f t="shared" si="60"/>
        <v>333719.99999999994</v>
      </c>
      <c r="W122" s="742">
        <f t="shared" si="40"/>
        <v>7330320</v>
      </c>
      <c r="X122" s="742">
        <f t="shared" si="48"/>
        <v>439819.2</v>
      </c>
      <c r="Y122" s="742">
        <f t="shared" si="49"/>
        <v>183258</v>
      </c>
      <c r="Z122" s="742">
        <f t="shared" si="61"/>
        <v>879638.4</v>
      </c>
      <c r="AA122" s="742">
        <f t="shared" si="41"/>
        <v>8833035.5999999996</v>
      </c>
      <c r="AB122" s="742">
        <f t="shared" si="42"/>
        <v>144827.60452533202</v>
      </c>
      <c r="AC122" s="739">
        <v>0.25</v>
      </c>
      <c r="AD122" s="742">
        <f t="shared" si="57"/>
        <v>2208258.9</v>
      </c>
      <c r="AE122" s="738">
        <f t="shared" si="58"/>
        <v>50000</v>
      </c>
      <c r="AF122" s="742">
        <f t="shared" si="43"/>
        <v>50192.067441860461</v>
      </c>
      <c r="AG122" s="747">
        <v>43</v>
      </c>
      <c r="AH122" s="742">
        <f t="shared" si="44"/>
        <v>6624776.6999999993</v>
      </c>
      <c r="AI122" s="738">
        <f t="shared" si="51"/>
        <v>0</v>
      </c>
      <c r="AJ122" s="742">
        <f t="shared" si="50"/>
        <v>-8833035.5999999996</v>
      </c>
      <c r="AX122" s="721"/>
      <c r="EV122" s="784">
        <f t="shared" si="45"/>
        <v>120188.88342351206</v>
      </c>
    </row>
    <row r="123" spans="1:152" x14ac:dyDescent="0.2">
      <c r="A123" s="993"/>
      <c r="B123" s="736">
        <v>121</v>
      </c>
      <c r="C123" s="736" t="s">
        <v>236</v>
      </c>
      <c r="D123" s="736" t="s">
        <v>251</v>
      </c>
      <c r="E123" s="736" t="s">
        <v>252</v>
      </c>
      <c r="F123" s="736" t="s">
        <v>117</v>
      </c>
      <c r="G123" s="736" t="s">
        <v>256</v>
      </c>
      <c r="H123" s="736" t="s">
        <v>109</v>
      </c>
      <c r="I123" s="740">
        <f>'[18]Collection Unsold 10.15.21'!G124</f>
        <v>60.78</v>
      </c>
      <c r="J123" s="744">
        <f>'[18]Collection Unsold 10.15.21'!H124</f>
        <v>5.15</v>
      </c>
      <c r="K123" s="740">
        <f t="shared" si="59"/>
        <v>65.930000000000007</v>
      </c>
      <c r="L123" s="742">
        <f t="shared" si="66"/>
        <v>7602600</v>
      </c>
      <c r="M123" s="746"/>
      <c r="N123" s="736">
        <f t="shared" si="68"/>
        <v>10</v>
      </c>
      <c r="O123" s="738">
        <f t="shared" si="39"/>
        <v>303900</v>
      </c>
      <c r="P123" s="738"/>
      <c r="Q123" s="742"/>
      <c r="R123" s="738"/>
      <c r="S123" s="738">
        <f>I123*1000</f>
        <v>60780</v>
      </c>
      <c r="T123" s="738" t="str">
        <f t="shared" si="67"/>
        <v>INNER</v>
      </c>
      <c r="U123" s="738"/>
      <c r="V123" s="738">
        <f t="shared" si="60"/>
        <v>364680</v>
      </c>
      <c r="W123" s="742">
        <f t="shared" si="40"/>
        <v>7967280</v>
      </c>
      <c r="X123" s="742">
        <f t="shared" si="48"/>
        <v>478036.8</v>
      </c>
      <c r="Y123" s="742">
        <f t="shared" si="49"/>
        <v>199182</v>
      </c>
      <c r="Z123" s="742">
        <f t="shared" si="61"/>
        <v>956073.6</v>
      </c>
      <c r="AA123" s="742">
        <f t="shared" si="41"/>
        <v>9600572.4000000004</v>
      </c>
      <c r="AB123" s="742">
        <f t="shared" si="42"/>
        <v>145617.66115577126</v>
      </c>
      <c r="AC123" s="739">
        <v>0.25</v>
      </c>
      <c r="AD123" s="742">
        <f t="shared" si="57"/>
        <v>2400143.1</v>
      </c>
      <c r="AE123" s="738">
        <f t="shared" si="58"/>
        <v>50000</v>
      </c>
      <c r="AF123" s="742">
        <f t="shared" si="43"/>
        <v>54654.490697674424</v>
      </c>
      <c r="AG123" s="747">
        <v>43</v>
      </c>
      <c r="AH123" s="742">
        <f t="shared" si="44"/>
        <v>7200429.3000000007</v>
      </c>
      <c r="AI123" s="738">
        <f t="shared" si="51"/>
        <v>0</v>
      </c>
      <c r="AJ123" s="742">
        <f t="shared" si="50"/>
        <v>-9600572.4000000004</v>
      </c>
      <c r="AX123" s="721"/>
      <c r="EV123" s="784">
        <f t="shared" si="45"/>
        <v>120844.53207947822</v>
      </c>
    </row>
    <row r="124" spans="1:152" x14ac:dyDescent="0.2">
      <c r="A124" s="993"/>
      <c r="B124" s="736">
        <v>122</v>
      </c>
      <c r="C124" s="736" t="s">
        <v>236</v>
      </c>
      <c r="D124" s="736" t="s">
        <v>251</v>
      </c>
      <c r="E124" s="736" t="s">
        <v>252</v>
      </c>
      <c r="F124" s="736" t="s">
        <v>119</v>
      </c>
      <c r="G124" s="736" t="s">
        <v>257</v>
      </c>
      <c r="H124" s="736" t="s">
        <v>109</v>
      </c>
      <c r="I124" s="740">
        <f>'[18]Collection Unsold 10.15.21'!G125</f>
        <v>83.49</v>
      </c>
      <c r="J124" s="744">
        <f>'[18]Collection Unsold 10.15.21'!H125</f>
        <v>12.309999999999999</v>
      </c>
      <c r="K124" s="740">
        <f t="shared" si="59"/>
        <v>95.8</v>
      </c>
      <c r="L124" s="742">
        <f t="shared" si="66"/>
        <v>10757400</v>
      </c>
      <c r="M124" s="746"/>
      <c r="N124" s="736">
        <f t="shared" si="68"/>
        <v>10</v>
      </c>
      <c r="O124" s="738">
        <f t="shared" si="39"/>
        <v>417450</v>
      </c>
      <c r="P124" s="738"/>
      <c r="Q124" s="742"/>
      <c r="R124" s="738">
        <f>I124*1000</f>
        <v>83490</v>
      </c>
      <c r="S124" s="738">
        <f>I124*1000</f>
        <v>83490</v>
      </c>
      <c r="T124" s="738" t="str">
        <f t="shared" si="67"/>
        <v>CORNER</v>
      </c>
      <c r="U124" s="738"/>
      <c r="V124" s="738">
        <f t="shared" si="60"/>
        <v>584430</v>
      </c>
      <c r="W124" s="742">
        <f t="shared" si="40"/>
        <v>11341830</v>
      </c>
      <c r="X124" s="742">
        <f t="shared" si="48"/>
        <v>680509.79999999993</v>
      </c>
      <c r="Y124" s="742">
        <f t="shared" si="49"/>
        <v>283545.75</v>
      </c>
      <c r="Z124" s="742">
        <f t="shared" si="61"/>
        <v>1361019.5999999999</v>
      </c>
      <c r="AA124" s="742">
        <f t="shared" si="41"/>
        <v>13666905.15</v>
      </c>
      <c r="AB124" s="742">
        <f t="shared" si="42"/>
        <v>142660.80532359082</v>
      </c>
      <c r="AC124" s="739">
        <v>0.25</v>
      </c>
      <c r="AD124" s="742">
        <f t="shared" si="57"/>
        <v>3416726.2875000001</v>
      </c>
      <c r="AE124" s="738">
        <f t="shared" si="58"/>
        <v>50000</v>
      </c>
      <c r="AF124" s="742">
        <f t="shared" si="43"/>
        <v>78295.960174418607</v>
      </c>
      <c r="AG124" s="747">
        <v>43</v>
      </c>
      <c r="AH124" s="742">
        <f t="shared" si="44"/>
        <v>10250178.862500001</v>
      </c>
      <c r="AI124" s="738">
        <f t="shared" si="51"/>
        <v>0</v>
      </c>
      <c r="AJ124" s="742">
        <f t="shared" si="50"/>
        <v>-13666905.15</v>
      </c>
      <c r="AX124" s="721"/>
      <c r="EV124" s="784">
        <f t="shared" si="45"/>
        <v>118390.70981210856</v>
      </c>
    </row>
    <row r="125" spans="1:152" x14ac:dyDescent="0.2">
      <c r="A125" s="993"/>
      <c r="B125" s="736">
        <v>123</v>
      </c>
      <c r="C125" s="736" t="s">
        <v>236</v>
      </c>
      <c r="D125" s="736" t="s">
        <v>251</v>
      </c>
      <c r="E125" s="736" t="s">
        <v>252</v>
      </c>
      <c r="F125" s="736" t="s">
        <v>121</v>
      </c>
      <c r="G125" s="736" t="s">
        <v>258</v>
      </c>
      <c r="H125" s="736" t="s">
        <v>109</v>
      </c>
      <c r="I125" s="740">
        <f>'[18]Collection Unsold 10.15.21'!G126</f>
        <v>61.03</v>
      </c>
      <c r="J125" s="744">
        <f>'[18]Collection Unsold 10.15.21'!H126</f>
        <v>4.1900000000000004</v>
      </c>
      <c r="K125" s="740">
        <f t="shared" si="59"/>
        <v>65.22</v>
      </c>
      <c r="L125" s="742">
        <f t="shared" si="66"/>
        <v>7575000</v>
      </c>
      <c r="M125" s="746"/>
      <c r="N125" s="736">
        <f t="shared" si="68"/>
        <v>10</v>
      </c>
      <c r="O125" s="738">
        <f t="shared" si="39"/>
        <v>305150</v>
      </c>
      <c r="P125" s="738"/>
      <c r="Q125" s="742"/>
      <c r="R125" s="738"/>
      <c r="S125" s="738"/>
      <c r="T125" s="738" t="str">
        <f t="shared" si="67"/>
        <v>INNER</v>
      </c>
      <c r="U125" s="738"/>
      <c r="V125" s="738">
        <f t="shared" si="60"/>
        <v>305150</v>
      </c>
      <c r="W125" s="742">
        <f t="shared" si="40"/>
        <v>7880150</v>
      </c>
      <c r="X125" s="742">
        <f t="shared" si="48"/>
        <v>472809</v>
      </c>
      <c r="Y125" s="742">
        <f t="shared" si="49"/>
        <v>197003.75</v>
      </c>
      <c r="Z125" s="742">
        <f t="shared" si="61"/>
        <v>945618</v>
      </c>
      <c r="AA125" s="742">
        <f>(W125+X125+Y125+Z125)</f>
        <v>9495580.75</v>
      </c>
      <c r="AB125" s="742">
        <f t="shared" si="42"/>
        <v>145593.08111008894</v>
      </c>
      <c r="AC125" s="739">
        <v>0.25</v>
      </c>
      <c r="AD125" s="742">
        <f t="shared" si="57"/>
        <v>2373895.1875</v>
      </c>
      <c r="AE125" s="738">
        <f t="shared" si="58"/>
        <v>50000</v>
      </c>
      <c r="AF125" s="742">
        <f t="shared" si="43"/>
        <v>54044.074127906977</v>
      </c>
      <c r="AG125" s="747">
        <v>43</v>
      </c>
      <c r="AH125" s="742">
        <f t="shared" si="44"/>
        <v>7121685.5625</v>
      </c>
      <c r="AI125" s="738">
        <f t="shared" si="51"/>
        <v>0</v>
      </c>
      <c r="AJ125" s="742">
        <f t="shared" si="50"/>
        <v>-9495580.75</v>
      </c>
      <c r="AX125" s="721"/>
      <c r="EV125" s="784">
        <f t="shared" si="45"/>
        <v>120824.13370131861</v>
      </c>
    </row>
    <row r="126" spans="1:152" x14ac:dyDescent="0.2">
      <c r="A126" s="993"/>
      <c r="B126" s="736">
        <v>124</v>
      </c>
      <c r="C126" s="736" t="s">
        <v>236</v>
      </c>
      <c r="D126" s="736" t="s">
        <v>251</v>
      </c>
      <c r="E126" s="736" t="s">
        <v>252</v>
      </c>
      <c r="F126" s="736" t="s">
        <v>123</v>
      </c>
      <c r="G126" s="736" t="s">
        <v>259</v>
      </c>
      <c r="H126" s="736" t="s">
        <v>109</v>
      </c>
      <c r="I126" s="740">
        <f>'[18]Collection Unsold 10.15.21'!G127</f>
        <v>94.79</v>
      </c>
      <c r="J126" s="744">
        <f>'[18]Collection Unsold 10.15.21'!H127</f>
        <v>11.260000000000002</v>
      </c>
      <c r="K126" s="740">
        <f t="shared" si="59"/>
        <v>106.05000000000001</v>
      </c>
      <c r="L126" s="742">
        <f t="shared" si="66"/>
        <v>12050400</v>
      </c>
      <c r="M126" s="746"/>
      <c r="N126" s="736">
        <f t="shared" si="68"/>
        <v>10</v>
      </c>
      <c r="O126" s="738">
        <f t="shared" si="39"/>
        <v>473950.00000000006</v>
      </c>
      <c r="P126" s="738"/>
      <c r="Q126" s="742"/>
      <c r="R126" s="738">
        <f>I126*1000</f>
        <v>94790</v>
      </c>
      <c r="S126" s="738"/>
      <c r="T126" s="738" t="str">
        <f t="shared" si="67"/>
        <v>CORNER</v>
      </c>
      <c r="U126" s="738"/>
      <c r="V126" s="738">
        <f t="shared" si="60"/>
        <v>568740</v>
      </c>
      <c r="W126" s="742">
        <f t="shared" si="40"/>
        <v>12619140</v>
      </c>
      <c r="X126" s="742">
        <f t="shared" si="48"/>
        <v>757148.4</v>
      </c>
      <c r="Y126" s="742">
        <f t="shared" si="49"/>
        <v>315478.5</v>
      </c>
      <c r="Z126" s="742">
        <f t="shared" si="61"/>
        <v>1514296.8</v>
      </c>
      <c r="AA126" s="742">
        <f t="shared" ref="AA126:AA132" si="69">W126+X126+Y126+Z126</f>
        <v>15206063.700000001</v>
      </c>
      <c r="AB126" s="742">
        <f t="shared" si="42"/>
        <v>143385.79632248939</v>
      </c>
      <c r="AC126" s="739">
        <v>0.25</v>
      </c>
      <c r="AD126" s="742">
        <f t="shared" si="57"/>
        <v>3801515.9250000003</v>
      </c>
      <c r="AE126" s="738">
        <f t="shared" si="58"/>
        <v>50000</v>
      </c>
      <c r="AF126" s="742">
        <f t="shared" si="43"/>
        <v>87244.556395348845</v>
      </c>
      <c r="AG126" s="747">
        <v>43</v>
      </c>
      <c r="AH126" s="742">
        <f t="shared" si="44"/>
        <v>11404547.775</v>
      </c>
      <c r="AI126" s="738">
        <f t="shared" si="51"/>
        <v>0</v>
      </c>
      <c r="AJ126" s="742">
        <f t="shared" si="50"/>
        <v>-15206063.700000001</v>
      </c>
      <c r="AX126" s="721"/>
      <c r="EV126" s="784">
        <f t="shared" si="45"/>
        <v>118992.36209335217</v>
      </c>
    </row>
    <row r="127" spans="1:152" x14ac:dyDescent="0.2">
      <c r="A127" s="993"/>
      <c r="B127" s="736">
        <v>125</v>
      </c>
      <c r="C127" s="736" t="s">
        <v>236</v>
      </c>
      <c r="D127" s="736" t="s">
        <v>251</v>
      </c>
      <c r="E127" s="736" t="s">
        <v>252</v>
      </c>
      <c r="F127" s="736" t="s">
        <v>125</v>
      </c>
      <c r="G127" s="736" t="s">
        <v>260</v>
      </c>
      <c r="H127" s="736" t="s">
        <v>109</v>
      </c>
      <c r="I127" s="740">
        <f>'[18]Collection Unsold 10.15.21'!G128</f>
        <v>67.790000000000006</v>
      </c>
      <c r="J127" s="744">
        <f>'[18]Collection Unsold 10.15.21'!H128</f>
        <v>4.2</v>
      </c>
      <c r="K127" s="740">
        <f t="shared" si="59"/>
        <v>71.990000000000009</v>
      </c>
      <c r="L127" s="742">
        <f t="shared" si="66"/>
        <v>8386800.0000000009</v>
      </c>
      <c r="M127" s="746"/>
      <c r="N127" s="736">
        <f t="shared" si="68"/>
        <v>10</v>
      </c>
      <c r="O127" s="738">
        <f t="shared" si="39"/>
        <v>338950.00000000006</v>
      </c>
      <c r="P127" s="738"/>
      <c r="Q127" s="742"/>
      <c r="R127" s="738"/>
      <c r="S127" s="738"/>
      <c r="T127" s="738" t="str">
        <f t="shared" si="67"/>
        <v>INNER</v>
      </c>
      <c r="U127" s="738"/>
      <c r="V127" s="738">
        <f t="shared" si="60"/>
        <v>338950.00000000006</v>
      </c>
      <c r="W127" s="742">
        <f t="shared" si="40"/>
        <v>8725750.0000000019</v>
      </c>
      <c r="X127" s="742">
        <f t="shared" si="48"/>
        <v>523545.00000000012</v>
      </c>
      <c r="Y127" s="742">
        <f t="shared" si="49"/>
        <v>218143.75000000006</v>
      </c>
      <c r="Z127" s="742">
        <f t="shared" si="61"/>
        <v>1047090.0000000002</v>
      </c>
      <c r="AA127" s="742">
        <f t="shared" si="69"/>
        <v>10514528.750000002</v>
      </c>
      <c r="AB127" s="742">
        <f t="shared" si="42"/>
        <v>146055.40700097237</v>
      </c>
      <c r="AC127" s="739">
        <v>0.25</v>
      </c>
      <c r="AD127" s="742">
        <f t="shared" si="57"/>
        <v>2628632.1875000005</v>
      </c>
      <c r="AE127" s="738">
        <f t="shared" si="58"/>
        <v>50000</v>
      </c>
      <c r="AF127" s="742">
        <f t="shared" si="43"/>
        <v>59968.190406976755</v>
      </c>
      <c r="AG127" s="747">
        <v>43</v>
      </c>
      <c r="AH127" s="742">
        <f t="shared" si="44"/>
        <v>7885896.5625000019</v>
      </c>
      <c r="AI127" s="738">
        <f t="shared" si="51"/>
        <v>0</v>
      </c>
      <c r="AJ127" s="742">
        <f t="shared" si="50"/>
        <v>-10514528.750000002</v>
      </c>
      <c r="AX127" s="721"/>
      <c r="EV127" s="784">
        <f t="shared" si="45"/>
        <v>121207.8066398111</v>
      </c>
    </row>
    <row r="128" spans="1:152" x14ac:dyDescent="0.2">
      <c r="A128" s="993"/>
      <c r="B128" s="736">
        <v>126</v>
      </c>
      <c r="C128" s="736" t="s">
        <v>236</v>
      </c>
      <c r="D128" s="736" t="s">
        <v>251</v>
      </c>
      <c r="E128" s="736" t="s">
        <v>252</v>
      </c>
      <c r="F128" s="736" t="s">
        <v>127</v>
      </c>
      <c r="G128" s="736" t="s">
        <v>261</v>
      </c>
      <c r="H128" s="736" t="s">
        <v>109</v>
      </c>
      <c r="I128" s="740">
        <f>'[18]Collection Unsold 10.15.21'!G129</f>
        <v>67.72</v>
      </c>
      <c r="J128" s="744">
        <f>'[18]Collection Unsold 10.15.21'!H129</f>
        <v>4.2</v>
      </c>
      <c r="K128" s="740">
        <f t="shared" si="59"/>
        <v>71.92</v>
      </c>
      <c r="L128" s="742">
        <f t="shared" si="66"/>
        <v>8378400</v>
      </c>
      <c r="M128" s="746"/>
      <c r="N128" s="736">
        <f t="shared" si="68"/>
        <v>10</v>
      </c>
      <c r="O128" s="738">
        <f t="shared" si="39"/>
        <v>338600</v>
      </c>
      <c r="P128" s="738"/>
      <c r="Q128" s="742"/>
      <c r="R128" s="738"/>
      <c r="S128" s="738"/>
      <c r="T128" s="738" t="str">
        <f t="shared" si="67"/>
        <v>INNER</v>
      </c>
      <c r="U128" s="738"/>
      <c r="V128" s="738">
        <f t="shared" si="60"/>
        <v>338600</v>
      </c>
      <c r="W128" s="742">
        <f t="shared" si="40"/>
        <v>8717000</v>
      </c>
      <c r="X128" s="742">
        <f t="shared" si="48"/>
        <v>523020</v>
      </c>
      <c r="Y128" s="742">
        <f t="shared" si="49"/>
        <v>217925</v>
      </c>
      <c r="Z128" s="742">
        <f t="shared" si="61"/>
        <v>1046040</v>
      </c>
      <c r="AA128" s="742">
        <f t="shared" si="69"/>
        <v>10503985</v>
      </c>
      <c r="AB128" s="742">
        <f t="shared" si="42"/>
        <v>146050.95939933258</v>
      </c>
      <c r="AC128" s="739">
        <v>0.25</v>
      </c>
      <c r="AD128" s="742">
        <f t="shared" si="57"/>
        <v>2625996.25</v>
      </c>
      <c r="AE128" s="738">
        <f t="shared" si="58"/>
        <v>50000</v>
      </c>
      <c r="AF128" s="742">
        <f t="shared" si="43"/>
        <v>59906.889534883718</v>
      </c>
      <c r="AG128" s="747">
        <v>43</v>
      </c>
      <c r="AH128" s="742">
        <f t="shared" si="44"/>
        <v>7877988.75</v>
      </c>
      <c r="AI128" s="738">
        <f t="shared" si="51"/>
        <v>0</v>
      </c>
      <c r="AJ128" s="742">
        <f t="shared" si="50"/>
        <v>-10503985</v>
      </c>
      <c r="AX128" s="721"/>
      <c r="EV128" s="784">
        <f t="shared" si="45"/>
        <v>121204.11568409343</v>
      </c>
    </row>
    <row r="129" spans="1:152" x14ac:dyDescent="0.2">
      <c r="A129" s="993"/>
      <c r="B129" s="736">
        <v>127</v>
      </c>
      <c r="C129" s="736" t="s">
        <v>236</v>
      </c>
      <c r="D129" s="736" t="s">
        <v>251</v>
      </c>
      <c r="E129" s="736" t="s">
        <v>252</v>
      </c>
      <c r="F129" s="736" t="s">
        <v>129</v>
      </c>
      <c r="G129" s="736" t="s">
        <v>262</v>
      </c>
      <c r="H129" s="736" t="s">
        <v>109</v>
      </c>
      <c r="I129" s="740">
        <f>'[18]Collection Unsold 10.15.21'!G130</f>
        <v>67.72</v>
      </c>
      <c r="J129" s="744">
        <f>'[18]Collection Unsold 10.15.21'!H130</f>
        <v>4.2</v>
      </c>
      <c r="K129" s="740">
        <f t="shared" si="59"/>
        <v>71.92</v>
      </c>
      <c r="L129" s="742">
        <f t="shared" si="66"/>
        <v>8378400</v>
      </c>
      <c r="M129" s="746"/>
      <c r="N129" s="736">
        <f t="shared" si="68"/>
        <v>10</v>
      </c>
      <c r="O129" s="738">
        <f t="shared" si="39"/>
        <v>338600</v>
      </c>
      <c r="P129" s="738"/>
      <c r="Q129" s="742"/>
      <c r="R129" s="738"/>
      <c r="S129" s="738"/>
      <c r="T129" s="738" t="str">
        <f t="shared" si="67"/>
        <v>INNER</v>
      </c>
      <c r="U129" s="738"/>
      <c r="V129" s="738">
        <f t="shared" si="60"/>
        <v>338600</v>
      </c>
      <c r="W129" s="742">
        <f t="shared" si="40"/>
        <v>8717000</v>
      </c>
      <c r="X129" s="742">
        <f t="shared" si="48"/>
        <v>523020</v>
      </c>
      <c r="Y129" s="742">
        <f t="shared" si="49"/>
        <v>217925</v>
      </c>
      <c r="Z129" s="742">
        <f t="shared" si="61"/>
        <v>1046040</v>
      </c>
      <c r="AA129" s="742">
        <f t="shared" si="69"/>
        <v>10503985</v>
      </c>
      <c r="AB129" s="742">
        <f t="shared" si="42"/>
        <v>146050.95939933258</v>
      </c>
      <c r="AC129" s="739">
        <v>0.25</v>
      </c>
      <c r="AD129" s="742">
        <f t="shared" si="57"/>
        <v>2625996.25</v>
      </c>
      <c r="AE129" s="738">
        <f t="shared" si="58"/>
        <v>50000</v>
      </c>
      <c r="AF129" s="742">
        <f t="shared" si="43"/>
        <v>59906.889534883718</v>
      </c>
      <c r="AG129" s="747">
        <v>43</v>
      </c>
      <c r="AH129" s="742">
        <f t="shared" si="44"/>
        <v>7877988.75</v>
      </c>
      <c r="AI129" s="738">
        <f t="shared" si="51"/>
        <v>0</v>
      </c>
      <c r="AJ129" s="742">
        <f t="shared" si="50"/>
        <v>-10503985</v>
      </c>
      <c r="AX129" s="721"/>
      <c r="EV129" s="784">
        <f t="shared" si="45"/>
        <v>121204.11568409343</v>
      </c>
    </row>
    <row r="130" spans="1:152" x14ac:dyDescent="0.2">
      <c r="A130" s="993"/>
      <c r="B130" s="736">
        <v>128</v>
      </c>
      <c r="C130" s="736" t="s">
        <v>236</v>
      </c>
      <c r="D130" s="736" t="s">
        <v>251</v>
      </c>
      <c r="E130" s="736" t="s">
        <v>252</v>
      </c>
      <c r="F130" s="736" t="s">
        <v>131</v>
      </c>
      <c r="G130" s="736" t="s">
        <v>263</v>
      </c>
      <c r="H130" s="736" t="s">
        <v>109</v>
      </c>
      <c r="I130" s="740">
        <f>'[18]Collection Unsold 10.15.21'!G131</f>
        <v>67.72</v>
      </c>
      <c r="J130" s="744">
        <f>'[18]Collection Unsold 10.15.21'!H131</f>
        <v>4.2</v>
      </c>
      <c r="K130" s="740">
        <f t="shared" si="59"/>
        <v>71.92</v>
      </c>
      <c r="L130" s="742">
        <f t="shared" si="66"/>
        <v>8378400</v>
      </c>
      <c r="M130" s="746"/>
      <c r="N130" s="736">
        <f t="shared" si="68"/>
        <v>10</v>
      </c>
      <c r="O130" s="738">
        <f t="shared" si="39"/>
        <v>338600</v>
      </c>
      <c r="P130" s="738"/>
      <c r="Q130" s="742"/>
      <c r="R130" s="738"/>
      <c r="S130" s="738"/>
      <c r="T130" s="738" t="str">
        <f t="shared" si="67"/>
        <v>INNER</v>
      </c>
      <c r="U130" s="738"/>
      <c r="V130" s="738">
        <f t="shared" si="60"/>
        <v>338600</v>
      </c>
      <c r="W130" s="742">
        <f t="shared" si="40"/>
        <v>8717000</v>
      </c>
      <c r="X130" s="742">
        <f t="shared" si="48"/>
        <v>523020</v>
      </c>
      <c r="Y130" s="742">
        <f t="shared" si="49"/>
        <v>217925</v>
      </c>
      <c r="Z130" s="742">
        <f t="shared" si="61"/>
        <v>1046040</v>
      </c>
      <c r="AA130" s="742">
        <f t="shared" si="69"/>
        <v>10503985</v>
      </c>
      <c r="AB130" s="742">
        <f t="shared" si="42"/>
        <v>146050.95939933258</v>
      </c>
      <c r="AC130" s="739">
        <v>0.25</v>
      </c>
      <c r="AD130" s="742">
        <f t="shared" si="57"/>
        <v>2625996.25</v>
      </c>
      <c r="AE130" s="738">
        <f t="shared" si="58"/>
        <v>50000</v>
      </c>
      <c r="AF130" s="742">
        <f t="shared" si="43"/>
        <v>59906.889534883718</v>
      </c>
      <c r="AG130" s="747">
        <v>43</v>
      </c>
      <c r="AH130" s="742">
        <f t="shared" si="44"/>
        <v>7877988.75</v>
      </c>
      <c r="AI130" s="738">
        <f t="shared" si="51"/>
        <v>0</v>
      </c>
      <c r="AJ130" s="742">
        <f t="shared" si="50"/>
        <v>-10503985</v>
      </c>
      <c r="AX130" s="721"/>
      <c r="EV130" s="784">
        <f t="shared" si="45"/>
        <v>121204.11568409343</v>
      </c>
    </row>
    <row r="131" spans="1:152" x14ac:dyDescent="0.2">
      <c r="A131" s="993"/>
      <c r="B131" s="736">
        <v>129</v>
      </c>
      <c r="C131" s="736" t="s">
        <v>236</v>
      </c>
      <c r="D131" s="736" t="s">
        <v>251</v>
      </c>
      <c r="E131" s="736" t="s">
        <v>252</v>
      </c>
      <c r="F131" s="736" t="s">
        <v>133</v>
      </c>
      <c r="G131" s="736" t="s">
        <v>264</v>
      </c>
      <c r="H131" s="736" t="s">
        <v>109</v>
      </c>
      <c r="I131" s="740">
        <f>'[18]Collection Unsold 10.15.21'!G132</f>
        <v>86.15</v>
      </c>
      <c r="J131" s="744">
        <f>'[18]Collection Unsold 10.15.21'!H132</f>
        <v>12.66</v>
      </c>
      <c r="K131" s="740">
        <f t="shared" si="59"/>
        <v>98.81</v>
      </c>
      <c r="L131" s="742">
        <f t="shared" si="66"/>
        <v>11097600</v>
      </c>
      <c r="M131" s="746"/>
      <c r="N131" s="736">
        <f t="shared" si="68"/>
        <v>10</v>
      </c>
      <c r="O131" s="738">
        <f t="shared" ref="O131:O132" si="70">I131*N131*500</f>
        <v>430750</v>
      </c>
      <c r="P131" s="738"/>
      <c r="Q131" s="742"/>
      <c r="R131" s="738">
        <f>I131*1000</f>
        <v>86150</v>
      </c>
      <c r="S131" s="738">
        <f>I131*1000</f>
        <v>86150</v>
      </c>
      <c r="T131" s="738" t="str">
        <f t="shared" si="67"/>
        <v>CORNER</v>
      </c>
      <c r="U131" s="738"/>
      <c r="V131" s="738">
        <f t="shared" si="60"/>
        <v>603050</v>
      </c>
      <c r="W131" s="742">
        <f t="shared" ref="W131:W132" si="71">L131-M131+V131</f>
        <v>11700650</v>
      </c>
      <c r="X131" s="742">
        <f t="shared" si="48"/>
        <v>702039</v>
      </c>
      <c r="Y131" s="742">
        <f t="shared" si="49"/>
        <v>292516.25</v>
      </c>
      <c r="Z131" s="742">
        <f t="shared" si="61"/>
        <v>1404078</v>
      </c>
      <c r="AA131" s="742">
        <f t="shared" si="69"/>
        <v>14099283.25</v>
      </c>
      <c r="AB131" s="742">
        <f t="shared" ref="AB131:AB132" si="72">AA131/K131</f>
        <v>142690.85365853659</v>
      </c>
      <c r="AC131" s="739">
        <v>0.25</v>
      </c>
      <c r="AD131" s="742">
        <f t="shared" si="57"/>
        <v>3524820.8125</v>
      </c>
      <c r="AE131" s="738">
        <f t="shared" si="58"/>
        <v>50000</v>
      </c>
      <c r="AF131" s="742">
        <f t="shared" ref="AF131:AF132" si="73">(AD131-AE131)/(AG131)</f>
        <v>80809.786337209298</v>
      </c>
      <c r="AG131" s="747">
        <v>43</v>
      </c>
      <c r="AH131" s="742">
        <f t="shared" ref="AH131:AH132" si="74">AA131-AD131</f>
        <v>10574462.4375</v>
      </c>
      <c r="AI131" s="738">
        <f t="shared" si="51"/>
        <v>0</v>
      </c>
      <c r="AJ131" s="742">
        <f t="shared" si="50"/>
        <v>-14099283.25</v>
      </c>
      <c r="AX131" s="721"/>
      <c r="EV131" s="784">
        <f t="shared" ref="EV131:EV132" si="75">W131/K131</f>
        <v>118415.64618965691</v>
      </c>
    </row>
    <row r="132" spans="1:152" x14ac:dyDescent="0.2">
      <c r="A132" s="993"/>
      <c r="B132" s="736">
        <v>130</v>
      </c>
      <c r="C132" s="736" t="s">
        <v>135</v>
      </c>
      <c r="D132" s="736" t="s">
        <v>251</v>
      </c>
      <c r="E132" s="736" t="s">
        <v>252</v>
      </c>
      <c r="F132" s="736" t="s">
        <v>136</v>
      </c>
      <c r="G132" s="736" t="s">
        <v>265</v>
      </c>
      <c r="H132" s="736" t="s">
        <v>109</v>
      </c>
      <c r="I132" s="740">
        <f>'[18]Collection Unsold 10.15.21'!G133</f>
        <v>53.53</v>
      </c>
      <c r="J132" s="744">
        <f>'[18]Collection Unsold 10.15.21'!H133</f>
        <v>4.18</v>
      </c>
      <c r="K132" s="740">
        <f t="shared" si="59"/>
        <v>57.71</v>
      </c>
      <c r="L132" s="742">
        <f t="shared" si="66"/>
        <v>6674400</v>
      </c>
      <c r="M132" s="746"/>
      <c r="N132" s="736">
        <f t="shared" si="68"/>
        <v>10</v>
      </c>
      <c r="O132" s="738">
        <f t="shared" si="70"/>
        <v>267650</v>
      </c>
      <c r="P132" s="738"/>
      <c r="Q132" s="742"/>
      <c r="R132" s="738"/>
      <c r="S132" s="738">
        <f>I132*1000</f>
        <v>53530</v>
      </c>
      <c r="T132" s="738" t="str">
        <f t="shared" si="67"/>
        <v>INNER</v>
      </c>
      <c r="U132" s="738"/>
      <c r="V132" s="738">
        <f t="shared" si="60"/>
        <v>321180</v>
      </c>
      <c r="W132" s="742">
        <f t="shared" si="71"/>
        <v>6995580</v>
      </c>
      <c r="X132" s="742">
        <f t="shared" ref="X132" si="76">W132*6%</f>
        <v>419734.8</v>
      </c>
      <c r="Y132" s="742">
        <f t="shared" ref="Y132" si="77">W132*2.5%</f>
        <v>174889.5</v>
      </c>
      <c r="Z132" s="742">
        <f t="shared" si="61"/>
        <v>839469.6</v>
      </c>
      <c r="AA132" s="742">
        <f t="shared" si="69"/>
        <v>8429673.9000000004</v>
      </c>
      <c r="AB132" s="742">
        <f t="shared" si="72"/>
        <v>146069.5529370993</v>
      </c>
      <c r="AC132" s="739">
        <v>0.25</v>
      </c>
      <c r="AD132" s="742">
        <f t="shared" si="57"/>
        <v>2107418.4750000001</v>
      </c>
      <c r="AE132" s="738">
        <f t="shared" si="58"/>
        <v>50000</v>
      </c>
      <c r="AF132" s="742">
        <f t="shared" si="73"/>
        <v>47846.941279069768</v>
      </c>
      <c r="AG132" s="747">
        <v>43</v>
      </c>
      <c r="AH132" s="742">
        <f t="shared" si="74"/>
        <v>6322255.4250000007</v>
      </c>
      <c r="AI132" s="738">
        <f t="shared" si="51"/>
        <v>0</v>
      </c>
      <c r="AJ132" s="742">
        <f t="shared" ref="AJ132" si="78">AI132-AA132</f>
        <v>-8429673.9000000004</v>
      </c>
      <c r="AX132" s="721"/>
      <c r="EV132" s="784">
        <f t="shared" si="75"/>
        <v>121219.54600589152</v>
      </c>
    </row>
    <row r="133" spans="1:152" s="730" customFormat="1" x14ac:dyDescent="0.2">
      <c r="A133" s="730" t="s">
        <v>266</v>
      </c>
      <c r="B133" s="731"/>
      <c r="C133" s="731"/>
      <c r="D133" s="731"/>
      <c r="E133" s="731"/>
      <c r="F133" s="731"/>
      <c r="G133" s="731"/>
      <c r="H133" s="731"/>
      <c r="I133" s="731"/>
      <c r="J133" s="731"/>
      <c r="K133" s="731"/>
      <c r="L133" s="732">
        <f>SUM(L3:L132)</f>
        <v>1151676000</v>
      </c>
      <c r="M133" s="732">
        <f>SUM(M3:M132)</f>
        <v>0</v>
      </c>
      <c r="N133" s="732">
        <f t="shared" ref="N133:S133" si="79">SUM(N3:N132)</f>
        <v>715</v>
      </c>
      <c r="O133" s="732">
        <f t="shared" si="79"/>
        <v>25186150</v>
      </c>
      <c r="P133" s="732">
        <f t="shared" si="79"/>
        <v>1831720</v>
      </c>
      <c r="Q133" s="732">
        <f t="shared" si="79"/>
        <v>0</v>
      </c>
      <c r="R133" s="732">
        <f t="shared" si="79"/>
        <v>3629300</v>
      </c>
      <c r="S133" s="732">
        <f t="shared" si="79"/>
        <v>4471860</v>
      </c>
      <c r="T133" s="733"/>
      <c r="U133" s="733"/>
      <c r="V133" s="732">
        <f>SUM(V3:V132)</f>
        <v>35119030</v>
      </c>
      <c r="W133" s="732">
        <f t="shared" ref="W133:AJ133" si="80">SUM(W3:W132)</f>
        <v>1186795030</v>
      </c>
      <c r="X133" s="732">
        <f t="shared" si="80"/>
        <v>71207701.800000012</v>
      </c>
      <c r="Y133" s="732">
        <f t="shared" si="80"/>
        <v>29669875.75</v>
      </c>
      <c r="Z133" s="732">
        <f t="shared" si="80"/>
        <v>142415403.60000002</v>
      </c>
      <c r="AA133" s="732">
        <f t="shared" si="80"/>
        <v>1430088011.1500003</v>
      </c>
      <c r="AB133" s="732">
        <f t="shared" si="80"/>
        <v>18545367.569727708</v>
      </c>
      <c r="AC133" s="732">
        <f t="shared" si="80"/>
        <v>32.5</v>
      </c>
      <c r="AD133" s="732">
        <f t="shared" si="80"/>
        <v>357522002.78750008</v>
      </c>
      <c r="AE133" s="732">
        <f t="shared" si="80"/>
        <v>6500000</v>
      </c>
      <c r="AF133" s="732">
        <f t="shared" si="80"/>
        <v>8163302.3904069765</v>
      </c>
      <c r="AG133" s="732">
        <f t="shared" si="80"/>
        <v>5590</v>
      </c>
      <c r="AH133" s="732">
        <f t="shared" si="80"/>
        <v>1072566008.3625001</v>
      </c>
      <c r="AI133" s="732">
        <f t="shared" si="80"/>
        <v>0</v>
      </c>
      <c r="AJ133" s="732">
        <f t="shared" si="80"/>
        <v>-1430088011.1500003</v>
      </c>
      <c r="AK133" s="733"/>
      <c r="AL133" s="733"/>
      <c r="AM133" s="733"/>
      <c r="AN133" s="733"/>
      <c r="AO133" s="733"/>
      <c r="AP133" s="733"/>
      <c r="AQ133" s="733"/>
      <c r="AR133" s="733"/>
      <c r="AS133" s="733"/>
      <c r="AT133" s="733"/>
      <c r="AU133" s="733"/>
      <c r="AV133" s="733"/>
      <c r="AW133" s="733"/>
      <c r="AX133" s="733"/>
      <c r="AY133" s="733"/>
      <c r="AZ133" s="733"/>
      <c r="BA133" s="733"/>
      <c r="BB133" s="733"/>
      <c r="BC133" s="733"/>
      <c r="BD133" s="733"/>
      <c r="BE133" s="733"/>
      <c r="BF133" s="733"/>
      <c r="BG133" s="733"/>
      <c r="BH133" s="733"/>
      <c r="BI133" s="733"/>
      <c r="BJ133" s="733"/>
      <c r="BK133" s="733"/>
      <c r="BL133" s="733"/>
      <c r="BM133" s="733"/>
      <c r="BN133" s="733"/>
      <c r="BO133" s="733"/>
      <c r="BP133" s="733"/>
      <c r="BQ133" s="733"/>
      <c r="BR133" s="733"/>
      <c r="BS133" s="733"/>
      <c r="BT133" s="733"/>
      <c r="BU133" s="733"/>
      <c r="BV133" s="733"/>
      <c r="BW133" s="733"/>
      <c r="BX133" s="733"/>
      <c r="BY133" s="733"/>
      <c r="BZ133" s="733"/>
      <c r="CA133" s="733"/>
      <c r="CB133" s="733"/>
      <c r="CC133" s="733"/>
      <c r="CD133" s="733"/>
      <c r="CE133" s="733"/>
    </row>
    <row r="134" spans="1:152" x14ac:dyDescent="0.2">
      <c r="V134" s="723">
        <f>V133*1.225</f>
        <v>43020811.75</v>
      </c>
      <c r="W134" s="726">
        <f>W133+W311</f>
        <v>1257025430</v>
      </c>
      <c r="X134" s="726">
        <f t="shared" ref="X134:AH134" si="81">X133+X311</f>
        <v>75421525.800000012</v>
      </c>
      <c r="Y134" s="726">
        <f t="shared" si="81"/>
        <v>31425635.75</v>
      </c>
      <c r="Z134" s="726">
        <f t="shared" si="81"/>
        <v>150843051.60000002</v>
      </c>
      <c r="AA134" s="726">
        <f t="shared" si="81"/>
        <v>1514715643.1500003</v>
      </c>
      <c r="AB134" s="726">
        <f t="shared" si="81"/>
        <v>18545367.569727708</v>
      </c>
      <c r="AC134" s="726">
        <f t="shared" si="81"/>
        <v>32.5</v>
      </c>
      <c r="AD134" s="726">
        <f t="shared" si="81"/>
        <v>391373055.5875001</v>
      </c>
      <c r="AE134" s="726">
        <f t="shared" si="81"/>
        <v>7300000</v>
      </c>
      <c r="AF134" s="726">
        <f t="shared" si="81"/>
        <v>8931931.5252906978</v>
      </c>
      <c r="AG134" s="726">
        <f t="shared" si="81"/>
        <v>5590</v>
      </c>
      <c r="AH134" s="726">
        <f t="shared" si="81"/>
        <v>1123342587.5625</v>
      </c>
      <c r="AI134" s="723">
        <f>SUM(AK134:ES134)</f>
        <v>0</v>
      </c>
      <c r="AJ134" s="726">
        <f>AI134-AE133</f>
        <v>-6500000</v>
      </c>
    </row>
    <row r="135" spans="1:152" x14ac:dyDescent="0.2">
      <c r="Y135" s="726">
        <f>Y134+X134</f>
        <v>106847161.55000001</v>
      </c>
      <c r="AA135" s="726"/>
      <c r="AB135" s="726"/>
      <c r="AH135" s="723"/>
      <c r="AI135" s="723">
        <f>SUM(AK135:CE135)</f>
        <v>0</v>
      </c>
      <c r="AJ135" s="726">
        <f>AI135-AD133</f>
        <v>-357522002.78750008</v>
      </c>
    </row>
    <row r="136" spans="1:152" x14ac:dyDescent="0.2">
      <c r="AI136" s="723">
        <f>SUM(AK136:ES136)</f>
        <v>0</v>
      </c>
      <c r="AJ136" s="726">
        <f>AI136-AH133</f>
        <v>-1072566008.3625001</v>
      </c>
    </row>
    <row r="137" spans="1:152" x14ac:dyDescent="0.2">
      <c r="AI137" s="723">
        <f>SUM(AK137:ES137)</f>
        <v>0</v>
      </c>
      <c r="AJ137" s="726">
        <f>AI137-(SUM(X133:Z133))</f>
        <v>-243292981.15000004</v>
      </c>
    </row>
    <row r="138" spans="1:152" hidden="1" x14ac:dyDescent="0.2">
      <c r="AI138" s="723"/>
      <c r="AJ138" s="726"/>
    </row>
    <row r="139" spans="1:152" hidden="1" x14ac:dyDescent="0.2"/>
    <row r="140" spans="1:152" s="722" customFormat="1" hidden="1" x14ac:dyDescent="0.2">
      <c r="A140" s="722" t="s">
        <v>267</v>
      </c>
      <c r="B140" s="722" t="s">
        <v>73</v>
      </c>
      <c r="D140" s="722" t="s">
        <v>75</v>
      </c>
      <c r="E140" s="722" t="s">
        <v>76</v>
      </c>
      <c r="F140" s="722" t="s">
        <v>77</v>
      </c>
      <c r="G140" s="722" t="s">
        <v>78</v>
      </c>
      <c r="H140" s="722" t="s">
        <v>79</v>
      </c>
      <c r="I140" s="722" t="s">
        <v>80</v>
      </c>
      <c r="J140" s="722" t="s">
        <v>81</v>
      </c>
      <c r="K140" s="722" t="s">
        <v>32</v>
      </c>
      <c r="L140" s="722" t="s">
        <v>37</v>
      </c>
      <c r="M140" s="722" t="s">
        <v>82</v>
      </c>
      <c r="N140" s="722" t="s">
        <v>83</v>
      </c>
      <c r="O140" s="723" t="s">
        <v>84</v>
      </c>
      <c r="P140" s="723" t="s">
        <v>85</v>
      </c>
      <c r="Q140" s="722" t="s">
        <v>268</v>
      </c>
      <c r="R140" s="723" t="s">
        <v>87</v>
      </c>
      <c r="S140" s="723" t="s">
        <v>88</v>
      </c>
      <c r="T140" s="723"/>
      <c r="U140" s="723"/>
      <c r="V140" s="723" t="s">
        <v>91</v>
      </c>
      <c r="W140" s="722" t="s">
        <v>92</v>
      </c>
      <c r="X140" s="722" t="s">
        <v>93</v>
      </c>
      <c r="Y140" s="722" t="s">
        <v>94</v>
      </c>
      <c r="Z140" s="722" t="s">
        <v>95</v>
      </c>
      <c r="AA140" s="722" t="s">
        <v>96</v>
      </c>
      <c r="AC140" s="724"/>
      <c r="AD140" s="722" t="s">
        <v>42</v>
      </c>
      <c r="AE140" s="723" t="s">
        <v>99</v>
      </c>
      <c r="AF140" s="722" t="s">
        <v>100</v>
      </c>
      <c r="AG140" s="725" t="s">
        <v>46</v>
      </c>
      <c r="AH140" s="722" t="s">
        <v>48</v>
      </c>
      <c r="AI140" s="722" t="s">
        <v>101</v>
      </c>
      <c r="AJ140" s="722" t="s">
        <v>102</v>
      </c>
      <c r="AK140" s="728"/>
      <c r="AL140" s="728"/>
      <c r="AM140" s="728"/>
      <c r="AN140" s="728"/>
      <c r="AO140" s="728"/>
      <c r="AP140" s="728"/>
      <c r="AQ140" s="728"/>
      <c r="AR140" s="728"/>
      <c r="AS140" s="728"/>
      <c r="AT140" s="728"/>
      <c r="AU140" s="728"/>
      <c r="AV140" s="728"/>
      <c r="AW140" s="728"/>
      <c r="AX140" s="728"/>
      <c r="AY140" s="728"/>
      <c r="AZ140" s="728"/>
      <c r="BA140" s="728"/>
      <c r="BB140" s="728"/>
      <c r="BC140" s="728"/>
      <c r="BD140" s="728"/>
      <c r="BE140" s="728"/>
      <c r="BF140" s="728"/>
      <c r="BG140" s="728"/>
      <c r="BH140" s="728"/>
      <c r="BI140" s="728"/>
      <c r="BJ140" s="728"/>
      <c r="BK140" s="728"/>
      <c r="BL140" s="728"/>
      <c r="BM140" s="728"/>
      <c r="BN140" s="728"/>
      <c r="BO140" s="728"/>
      <c r="BP140" s="728"/>
      <c r="BQ140" s="728"/>
      <c r="BR140" s="728"/>
      <c r="BS140" s="728"/>
      <c r="BT140" s="728"/>
      <c r="BU140" s="728"/>
      <c r="BV140" s="728"/>
      <c r="BW140" s="728"/>
      <c r="BX140" s="728"/>
      <c r="BY140" s="728"/>
      <c r="BZ140" s="728"/>
      <c r="CA140" s="728"/>
      <c r="CB140" s="728"/>
      <c r="CC140" s="728"/>
      <c r="CD140" s="728"/>
      <c r="CE140" s="728"/>
      <c r="CF140" s="728"/>
      <c r="CG140" s="728"/>
      <c r="CH140" s="728"/>
      <c r="CI140" s="728"/>
      <c r="CJ140" s="728"/>
      <c r="CK140" s="728"/>
      <c r="CL140" s="728"/>
      <c r="CM140" s="728"/>
      <c r="CN140" s="728"/>
      <c r="CO140" s="728"/>
      <c r="CP140" s="728"/>
      <c r="CQ140" s="728">
        <v>46235</v>
      </c>
      <c r="CR140" s="728">
        <v>46266</v>
      </c>
      <c r="CS140" s="728">
        <v>46296</v>
      </c>
      <c r="CT140" s="728">
        <v>46327</v>
      </c>
      <c r="CU140" s="728">
        <v>46357</v>
      </c>
      <c r="CV140" s="728">
        <v>46388</v>
      </c>
      <c r="CW140" s="728">
        <v>46419</v>
      </c>
      <c r="CX140" s="728">
        <v>46447</v>
      </c>
      <c r="CY140" s="728">
        <v>46478</v>
      </c>
      <c r="CZ140" s="728">
        <v>46508</v>
      </c>
      <c r="DA140" s="728">
        <v>46539</v>
      </c>
      <c r="DB140" s="728">
        <v>46569</v>
      </c>
      <c r="DC140" s="728">
        <v>46600</v>
      </c>
      <c r="DD140" s="728">
        <v>46631</v>
      </c>
      <c r="DE140" s="728">
        <v>46661</v>
      </c>
      <c r="DF140" s="728">
        <v>46692</v>
      </c>
      <c r="DG140" s="728">
        <v>46722</v>
      </c>
      <c r="DH140" s="728">
        <v>46753</v>
      </c>
      <c r="DI140" s="728">
        <v>46784</v>
      </c>
      <c r="DJ140" s="728">
        <v>46813</v>
      </c>
      <c r="DK140" s="728">
        <v>46844</v>
      </c>
      <c r="DL140" s="728">
        <v>46874</v>
      </c>
      <c r="DM140" s="728">
        <v>46905</v>
      </c>
      <c r="DN140" s="728">
        <v>46935</v>
      </c>
      <c r="DO140" s="728">
        <v>46966</v>
      </c>
      <c r="DP140" s="728">
        <v>46997</v>
      </c>
      <c r="DQ140" s="728">
        <v>47027</v>
      </c>
      <c r="DR140" s="728">
        <v>47058</v>
      </c>
      <c r="DS140" s="728">
        <v>47088</v>
      </c>
      <c r="DT140" s="728">
        <v>47119</v>
      </c>
      <c r="DU140" s="728">
        <v>47150</v>
      </c>
      <c r="DV140" s="728">
        <v>47178</v>
      </c>
      <c r="DW140" s="728">
        <v>47209</v>
      </c>
      <c r="DX140" s="728">
        <v>47239</v>
      </c>
      <c r="DY140" s="728">
        <v>47270</v>
      </c>
      <c r="DZ140" s="728">
        <v>47300</v>
      </c>
      <c r="EA140" s="728">
        <v>47331</v>
      </c>
      <c r="EB140" s="728">
        <v>47362</v>
      </c>
      <c r="EC140" s="728">
        <v>47392</v>
      </c>
      <c r="ED140" s="728">
        <v>47423</v>
      </c>
      <c r="EE140" s="728">
        <v>47453</v>
      </c>
      <c r="EF140" s="728">
        <v>47484</v>
      </c>
      <c r="EG140" s="728">
        <v>47515</v>
      </c>
      <c r="EH140" s="728">
        <v>47543</v>
      </c>
      <c r="EI140" s="728">
        <v>47574</v>
      </c>
      <c r="EJ140" s="728">
        <v>47604</v>
      </c>
      <c r="EK140" s="728">
        <v>47635</v>
      </c>
      <c r="EL140" s="728">
        <v>47665</v>
      </c>
      <c r="EM140" s="728">
        <v>47696</v>
      </c>
      <c r="EN140" s="728">
        <v>47727</v>
      </c>
      <c r="EO140" s="728">
        <v>47757</v>
      </c>
      <c r="EP140" s="728">
        <v>47788</v>
      </c>
      <c r="EQ140" s="728">
        <v>47818</v>
      </c>
      <c r="ER140" s="728">
        <v>47849</v>
      </c>
      <c r="ES140" s="728">
        <v>47880</v>
      </c>
    </row>
    <row r="141" spans="1:152" s="722" customFormat="1" hidden="1" x14ac:dyDescent="0.2">
      <c r="B141" s="722">
        <v>1</v>
      </c>
      <c r="D141" s="722" t="s">
        <v>269</v>
      </c>
      <c r="E141" s="722" t="s">
        <v>269</v>
      </c>
      <c r="F141" s="722" t="s">
        <v>270</v>
      </c>
      <c r="L141" s="726">
        <f>'[19]Updated Package Breakdown'!S17</f>
        <v>1000000</v>
      </c>
      <c r="O141" s="723"/>
      <c r="P141" s="723"/>
      <c r="R141" s="723"/>
      <c r="S141" s="723"/>
      <c r="T141" s="723"/>
      <c r="U141" s="723"/>
      <c r="V141" s="723"/>
      <c r="W141" s="726">
        <f t="shared" ref="W141:W204" si="82">L141-M141</f>
        <v>1000000</v>
      </c>
      <c r="X141" s="726">
        <f t="shared" ref="X141:X153" si="83">W141*6.5%</f>
        <v>65000</v>
      </c>
      <c r="Y141" s="726">
        <f t="shared" ref="Y141:Y153" si="84">W141*3.5%</f>
        <v>35000</v>
      </c>
      <c r="Z141" s="726">
        <f t="shared" ref="Z141:Z153" si="85">W141*12%</f>
        <v>120000</v>
      </c>
      <c r="AA141" s="726">
        <f t="shared" ref="AA141:AA172" si="86">SUM(W141:Z141)</f>
        <v>1220000</v>
      </c>
      <c r="AB141" s="726"/>
      <c r="AC141" s="724"/>
      <c r="AD141" s="726">
        <f t="shared" ref="AD141:AD153" si="87">AA141*25%</f>
        <v>305000</v>
      </c>
      <c r="AE141" s="723">
        <v>30000</v>
      </c>
      <c r="AF141" s="726">
        <f t="shared" ref="AF141:AF153" si="88">(AD141-AE141)/(AG141)</f>
        <v>6111.1111111111113</v>
      </c>
      <c r="AG141" s="725">
        <v>45</v>
      </c>
      <c r="AH141" s="726">
        <f>'[18]Fully Fitted Pricelist'!AA141-'[18]Fully Fitted Pricelist'!AD141</f>
        <v>915000</v>
      </c>
      <c r="AI141" s="723">
        <f t="shared" ref="AI141:AI150" si="89">SUM(AK141:ES141)</f>
        <v>0</v>
      </c>
      <c r="AJ141" s="726">
        <f t="shared" ref="AJ141:AJ153" si="90">AA141-AI141</f>
        <v>1220000</v>
      </c>
      <c r="AK141" s="723"/>
      <c r="AL141" s="723"/>
      <c r="AM141" s="723"/>
      <c r="AN141" s="723"/>
      <c r="AO141" s="723"/>
      <c r="AP141" s="723"/>
      <c r="AQ141" s="723"/>
      <c r="AR141" s="723"/>
      <c r="AS141" s="723"/>
      <c r="AT141" s="723"/>
      <c r="AU141" s="723"/>
      <c r="AV141" s="723"/>
      <c r="AW141" s="723"/>
      <c r="AX141" s="723"/>
      <c r="AY141" s="723"/>
      <c r="AZ141" s="723"/>
      <c r="BA141" s="723"/>
      <c r="BB141" s="723"/>
      <c r="BC141" s="723"/>
      <c r="BD141" s="723"/>
      <c r="BE141" s="723"/>
      <c r="BF141" s="723"/>
      <c r="BG141" s="723"/>
      <c r="BH141" s="723"/>
      <c r="BI141" s="723"/>
      <c r="BJ141" s="723"/>
      <c r="BK141" s="723"/>
      <c r="BL141" s="723"/>
      <c r="BM141" s="723"/>
      <c r="BN141" s="723"/>
      <c r="BO141" s="723"/>
      <c r="BP141" s="723"/>
      <c r="BQ141" s="723"/>
      <c r="BR141" s="723"/>
      <c r="BS141" s="723"/>
      <c r="BT141" s="723"/>
      <c r="BU141" s="723"/>
      <c r="BV141" s="723"/>
      <c r="BW141" s="723"/>
      <c r="BX141" s="723"/>
      <c r="BY141" s="723"/>
      <c r="BZ141" s="723"/>
      <c r="CA141" s="723"/>
      <c r="CB141" s="723"/>
      <c r="CC141" s="723"/>
      <c r="CD141" s="723"/>
      <c r="CE141" s="723"/>
      <c r="CF141" s="723"/>
      <c r="CG141" s="723"/>
      <c r="CH141" s="723"/>
      <c r="CI141" s="723"/>
      <c r="CJ141" s="723"/>
      <c r="CK141" s="723"/>
      <c r="CL141" s="723"/>
      <c r="CM141" s="723"/>
      <c r="CN141" s="723"/>
      <c r="CO141" s="723"/>
      <c r="CP141" s="723"/>
      <c r="CQ141" s="723"/>
      <c r="CR141" s="723"/>
      <c r="CS141" s="723"/>
      <c r="CT141" s="723"/>
      <c r="CU141" s="723"/>
      <c r="CV141" s="723"/>
      <c r="CW141" s="723"/>
      <c r="CX141" s="723"/>
      <c r="CY141" s="723"/>
      <c r="CZ141" s="723"/>
      <c r="DA141" s="723"/>
      <c r="DB141" s="723"/>
      <c r="DC141" s="723"/>
      <c r="DD141" s="723"/>
      <c r="DE141" s="723"/>
      <c r="DF141" s="723"/>
      <c r="DG141" s="723"/>
      <c r="DH141" s="723"/>
      <c r="DI141" s="723"/>
      <c r="DJ141" s="723"/>
      <c r="DK141" s="723"/>
      <c r="DL141" s="723"/>
      <c r="DM141" s="723"/>
      <c r="DN141" s="723"/>
      <c r="DO141" s="723"/>
      <c r="DP141" s="723"/>
      <c r="DQ141" s="723"/>
      <c r="DR141" s="723"/>
      <c r="DS141" s="723"/>
      <c r="DT141" s="723"/>
      <c r="DU141" s="723"/>
      <c r="DV141" s="723"/>
      <c r="DW141" s="734"/>
      <c r="DX141" s="734"/>
      <c r="DY141" s="734"/>
      <c r="DZ141" s="734"/>
      <c r="EA141" s="734"/>
      <c r="EB141" s="734"/>
      <c r="EC141" s="734"/>
      <c r="ED141" s="734"/>
      <c r="EE141" s="734"/>
      <c r="EF141" s="734"/>
      <c r="EG141" s="734"/>
      <c r="EH141" s="734"/>
      <c r="EI141" s="734"/>
      <c r="EJ141" s="734"/>
      <c r="EK141" s="734"/>
      <c r="EL141" s="734"/>
      <c r="EM141" s="734"/>
      <c r="EN141" s="734"/>
      <c r="EO141" s="734"/>
      <c r="EP141" s="734"/>
      <c r="EQ141" s="734"/>
      <c r="ER141" s="734"/>
      <c r="ES141" s="734"/>
    </row>
    <row r="142" spans="1:152" s="722" customFormat="1" hidden="1" x14ac:dyDescent="0.2">
      <c r="B142" s="722">
        <v>2</v>
      </c>
      <c r="D142" s="722" t="s">
        <v>269</v>
      </c>
      <c r="E142" s="722" t="s">
        <v>269</v>
      </c>
      <c r="F142" s="722" t="s">
        <v>271</v>
      </c>
      <c r="L142" s="726">
        <f>'[18]Fully Fitted Pricelist'!$L$141</f>
        <v>1000000</v>
      </c>
      <c r="O142" s="723"/>
      <c r="P142" s="723"/>
      <c r="R142" s="723"/>
      <c r="S142" s="723"/>
      <c r="T142" s="723"/>
      <c r="U142" s="723"/>
      <c r="V142" s="723"/>
      <c r="W142" s="726">
        <f t="shared" si="82"/>
        <v>1000000</v>
      </c>
      <c r="X142" s="726">
        <f t="shared" si="83"/>
        <v>65000</v>
      </c>
      <c r="Y142" s="726">
        <f t="shared" si="84"/>
        <v>35000</v>
      </c>
      <c r="Z142" s="726">
        <f t="shared" si="85"/>
        <v>120000</v>
      </c>
      <c r="AA142" s="726">
        <f t="shared" si="86"/>
        <v>1220000</v>
      </c>
      <c r="AB142" s="726"/>
      <c r="AC142" s="724"/>
      <c r="AD142" s="726">
        <f t="shared" si="87"/>
        <v>305000</v>
      </c>
      <c r="AE142" s="723">
        <v>30000</v>
      </c>
      <c r="AF142" s="726">
        <f t="shared" si="88"/>
        <v>6111.1111111111113</v>
      </c>
      <c r="AG142" s="725">
        <v>45</v>
      </c>
      <c r="AH142" s="726">
        <f>'[18]Fully Fitted Pricelist'!AA142-'[18]Fully Fitted Pricelist'!AD142</f>
        <v>915000</v>
      </c>
      <c r="AI142" s="723">
        <f t="shared" si="89"/>
        <v>0</v>
      </c>
      <c r="AJ142" s="726">
        <f t="shared" si="90"/>
        <v>1220000</v>
      </c>
      <c r="AK142" s="723"/>
      <c r="AL142" s="723"/>
      <c r="AM142" s="723"/>
      <c r="AN142" s="723"/>
      <c r="AO142" s="723"/>
      <c r="AP142" s="723"/>
      <c r="AQ142" s="723"/>
      <c r="AR142" s="723"/>
      <c r="AS142" s="723"/>
      <c r="AT142" s="723"/>
      <c r="AU142" s="723"/>
      <c r="AV142" s="723"/>
      <c r="AW142" s="723"/>
      <c r="AX142" s="723"/>
      <c r="AY142" s="723"/>
      <c r="AZ142" s="723"/>
      <c r="BA142" s="723"/>
      <c r="BB142" s="723"/>
      <c r="BC142" s="723"/>
      <c r="BD142" s="723"/>
      <c r="BE142" s="723"/>
      <c r="BF142" s="723"/>
      <c r="BG142" s="723"/>
      <c r="BH142" s="723"/>
      <c r="BI142" s="723"/>
      <c r="BJ142" s="723"/>
      <c r="BK142" s="723"/>
      <c r="BL142" s="723"/>
      <c r="BM142" s="723"/>
      <c r="BN142" s="723"/>
      <c r="BO142" s="723"/>
      <c r="BP142" s="723"/>
      <c r="BQ142" s="723"/>
      <c r="BR142" s="723"/>
      <c r="BS142" s="723"/>
      <c r="BT142" s="723"/>
      <c r="BU142" s="723"/>
      <c r="BV142" s="723"/>
      <c r="BW142" s="723"/>
      <c r="BX142" s="723"/>
      <c r="BY142" s="723"/>
      <c r="BZ142" s="723"/>
      <c r="CA142" s="723"/>
      <c r="CB142" s="723"/>
      <c r="CC142" s="723"/>
      <c r="CD142" s="723"/>
      <c r="CE142" s="723"/>
      <c r="CF142" s="723"/>
      <c r="CG142" s="723"/>
      <c r="CH142" s="723"/>
      <c r="CI142" s="723"/>
      <c r="CJ142" s="723"/>
      <c r="CK142" s="723"/>
      <c r="CL142" s="723"/>
      <c r="CM142" s="723"/>
      <c r="CN142" s="723"/>
      <c r="CO142" s="723"/>
      <c r="CP142" s="723"/>
      <c r="CQ142" s="723"/>
      <c r="CR142" s="723"/>
      <c r="CS142" s="723"/>
      <c r="CT142" s="723"/>
      <c r="CU142" s="723"/>
      <c r="CV142" s="723"/>
      <c r="CW142" s="723"/>
      <c r="CX142" s="723"/>
      <c r="CY142" s="723"/>
      <c r="CZ142" s="723"/>
      <c r="DA142" s="723"/>
      <c r="DB142" s="723"/>
      <c r="DC142" s="723"/>
      <c r="DD142" s="723"/>
      <c r="DE142" s="723"/>
      <c r="DF142" s="723"/>
      <c r="DG142" s="723"/>
      <c r="DH142" s="723"/>
      <c r="DI142" s="723"/>
      <c r="DJ142" s="723"/>
      <c r="DK142" s="723"/>
      <c r="DL142" s="723"/>
      <c r="DM142" s="723"/>
      <c r="DN142" s="723"/>
      <c r="DO142" s="723"/>
      <c r="DP142" s="723"/>
      <c r="DQ142" s="723"/>
      <c r="DR142" s="723"/>
      <c r="DS142" s="723"/>
      <c r="DT142" s="723"/>
      <c r="DU142" s="723"/>
      <c r="DV142" s="723"/>
      <c r="DW142" s="734"/>
      <c r="DX142" s="734"/>
      <c r="DY142" s="734"/>
      <c r="DZ142" s="734"/>
      <c r="EA142" s="734"/>
      <c r="EB142" s="734"/>
      <c r="EC142" s="734"/>
      <c r="ED142" s="734"/>
      <c r="EE142" s="734"/>
      <c r="EF142" s="734"/>
      <c r="EG142" s="734"/>
      <c r="EH142" s="734"/>
      <c r="EI142" s="734"/>
      <c r="EJ142" s="734"/>
      <c r="EK142" s="734"/>
      <c r="EL142" s="734"/>
      <c r="EM142" s="734"/>
      <c r="EN142" s="734"/>
      <c r="EO142" s="734"/>
      <c r="EP142" s="734"/>
      <c r="EQ142" s="734"/>
      <c r="ER142" s="734"/>
      <c r="ES142" s="734"/>
    </row>
    <row r="143" spans="1:152" s="722" customFormat="1" hidden="1" x14ac:dyDescent="0.2">
      <c r="B143" s="722">
        <v>3</v>
      </c>
      <c r="D143" s="722" t="s">
        <v>269</v>
      </c>
      <c r="E143" s="722" t="s">
        <v>269</v>
      </c>
      <c r="F143" s="722" t="s">
        <v>272</v>
      </c>
      <c r="L143" s="726">
        <f>'[18]Fully Fitted Pricelist'!$L$141</f>
        <v>1000000</v>
      </c>
      <c r="O143" s="723"/>
      <c r="P143" s="723"/>
      <c r="R143" s="723"/>
      <c r="S143" s="723"/>
      <c r="T143" s="723"/>
      <c r="U143" s="723"/>
      <c r="V143" s="723"/>
      <c r="W143" s="726">
        <f t="shared" si="82"/>
        <v>1000000</v>
      </c>
      <c r="X143" s="726">
        <f t="shared" si="83"/>
        <v>65000</v>
      </c>
      <c r="Y143" s="726">
        <f t="shared" si="84"/>
        <v>35000</v>
      </c>
      <c r="Z143" s="726">
        <f t="shared" si="85"/>
        <v>120000</v>
      </c>
      <c r="AA143" s="726">
        <f t="shared" si="86"/>
        <v>1220000</v>
      </c>
      <c r="AB143" s="726"/>
      <c r="AC143" s="724"/>
      <c r="AD143" s="726">
        <f t="shared" si="87"/>
        <v>305000</v>
      </c>
      <c r="AE143" s="723">
        <v>30000</v>
      </c>
      <c r="AF143" s="726">
        <f t="shared" si="88"/>
        <v>6111.1111111111113</v>
      </c>
      <c r="AG143" s="725">
        <v>45</v>
      </c>
      <c r="AH143" s="726">
        <f>'[18]Fully Fitted Pricelist'!AA143-'[18]Fully Fitted Pricelist'!AD143</f>
        <v>915000</v>
      </c>
      <c r="AI143" s="723">
        <f t="shared" si="89"/>
        <v>0</v>
      </c>
      <c r="AJ143" s="726">
        <f t="shared" si="90"/>
        <v>1220000</v>
      </c>
      <c r="AK143" s="723"/>
      <c r="AL143" s="723"/>
      <c r="AM143" s="723"/>
      <c r="AN143" s="723"/>
      <c r="AO143" s="723"/>
      <c r="AP143" s="723"/>
      <c r="AQ143" s="723"/>
      <c r="AR143" s="723"/>
      <c r="AS143" s="723"/>
      <c r="AT143" s="723"/>
      <c r="AU143" s="723"/>
      <c r="AV143" s="723"/>
      <c r="AW143" s="723"/>
      <c r="AX143" s="723"/>
      <c r="AY143" s="723"/>
      <c r="AZ143" s="723"/>
      <c r="BA143" s="723"/>
      <c r="BB143" s="723"/>
      <c r="BC143" s="723"/>
      <c r="BD143" s="723"/>
      <c r="BE143" s="723"/>
      <c r="BF143" s="723"/>
      <c r="BG143" s="723"/>
      <c r="BH143" s="723"/>
      <c r="BI143" s="723"/>
      <c r="BJ143" s="723"/>
      <c r="BK143" s="723"/>
      <c r="BL143" s="723"/>
      <c r="BM143" s="723"/>
      <c r="BN143" s="723"/>
      <c r="BO143" s="723"/>
      <c r="BP143" s="723"/>
      <c r="BQ143" s="723"/>
      <c r="BR143" s="723"/>
      <c r="BS143" s="723"/>
      <c r="BT143" s="723"/>
      <c r="BU143" s="723"/>
      <c r="BV143" s="723"/>
      <c r="BW143" s="723"/>
      <c r="BX143" s="723"/>
      <c r="BY143" s="723"/>
      <c r="BZ143" s="723"/>
      <c r="CA143" s="723"/>
      <c r="CB143" s="723"/>
      <c r="CC143" s="723"/>
      <c r="CD143" s="723"/>
      <c r="CE143" s="723"/>
      <c r="CF143" s="723"/>
      <c r="CG143" s="723"/>
      <c r="CH143" s="723"/>
      <c r="CI143" s="723"/>
      <c r="CJ143" s="723"/>
      <c r="CK143" s="723"/>
      <c r="CL143" s="723"/>
      <c r="CM143" s="723"/>
      <c r="CN143" s="723"/>
      <c r="CO143" s="723"/>
      <c r="CP143" s="723"/>
      <c r="CQ143" s="723"/>
      <c r="CR143" s="723"/>
      <c r="CS143" s="723"/>
      <c r="CT143" s="723"/>
      <c r="CU143" s="723"/>
      <c r="CV143" s="723"/>
      <c r="CW143" s="723"/>
      <c r="CX143" s="723"/>
      <c r="CY143" s="723"/>
      <c r="CZ143" s="723"/>
      <c r="DA143" s="723"/>
      <c r="DB143" s="723"/>
      <c r="DC143" s="723"/>
      <c r="DD143" s="723"/>
      <c r="DE143" s="723"/>
      <c r="DF143" s="723"/>
      <c r="DG143" s="723"/>
      <c r="DH143" s="723"/>
      <c r="DI143" s="723"/>
      <c r="DJ143" s="723"/>
      <c r="DK143" s="723"/>
      <c r="DL143" s="723"/>
      <c r="DM143" s="723"/>
      <c r="DN143" s="723"/>
      <c r="DO143" s="723"/>
      <c r="DP143" s="723"/>
      <c r="DQ143" s="723"/>
      <c r="DR143" s="723"/>
      <c r="DS143" s="723"/>
      <c r="DT143" s="723"/>
      <c r="DU143" s="723"/>
      <c r="DV143" s="723"/>
      <c r="DW143" s="734"/>
      <c r="DX143" s="734"/>
      <c r="DY143" s="734"/>
      <c r="DZ143" s="734"/>
      <c r="EA143" s="734"/>
      <c r="EB143" s="734"/>
      <c r="EC143" s="734"/>
      <c r="ED143" s="734"/>
      <c r="EE143" s="734"/>
      <c r="EF143" s="734"/>
      <c r="EG143" s="734"/>
      <c r="EH143" s="734"/>
      <c r="EI143" s="734"/>
      <c r="EJ143" s="734"/>
      <c r="EK143" s="734"/>
      <c r="EL143" s="734"/>
      <c r="EM143" s="734"/>
      <c r="EN143" s="734"/>
      <c r="EO143" s="734"/>
      <c r="EP143" s="734"/>
      <c r="EQ143" s="734"/>
      <c r="ER143" s="734"/>
      <c r="ES143" s="734"/>
    </row>
    <row r="144" spans="1:152" s="722" customFormat="1" hidden="1" x14ac:dyDescent="0.2">
      <c r="B144" s="722">
        <v>4</v>
      </c>
      <c r="D144" s="722" t="s">
        <v>269</v>
      </c>
      <c r="E144" s="722" t="s">
        <v>269</v>
      </c>
      <c r="F144" s="722" t="s">
        <v>273</v>
      </c>
      <c r="L144" s="726">
        <f>'[18]Fully Fitted Pricelist'!$L$141</f>
        <v>1000000</v>
      </c>
      <c r="O144" s="723"/>
      <c r="P144" s="723"/>
      <c r="R144" s="723"/>
      <c r="S144" s="723"/>
      <c r="T144" s="723"/>
      <c r="U144" s="723"/>
      <c r="V144" s="723"/>
      <c r="W144" s="726">
        <f t="shared" si="82"/>
        <v>1000000</v>
      </c>
      <c r="X144" s="726">
        <f t="shared" si="83"/>
        <v>65000</v>
      </c>
      <c r="Y144" s="726">
        <f t="shared" si="84"/>
        <v>35000</v>
      </c>
      <c r="Z144" s="726">
        <f t="shared" si="85"/>
        <v>120000</v>
      </c>
      <c r="AA144" s="726">
        <f t="shared" si="86"/>
        <v>1220000</v>
      </c>
      <c r="AB144" s="726"/>
      <c r="AC144" s="724"/>
      <c r="AD144" s="726">
        <f t="shared" si="87"/>
        <v>305000</v>
      </c>
      <c r="AE144" s="723">
        <v>30000</v>
      </c>
      <c r="AF144" s="726">
        <f t="shared" si="88"/>
        <v>6111.1111111111113</v>
      </c>
      <c r="AG144" s="725">
        <v>45</v>
      </c>
      <c r="AH144" s="726">
        <f>'[18]Fully Fitted Pricelist'!AA144-'[18]Fully Fitted Pricelist'!AD144</f>
        <v>915000</v>
      </c>
      <c r="AI144" s="723">
        <f t="shared" si="89"/>
        <v>0</v>
      </c>
      <c r="AJ144" s="726">
        <f t="shared" si="90"/>
        <v>1220000</v>
      </c>
      <c r="AK144" s="723"/>
      <c r="AL144" s="723"/>
      <c r="AM144" s="723"/>
      <c r="AN144" s="723"/>
      <c r="AO144" s="723"/>
      <c r="AP144" s="723"/>
      <c r="AQ144" s="723"/>
      <c r="AR144" s="723"/>
      <c r="AS144" s="723"/>
      <c r="AT144" s="723"/>
      <c r="AU144" s="723"/>
      <c r="AV144" s="723"/>
      <c r="AW144" s="723"/>
      <c r="AX144" s="723"/>
      <c r="AY144" s="723"/>
      <c r="AZ144" s="723"/>
      <c r="BA144" s="723"/>
      <c r="BB144" s="723"/>
      <c r="BC144" s="723"/>
      <c r="BD144" s="723"/>
      <c r="BE144" s="723"/>
      <c r="BF144" s="723"/>
      <c r="BG144" s="723"/>
      <c r="BH144" s="723"/>
      <c r="BI144" s="723"/>
      <c r="BJ144" s="723"/>
      <c r="BK144" s="723"/>
      <c r="BL144" s="723"/>
      <c r="BM144" s="723"/>
      <c r="BN144" s="723"/>
      <c r="BO144" s="723"/>
      <c r="BP144" s="723"/>
      <c r="BQ144" s="723"/>
      <c r="BR144" s="723"/>
      <c r="BS144" s="723"/>
      <c r="BT144" s="723"/>
      <c r="BU144" s="723"/>
      <c r="BV144" s="723"/>
      <c r="BW144" s="723"/>
      <c r="BX144" s="723"/>
      <c r="BY144" s="723"/>
      <c r="BZ144" s="723"/>
      <c r="CA144" s="723"/>
      <c r="CB144" s="723"/>
      <c r="CC144" s="723"/>
      <c r="CD144" s="723"/>
      <c r="CE144" s="723"/>
      <c r="CF144" s="723"/>
      <c r="CG144" s="723"/>
      <c r="CH144" s="723"/>
      <c r="CI144" s="723"/>
      <c r="CJ144" s="723"/>
      <c r="CK144" s="723"/>
      <c r="CL144" s="723"/>
      <c r="CM144" s="723"/>
      <c r="CN144" s="723"/>
      <c r="CO144" s="723"/>
      <c r="CP144" s="723"/>
      <c r="CQ144" s="723"/>
      <c r="CR144" s="723"/>
      <c r="CS144" s="723"/>
      <c r="CT144" s="723"/>
      <c r="CU144" s="723"/>
      <c r="CV144" s="723"/>
      <c r="CW144" s="723"/>
      <c r="CX144" s="723"/>
      <c r="CY144" s="723"/>
      <c r="CZ144" s="723"/>
      <c r="DA144" s="723"/>
      <c r="DB144" s="723"/>
      <c r="DC144" s="723"/>
      <c r="DD144" s="723"/>
      <c r="DE144" s="723"/>
      <c r="DF144" s="723"/>
      <c r="DG144" s="723"/>
      <c r="DH144" s="723"/>
      <c r="DI144" s="723"/>
      <c r="DJ144" s="723"/>
      <c r="DK144" s="723"/>
      <c r="DL144" s="723"/>
      <c r="DM144" s="723"/>
      <c r="DN144" s="723"/>
      <c r="DO144" s="723"/>
      <c r="DP144" s="723"/>
      <c r="DQ144" s="723"/>
      <c r="DR144" s="723"/>
      <c r="DS144" s="723"/>
      <c r="DT144" s="723"/>
      <c r="DU144" s="723"/>
      <c r="DV144" s="723"/>
      <c r="DW144" s="734"/>
      <c r="DX144" s="734"/>
      <c r="DY144" s="734"/>
      <c r="DZ144" s="734"/>
      <c r="EA144" s="734"/>
      <c r="EB144" s="734"/>
      <c r="EC144" s="734"/>
      <c r="ED144" s="734"/>
      <c r="EE144" s="734"/>
      <c r="EF144" s="734"/>
      <c r="EG144" s="734"/>
      <c r="EH144" s="734"/>
      <c r="EI144" s="734"/>
      <c r="EJ144" s="734"/>
      <c r="EK144" s="734"/>
      <c r="EL144" s="734"/>
      <c r="EM144" s="734"/>
      <c r="EN144" s="734"/>
      <c r="EO144" s="734"/>
      <c r="EP144" s="734"/>
      <c r="EQ144" s="734"/>
      <c r="ER144" s="734"/>
      <c r="ES144" s="734"/>
    </row>
    <row r="145" spans="2:149" s="722" customFormat="1" hidden="1" x14ac:dyDescent="0.2">
      <c r="B145" s="722">
        <v>5</v>
      </c>
      <c r="D145" s="722" t="s">
        <v>269</v>
      </c>
      <c r="E145" s="722" t="s">
        <v>269</v>
      </c>
      <c r="F145" s="722" t="s">
        <v>274</v>
      </c>
      <c r="L145" s="726">
        <f>'[18]Fully Fitted Pricelist'!$L$141</f>
        <v>1000000</v>
      </c>
      <c r="O145" s="723"/>
      <c r="P145" s="723"/>
      <c r="R145" s="723"/>
      <c r="S145" s="723"/>
      <c r="T145" s="723"/>
      <c r="U145" s="723"/>
      <c r="V145" s="723"/>
      <c r="W145" s="726">
        <f t="shared" si="82"/>
        <v>1000000</v>
      </c>
      <c r="X145" s="726">
        <f t="shared" si="83"/>
        <v>65000</v>
      </c>
      <c r="Y145" s="726">
        <f t="shared" si="84"/>
        <v>35000</v>
      </c>
      <c r="Z145" s="726">
        <f t="shared" si="85"/>
        <v>120000</v>
      </c>
      <c r="AA145" s="726">
        <f t="shared" si="86"/>
        <v>1220000</v>
      </c>
      <c r="AB145" s="726"/>
      <c r="AC145" s="724"/>
      <c r="AD145" s="726">
        <f t="shared" si="87"/>
        <v>305000</v>
      </c>
      <c r="AE145" s="723">
        <v>30000</v>
      </c>
      <c r="AF145" s="726">
        <f t="shared" si="88"/>
        <v>6111.1111111111113</v>
      </c>
      <c r="AG145" s="725">
        <v>45</v>
      </c>
      <c r="AH145" s="726">
        <f>'[18]Fully Fitted Pricelist'!AA145-'[18]Fully Fitted Pricelist'!AD145</f>
        <v>915000</v>
      </c>
      <c r="AI145" s="723">
        <f>SUM(AK145:ES145)</f>
        <v>0</v>
      </c>
      <c r="AJ145" s="726">
        <f t="shared" si="90"/>
        <v>1220000</v>
      </c>
      <c r="AK145" s="723"/>
      <c r="AL145" s="723"/>
      <c r="AM145" s="723"/>
      <c r="AN145" s="723"/>
      <c r="AO145" s="723"/>
      <c r="AP145" s="723"/>
      <c r="AQ145" s="723"/>
      <c r="AR145" s="723"/>
      <c r="AS145" s="723"/>
      <c r="AT145" s="723"/>
      <c r="AU145" s="723"/>
      <c r="AV145" s="723"/>
      <c r="AW145" s="723"/>
      <c r="AX145" s="723"/>
      <c r="AY145" s="723"/>
      <c r="AZ145" s="723"/>
      <c r="BA145" s="723"/>
      <c r="BB145" s="723"/>
      <c r="BC145" s="723"/>
      <c r="BD145" s="723"/>
      <c r="BE145" s="723"/>
      <c r="BF145" s="723"/>
      <c r="BG145" s="723"/>
      <c r="BH145" s="723"/>
      <c r="BI145" s="723"/>
      <c r="BJ145" s="723"/>
      <c r="BK145" s="723"/>
      <c r="BL145" s="723"/>
      <c r="BM145" s="723"/>
      <c r="BN145" s="723"/>
      <c r="BO145" s="723"/>
      <c r="BP145" s="723"/>
      <c r="BQ145" s="723"/>
      <c r="BR145" s="723"/>
      <c r="BS145" s="723"/>
      <c r="BT145" s="723"/>
      <c r="BU145" s="723"/>
      <c r="BV145" s="723"/>
      <c r="BW145" s="723"/>
      <c r="BX145" s="723"/>
      <c r="BY145" s="723"/>
      <c r="BZ145" s="723"/>
      <c r="CA145" s="723"/>
      <c r="CB145" s="723"/>
      <c r="CC145" s="723"/>
      <c r="CD145" s="723"/>
      <c r="CE145" s="723"/>
      <c r="CF145" s="723"/>
      <c r="CG145" s="723"/>
      <c r="CH145" s="723"/>
      <c r="CI145" s="723"/>
      <c r="CJ145" s="723"/>
      <c r="CK145" s="723"/>
      <c r="CL145" s="723"/>
      <c r="CM145" s="723"/>
      <c r="CN145" s="723"/>
      <c r="CO145" s="723"/>
      <c r="CP145" s="723"/>
      <c r="CQ145" s="723"/>
      <c r="CR145" s="723"/>
      <c r="CS145" s="723"/>
      <c r="CT145" s="723"/>
      <c r="CU145" s="723"/>
      <c r="CV145" s="723"/>
      <c r="CW145" s="723"/>
      <c r="CX145" s="723"/>
      <c r="CY145" s="723"/>
      <c r="CZ145" s="723"/>
      <c r="DA145" s="723"/>
      <c r="DB145" s="723"/>
      <c r="DC145" s="723"/>
      <c r="DD145" s="723"/>
      <c r="DE145" s="723"/>
      <c r="DF145" s="723"/>
      <c r="DG145" s="723"/>
      <c r="DH145" s="723"/>
      <c r="DI145" s="723"/>
      <c r="DJ145" s="723"/>
      <c r="DK145" s="723"/>
      <c r="DL145" s="723"/>
      <c r="DM145" s="723"/>
      <c r="DN145" s="723"/>
      <c r="DO145" s="723"/>
      <c r="DP145" s="723"/>
      <c r="DQ145" s="723"/>
      <c r="DR145" s="723"/>
      <c r="DS145" s="723"/>
      <c r="DT145" s="723"/>
      <c r="DU145" s="723"/>
      <c r="DV145" s="723"/>
      <c r="DW145" s="734"/>
      <c r="DX145" s="734"/>
      <c r="DY145" s="734"/>
      <c r="DZ145" s="734"/>
      <c r="EA145" s="734"/>
      <c r="EB145" s="734"/>
      <c r="EC145" s="734"/>
      <c r="ED145" s="734"/>
      <c r="EE145" s="734"/>
      <c r="EF145" s="734"/>
      <c r="EG145" s="734"/>
      <c r="EH145" s="734"/>
      <c r="EI145" s="734"/>
      <c r="EJ145" s="734"/>
      <c r="EK145" s="734"/>
      <c r="EL145" s="734"/>
      <c r="EM145" s="734"/>
      <c r="EN145" s="734"/>
      <c r="EO145" s="734"/>
      <c r="EP145" s="734"/>
      <c r="EQ145" s="734"/>
      <c r="ER145" s="734"/>
      <c r="ES145" s="734"/>
    </row>
    <row r="146" spans="2:149" s="722" customFormat="1" hidden="1" x14ac:dyDescent="0.2">
      <c r="B146" s="722">
        <v>6</v>
      </c>
      <c r="D146" s="722" t="s">
        <v>269</v>
      </c>
      <c r="E146" s="722" t="s">
        <v>269</v>
      </c>
      <c r="F146" s="722" t="s">
        <v>275</v>
      </c>
      <c r="L146" s="726">
        <f>'[18]Fully Fitted Pricelist'!$L$141</f>
        <v>1000000</v>
      </c>
      <c r="O146" s="723"/>
      <c r="P146" s="723"/>
      <c r="R146" s="723"/>
      <c r="S146" s="723"/>
      <c r="T146" s="723"/>
      <c r="U146" s="723"/>
      <c r="V146" s="723"/>
      <c r="W146" s="726">
        <f t="shared" si="82"/>
        <v>1000000</v>
      </c>
      <c r="X146" s="726">
        <f t="shared" si="83"/>
        <v>65000</v>
      </c>
      <c r="Y146" s="726">
        <f t="shared" si="84"/>
        <v>35000</v>
      </c>
      <c r="Z146" s="726">
        <f t="shared" si="85"/>
        <v>120000</v>
      </c>
      <c r="AA146" s="726">
        <f t="shared" si="86"/>
        <v>1220000</v>
      </c>
      <c r="AB146" s="726"/>
      <c r="AC146" s="724"/>
      <c r="AD146" s="726">
        <f t="shared" si="87"/>
        <v>305000</v>
      </c>
      <c r="AE146" s="723">
        <v>30000</v>
      </c>
      <c r="AF146" s="726">
        <f t="shared" si="88"/>
        <v>6111.1111111111113</v>
      </c>
      <c r="AG146" s="725">
        <v>45</v>
      </c>
      <c r="AH146" s="726">
        <f>'[18]Fully Fitted Pricelist'!AA146-'[18]Fully Fitted Pricelist'!AD146</f>
        <v>915000</v>
      </c>
      <c r="AI146" s="723">
        <f>SUM(AK146:ES146)</f>
        <v>0</v>
      </c>
      <c r="AJ146" s="726">
        <f t="shared" si="90"/>
        <v>1220000</v>
      </c>
      <c r="AK146" s="723"/>
      <c r="AL146" s="723"/>
      <c r="AM146" s="723"/>
      <c r="AN146" s="723"/>
      <c r="AO146" s="723"/>
      <c r="AP146" s="723"/>
      <c r="AQ146" s="723"/>
      <c r="AR146" s="723"/>
      <c r="AS146" s="723"/>
      <c r="AT146" s="723"/>
      <c r="AU146" s="723"/>
      <c r="AV146" s="723"/>
      <c r="AW146" s="723"/>
      <c r="AX146" s="723"/>
      <c r="AY146" s="723"/>
      <c r="AZ146" s="723"/>
      <c r="BA146" s="723"/>
      <c r="BB146" s="723"/>
      <c r="BC146" s="723"/>
      <c r="BD146" s="723"/>
      <c r="BE146" s="723"/>
      <c r="BF146" s="723"/>
      <c r="BG146" s="723"/>
      <c r="BH146" s="723"/>
      <c r="BI146" s="723"/>
      <c r="BJ146" s="723"/>
      <c r="BK146" s="723"/>
      <c r="BL146" s="723"/>
      <c r="BM146" s="723"/>
      <c r="BN146" s="723"/>
      <c r="BO146" s="723"/>
      <c r="BP146" s="723"/>
      <c r="BQ146" s="723"/>
      <c r="BR146" s="723"/>
      <c r="BS146" s="723"/>
      <c r="BT146" s="723"/>
      <c r="BU146" s="723"/>
      <c r="BV146" s="723"/>
      <c r="BW146" s="723"/>
      <c r="BX146" s="723"/>
      <c r="BY146" s="723"/>
      <c r="BZ146" s="723"/>
      <c r="CA146" s="723"/>
      <c r="CB146" s="723"/>
      <c r="CC146" s="723"/>
      <c r="CD146" s="723"/>
      <c r="CE146" s="723"/>
      <c r="CF146" s="723"/>
      <c r="CG146" s="723"/>
      <c r="CH146" s="723"/>
      <c r="CI146" s="723"/>
      <c r="CJ146" s="723"/>
      <c r="CK146" s="723"/>
      <c r="CL146" s="723"/>
      <c r="CM146" s="723"/>
      <c r="CN146" s="723"/>
      <c r="CO146" s="723"/>
      <c r="CP146" s="723"/>
      <c r="CQ146" s="723"/>
      <c r="CR146" s="723"/>
      <c r="CS146" s="723"/>
      <c r="CT146" s="723"/>
      <c r="CU146" s="723"/>
      <c r="CV146" s="723"/>
      <c r="CW146" s="723"/>
      <c r="CX146" s="723"/>
      <c r="CY146" s="723"/>
      <c r="CZ146" s="723"/>
      <c r="DA146" s="723"/>
      <c r="DB146" s="723"/>
      <c r="DC146" s="723"/>
      <c r="DD146" s="723"/>
      <c r="DE146" s="723"/>
      <c r="DF146" s="723"/>
      <c r="DG146" s="723"/>
      <c r="DH146" s="723"/>
      <c r="DI146" s="723"/>
      <c r="DJ146" s="723"/>
      <c r="DK146" s="723"/>
      <c r="DL146" s="723"/>
      <c r="DM146" s="723"/>
      <c r="DN146" s="723"/>
      <c r="DO146" s="723"/>
      <c r="DP146" s="723"/>
      <c r="DQ146" s="723"/>
      <c r="DR146" s="723"/>
      <c r="DS146" s="723"/>
      <c r="DT146" s="723"/>
      <c r="DU146" s="723"/>
      <c r="DV146" s="723"/>
      <c r="DW146" s="734"/>
      <c r="DX146" s="734"/>
      <c r="DY146" s="734"/>
      <c r="DZ146" s="734"/>
      <c r="EA146" s="734"/>
      <c r="EB146" s="734"/>
      <c r="EC146" s="734"/>
      <c r="ED146" s="734"/>
      <c r="EE146" s="734"/>
      <c r="EF146" s="734"/>
      <c r="EG146" s="734"/>
      <c r="EH146" s="734"/>
      <c r="EI146" s="734"/>
      <c r="EJ146" s="734"/>
      <c r="EK146" s="734"/>
      <c r="EL146" s="734"/>
      <c r="EM146" s="734"/>
      <c r="EN146" s="734"/>
      <c r="EO146" s="734"/>
      <c r="EP146" s="734"/>
      <c r="EQ146" s="734"/>
      <c r="ER146" s="734"/>
      <c r="ES146" s="734"/>
    </row>
    <row r="147" spans="2:149" s="722" customFormat="1" hidden="1" x14ac:dyDescent="0.2">
      <c r="B147" s="722">
        <v>7</v>
      </c>
      <c r="D147" s="722" t="s">
        <v>269</v>
      </c>
      <c r="E147" s="722" t="s">
        <v>269</v>
      </c>
      <c r="F147" s="722" t="s">
        <v>276</v>
      </c>
      <c r="L147" s="726">
        <f>'[18]Fully Fitted Pricelist'!$L$141</f>
        <v>1000000</v>
      </c>
      <c r="O147" s="723"/>
      <c r="P147" s="723"/>
      <c r="R147" s="723"/>
      <c r="S147" s="723"/>
      <c r="T147" s="723"/>
      <c r="U147" s="723"/>
      <c r="V147" s="723"/>
      <c r="W147" s="726">
        <f t="shared" si="82"/>
        <v>1000000</v>
      </c>
      <c r="X147" s="726">
        <f t="shared" si="83"/>
        <v>65000</v>
      </c>
      <c r="Y147" s="726">
        <f t="shared" si="84"/>
        <v>35000</v>
      </c>
      <c r="Z147" s="726">
        <f t="shared" si="85"/>
        <v>120000</v>
      </c>
      <c r="AA147" s="726">
        <f t="shared" si="86"/>
        <v>1220000</v>
      </c>
      <c r="AB147" s="726"/>
      <c r="AC147" s="724"/>
      <c r="AD147" s="726">
        <f t="shared" si="87"/>
        <v>305000</v>
      </c>
      <c r="AE147" s="723">
        <v>30000</v>
      </c>
      <c r="AF147" s="726">
        <f t="shared" si="88"/>
        <v>6111.1111111111113</v>
      </c>
      <c r="AG147" s="725">
        <v>45</v>
      </c>
      <c r="AH147" s="726">
        <f>'[18]Fully Fitted Pricelist'!AA147-'[18]Fully Fitted Pricelist'!AD147</f>
        <v>915000</v>
      </c>
      <c r="AI147" s="723">
        <f>SUM(AK147:ES147)</f>
        <v>0</v>
      </c>
      <c r="AJ147" s="726">
        <f t="shared" si="90"/>
        <v>1220000</v>
      </c>
      <c r="AK147" s="723"/>
      <c r="AL147" s="723"/>
      <c r="AM147" s="723"/>
      <c r="AN147" s="723"/>
      <c r="AO147" s="723"/>
      <c r="AP147" s="723"/>
      <c r="AQ147" s="723"/>
      <c r="AR147" s="723"/>
      <c r="AS147" s="723"/>
      <c r="AT147" s="723"/>
      <c r="AU147" s="723"/>
      <c r="AV147" s="723"/>
      <c r="AW147" s="723"/>
      <c r="AX147" s="723"/>
      <c r="AY147" s="723"/>
      <c r="AZ147" s="723"/>
      <c r="BA147" s="723"/>
      <c r="BB147" s="723"/>
      <c r="BC147" s="723"/>
      <c r="BD147" s="723"/>
      <c r="BE147" s="723"/>
      <c r="BF147" s="723"/>
      <c r="BG147" s="723"/>
      <c r="BH147" s="723"/>
      <c r="BI147" s="723"/>
      <c r="BJ147" s="723"/>
      <c r="BK147" s="723"/>
      <c r="BL147" s="723"/>
      <c r="BM147" s="723"/>
      <c r="BN147" s="723"/>
      <c r="BO147" s="723"/>
      <c r="BP147" s="723"/>
      <c r="BQ147" s="723"/>
      <c r="BR147" s="723"/>
      <c r="BS147" s="723"/>
      <c r="BT147" s="723"/>
      <c r="BU147" s="723"/>
      <c r="BV147" s="723"/>
      <c r="BW147" s="723"/>
      <c r="BX147" s="723"/>
      <c r="BY147" s="723"/>
      <c r="BZ147" s="723"/>
      <c r="CA147" s="723"/>
      <c r="CB147" s="723"/>
      <c r="CC147" s="723"/>
      <c r="CD147" s="723"/>
      <c r="CE147" s="723"/>
      <c r="CF147" s="723"/>
      <c r="CG147" s="723"/>
      <c r="CH147" s="723"/>
      <c r="CI147" s="723"/>
      <c r="CJ147" s="723"/>
      <c r="CK147" s="723"/>
      <c r="CL147" s="723"/>
      <c r="CM147" s="723"/>
      <c r="CN147" s="723"/>
      <c r="CO147" s="723"/>
      <c r="CP147" s="723"/>
      <c r="CQ147" s="723"/>
      <c r="CR147" s="723"/>
      <c r="CS147" s="723"/>
      <c r="CT147" s="723"/>
      <c r="CU147" s="723"/>
      <c r="CV147" s="723"/>
      <c r="CW147" s="723"/>
      <c r="CX147" s="723"/>
      <c r="CY147" s="723"/>
      <c r="CZ147" s="723"/>
      <c r="DA147" s="723"/>
      <c r="DB147" s="723"/>
      <c r="DC147" s="723"/>
      <c r="DD147" s="723"/>
      <c r="DE147" s="723"/>
      <c r="DF147" s="723"/>
      <c r="DG147" s="723"/>
      <c r="DH147" s="723"/>
      <c r="DI147" s="723"/>
      <c r="DJ147" s="723"/>
      <c r="DK147" s="723"/>
      <c r="DL147" s="723"/>
      <c r="DM147" s="723"/>
      <c r="DN147" s="723"/>
      <c r="DO147" s="723"/>
      <c r="DP147" s="723"/>
      <c r="DQ147" s="723"/>
      <c r="DR147" s="723"/>
      <c r="DS147" s="723"/>
      <c r="DT147" s="723"/>
      <c r="DU147" s="723"/>
      <c r="DV147" s="723"/>
      <c r="DW147" s="734"/>
      <c r="DX147" s="734"/>
      <c r="DY147" s="734"/>
      <c r="DZ147" s="734"/>
      <c r="EA147" s="734"/>
      <c r="EB147" s="734"/>
      <c r="EC147" s="734"/>
      <c r="ED147" s="734"/>
      <c r="EE147" s="734"/>
      <c r="EF147" s="734"/>
      <c r="EG147" s="734"/>
      <c r="EH147" s="734"/>
      <c r="EI147" s="734"/>
      <c r="EJ147" s="734"/>
      <c r="EK147" s="734"/>
      <c r="EL147" s="734"/>
      <c r="EM147" s="734"/>
      <c r="EN147" s="734"/>
      <c r="EO147" s="734"/>
      <c r="EP147" s="734"/>
      <c r="EQ147" s="734"/>
      <c r="ER147" s="734"/>
      <c r="ES147" s="734"/>
    </row>
    <row r="148" spans="2:149" s="722" customFormat="1" hidden="1" x14ac:dyDescent="0.2">
      <c r="B148" s="722">
        <v>8</v>
      </c>
      <c r="D148" s="722" t="s">
        <v>269</v>
      </c>
      <c r="E148" s="722" t="s">
        <v>269</v>
      </c>
      <c r="F148" s="722" t="s">
        <v>277</v>
      </c>
      <c r="L148" s="726">
        <f>'[18]Fully Fitted Pricelist'!$L$141</f>
        <v>1000000</v>
      </c>
      <c r="O148" s="723"/>
      <c r="P148" s="723"/>
      <c r="R148" s="723"/>
      <c r="S148" s="723"/>
      <c r="T148" s="723"/>
      <c r="U148" s="723"/>
      <c r="V148" s="723"/>
      <c r="W148" s="726">
        <f t="shared" si="82"/>
        <v>1000000</v>
      </c>
      <c r="X148" s="726">
        <f t="shared" si="83"/>
        <v>65000</v>
      </c>
      <c r="Y148" s="726">
        <f t="shared" si="84"/>
        <v>35000</v>
      </c>
      <c r="Z148" s="726">
        <f t="shared" si="85"/>
        <v>120000</v>
      </c>
      <c r="AA148" s="726">
        <f t="shared" si="86"/>
        <v>1220000</v>
      </c>
      <c r="AB148" s="726"/>
      <c r="AC148" s="724"/>
      <c r="AD148" s="726">
        <f t="shared" si="87"/>
        <v>305000</v>
      </c>
      <c r="AE148" s="723">
        <v>30000</v>
      </c>
      <c r="AF148" s="726">
        <f t="shared" si="88"/>
        <v>6250</v>
      </c>
      <c r="AG148" s="725">
        <v>44</v>
      </c>
      <c r="AH148" s="726">
        <f>'[18]Fully Fitted Pricelist'!AA148-'[18]Fully Fitted Pricelist'!AD148</f>
        <v>915000</v>
      </c>
      <c r="AI148" s="723">
        <f>SUM(AK148:ES148)</f>
        <v>0</v>
      </c>
      <c r="AJ148" s="726">
        <f t="shared" si="90"/>
        <v>1220000</v>
      </c>
      <c r="AK148" s="723"/>
      <c r="AL148" s="723"/>
      <c r="AM148" s="723"/>
      <c r="AN148" s="723"/>
      <c r="AO148" s="723"/>
      <c r="AP148" s="723"/>
      <c r="AQ148" s="723"/>
      <c r="AR148" s="723"/>
      <c r="AS148" s="723"/>
      <c r="AT148" s="723"/>
      <c r="AU148" s="723"/>
      <c r="AV148" s="723"/>
      <c r="AW148" s="723"/>
      <c r="AX148" s="723"/>
      <c r="AY148" s="723"/>
      <c r="AZ148" s="723"/>
      <c r="BA148" s="723"/>
      <c r="BB148" s="723"/>
      <c r="BC148" s="723"/>
      <c r="BD148" s="723"/>
      <c r="BE148" s="723"/>
      <c r="BF148" s="723"/>
      <c r="BG148" s="723"/>
      <c r="BH148" s="723"/>
      <c r="BI148" s="723"/>
      <c r="BJ148" s="723"/>
      <c r="BK148" s="723"/>
      <c r="BL148" s="723"/>
      <c r="BM148" s="723"/>
      <c r="BN148" s="723"/>
      <c r="BO148" s="723"/>
      <c r="BP148" s="723"/>
      <c r="BQ148" s="723"/>
      <c r="BR148" s="723"/>
      <c r="BS148" s="723"/>
      <c r="BT148" s="723"/>
      <c r="BU148" s="723"/>
      <c r="BV148" s="723"/>
      <c r="BW148" s="723"/>
      <c r="BX148" s="723"/>
      <c r="BY148" s="723"/>
      <c r="BZ148" s="723"/>
      <c r="CA148" s="723"/>
      <c r="CB148" s="723"/>
      <c r="CC148" s="723"/>
      <c r="CD148" s="723"/>
      <c r="CE148" s="723"/>
      <c r="CF148" s="723"/>
      <c r="CG148" s="723"/>
      <c r="CH148" s="723"/>
      <c r="CI148" s="723"/>
      <c r="CJ148" s="723"/>
      <c r="CK148" s="723"/>
      <c r="CL148" s="723"/>
      <c r="CM148" s="723"/>
      <c r="CN148" s="723"/>
      <c r="CO148" s="723"/>
      <c r="CP148" s="723"/>
      <c r="CQ148" s="723"/>
      <c r="CR148" s="723"/>
      <c r="CS148" s="723"/>
      <c r="CT148" s="723"/>
      <c r="CU148" s="723"/>
      <c r="CV148" s="723"/>
      <c r="CW148" s="723"/>
      <c r="CX148" s="723"/>
      <c r="CY148" s="723"/>
      <c r="CZ148" s="723"/>
      <c r="DA148" s="723"/>
      <c r="DB148" s="723"/>
      <c r="DC148" s="723"/>
      <c r="DD148" s="723"/>
      <c r="DE148" s="723"/>
      <c r="DF148" s="723"/>
      <c r="DG148" s="723"/>
      <c r="DH148" s="723"/>
      <c r="DI148" s="723"/>
      <c r="DJ148" s="723"/>
      <c r="DK148" s="723"/>
      <c r="DL148" s="723"/>
      <c r="DM148" s="723"/>
      <c r="DN148" s="723"/>
      <c r="DO148" s="723"/>
      <c r="DP148" s="723"/>
      <c r="DQ148" s="723"/>
      <c r="DR148" s="723"/>
      <c r="DS148" s="723"/>
      <c r="DT148" s="723"/>
      <c r="DU148" s="723"/>
      <c r="DV148" s="723"/>
      <c r="DW148" s="734"/>
      <c r="DX148" s="734"/>
      <c r="DY148" s="734"/>
      <c r="DZ148" s="734"/>
      <c r="EA148" s="734"/>
      <c r="EB148" s="734"/>
      <c r="EC148" s="734"/>
      <c r="ED148" s="734"/>
      <c r="EE148" s="734"/>
      <c r="EF148" s="734"/>
      <c r="EG148" s="734"/>
      <c r="EH148" s="734"/>
      <c r="EI148" s="734"/>
      <c r="EJ148" s="734"/>
      <c r="EK148" s="734"/>
      <c r="EL148" s="734"/>
      <c r="EM148" s="734"/>
      <c r="EN148" s="734"/>
      <c r="EO148" s="734"/>
      <c r="EP148" s="734"/>
      <c r="EQ148" s="734"/>
      <c r="ER148" s="734"/>
      <c r="ES148" s="734"/>
    </row>
    <row r="149" spans="2:149" s="722" customFormat="1" hidden="1" x14ac:dyDescent="0.2">
      <c r="B149" s="722">
        <v>9</v>
      </c>
      <c r="D149" s="722" t="s">
        <v>269</v>
      </c>
      <c r="E149" s="722" t="s">
        <v>269</v>
      </c>
      <c r="F149" s="722" t="s">
        <v>278</v>
      </c>
      <c r="L149" s="726">
        <f>'[18]Fully Fitted Pricelist'!$L$141</f>
        <v>1000000</v>
      </c>
      <c r="O149" s="723"/>
      <c r="P149" s="723"/>
      <c r="R149" s="723"/>
      <c r="S149" s="723"/>
      <c r="T149" s="723"/>
      <c r="U149" s="723"/>
      <c r="V149" s="723"/>
      <c r="W149" s="726">
        <f t="shared" si="82"/>
        <v>1000000</v>
      </c>
      <c r="X149" s="726">
        <f t="shared" si="83"/>
        <v>65000</v>
      </c>
      <c r="Y149" s="726">
        <f t="shared" si="84"/>
        <v>35000</v>
      </c>
      <c r="Z149" s="726">
        <f t="shared" si="85"/>
        <v>120000</v>
      </c>
      <c r="AA149" s="726">
        <f t="shared" si="86"/>
        <v>1220000</v>
      </c>
      <c r="AB149" s="726"/>
      <c r="AC149" s="724"/>
      <c r="AD149" s="726">
        <f t="shared" si="87"/>
        <v>305000</v>
      </c>
      <c r="AE149" s="723">
        <v>30000</v>
      </c>
      <c r="AF149" s="726">
        <f t="shared" si="88"/>
        <v>6250</v>
      </c>
      <c r="AG149" s="725">
        <v>44</v>
      </c>
      <c r="AH149" s="726">
        <f>'[18]Fully Fitted Pricelist'!AA149-'[18]Fully Fitted Pricelist'!AD149</f>
        <v>915000</v>
      </c>
      <c r="AI149" s="723">
        <f>SUM(AK149:ES149)</f>
        <v>0</v>
      </c>
      <c r="AJ149" s="726">
        <f t="shared" si="90"/>
        <v>1220000</v>
      </c>
      <c r="AK149" s="723"/>
      <c r="AL149" s="723"/>
      <c r="AM149" s="723"/>
      <c r="AN149" s="723"/>
      <c r="AO149" s="723"/>
      <c r="AP149" s="723"/>
      <c r="AQ149" s="723"/>
      <c r="AR149" s="723"/>
      <c r="AS149" s="723"/>
      <c r="AT149" s="723"/>
      <c r="AU149" s="723"/>
      <c r="AV149" s="723"/>
      <c r="AW149" s="723"/>
      <c r="AX149" s="723"/>
      <c r="AY149" s="723"/>
      <c r="AZ149" s="723"/>
      <c r="BA149" s="723"/>
      <c r="BB149" s="723"/>
      <c r="BC149" s="723"/>
      <c r="BD149" s="723"/>
      <c r="BE149" s="723"/>
      <c r="BF149" s="723"/>
      <c r="BG149" s="723"/>
      <c r="BH149" s="723"/>
      <c r="BI149" s="723"/>
      <c r="BJ149" s="723"/>
      <c r="BK149" s="723"/>
      <c r="BL149" s="723"/>
      <c r="BM149" s="723"/>
      <c r="BN149" s="723"/>
      <c r="BO149" s="723"/>
      <c r="BP149" s="723"/>
      <c r="BQ149" s="723"/>
      <c r="BR149" s="723"/>
      <c r="BS149" s="723"/>
      <c r="BT149" s="723"/>
      <c r="BU149" s="723"/>
      <c r="BV149" s="723"/>
      <c r="BW149" s="723"/>
      <c r="BX149" s="723"/>
      <c r="BY149" s="723"/>
      <c r="BZ149" s="723"/>
      <c r="CA149" s="723"/>
      <c r="CB149" s="723"/>
      <c r="CC149" s="723"/>
      <c r="CD149" s="723"/>
      <c r="CE149" s="723"/>
      <c r="CF149" s="723"/>
      <c r="CG149" s="723"/>
      <c r="CH149" s="723"/>
      <c r="CI149" s="723"/>
      <c r="CJ149" s="723"/>
      <c r="CK149" s="723"/>
      <c r="CL149" s="723"/>
      <c r="CM149" s="723"/>
      <c r="CN149" s="723"/>
      <c r="CO149" s="723"/>
      <c r="CP149" s="723"/>
      <c r="CQ149" s="723"/>
      <c r="CR149" s="723"/>
      <c r="CS149" s="723"/>
      <c r="CT149" s="723"/>
      <c r="CU149" s="723"/>
      <c r="CV149" s="723"/>
      <c r="CW149" s="723"/>
      <c r="CX149" s="723"/>
      <c r="CY149" s="723"/>
      <c r="CZ149" s="723"/>
      <c r="DA149" s="723"/>
      <c r="DB149" s="723"/>
      <c r="DC149" s="723"/>
      <c r="DD149" s="723"/>
      <c r="DE149" s="723"/>
      <c r="DF149" s="723"/>
      <c r="DG149" s="723"/>
      <c r="DH149" s="723"/>
      <c r="DI149" s="723"/>
      <c r="DJ149" s="723"/>
      <c r="DK149" s="723"/>
      <c r="DL149" s="723"/>
      <c r="DM149" s="723"/>
      <c r="DN149" s="723"/>
      <c r="DO149" s="723"/>
      <c r="DP149" s="723"/>
      <c r="DQ149" s="723"/>
      <c r="DR149" s="723"/>
      <c r="DS149" s="723"/>
      <c r="DT149" s="723"/>
      <c r="DU149" s="723"/>
      <c r="DV149" s="723"/>
      <c r="DW149" s="734"/>
      <c r="DX149" s="734"/>
      <c r="DY149" s="734"/>
      <c r="DZ149" s="734"/>
      <c r="EA149" s="734"/>
      <c r="EB149" s="734"/>
      <c r="EC149" s="734"/>
      <c r="ED149" s="734"/>
      <c r="EE149" s="734"/>
      <c r="EF149" s="734"/>
      <c r="EG149" s="734"/>
      <c r="EH149" s="734"/>
      <c r="EI149" s="734"/>
      <c r="EJ149" s="734"/>
      <c r="EK149" s="734"/>
      <c r="EL149" s="734"/>
      <c r="EM149" s="734"/>
      <c r="EN149" s="734"/>
      <c r="EO149" s="734"/>
      <c r="EP149" s="734"/>
      <c r="EQ149" s="734"/>
      <c r="ER149" s="734"/>
      <c r="ES149" s="734"/>
    </row>
    <row r="150" spans="2:149" s="722" customFormat="1" hidden="1" x14ac:dyDescent="0.2">
      <c r="B150" s="722">
        <v>10</v>
      </c>
      <c r="D150" s="722" t="s">
        <v>269</v>
      </c>
      <c r="E150" s="722" t="s">
        <v>269</v>
      </c>
      <c r="F150" s="722" t="s">
        <v>279</v>
      </c>
      <c r="L150" s="726">
        <f>'[18]Fully Fitted Pricelist'!$L$141</f>
        <v>1000000</v>
      </c>
      <c r="O150" s="723"/>
      <c r="P150" s="723"/>
      <c r="R150" s="723"/>
      <c r="S150" s="723"/>
      <c r="T150" s="723"/>
      <c r="U150" s="723"/>
      <c r="V150" s="723"/>
      <c r="W150" s="726">
        <f t="shared" si="82"/>
        <v>1000000</v>
      </c>
      <c r="X150" s="726">
        <f t="shared" si="83"/>
        <v>65000</v>
      </c>
      <c r="Y150" s="726">
        <f t="shared" si="84"/>
        <v>35000</v>
      </c>
      <c r="Z150" s="726">
        <f t="shared" si="85"/>
        <v>120000</v>
      </c>
      <c r="AA150" s="726">
        <f t="shared" si="86"/>
        <v>1220000</v>
      </c>
      <c r="AB150" s="726"/>
      <c r="AC150" s="724"/>
      <c r="AD150" s="726">
        <f t="shared" si="87"/>
        <v>305000</v>
      </c>
      <c r="AE150" s="723">
        <v>30000</v>
      </c>
      <c r="AF150" s="726">
        <f t="shared" si="88"/>
        <v>6250</v>
      </c>
      <c r="AG150" s="725">
        <v>44</v>
      </c>
      <c r="AH150" s="726">
        <f>'[18]Fully Fitted Pricelist'!AA150-'[18]Fully Fitted Pricelist'!AD150</f>
        <v>915000</v>
      </c>
      <c r="AI150" s="723">
        <f t="shared" si="89"/>
        <v>0</v>
      </c>
      <c r="AJ150" s="726">
        <f t="shared" si="90"/>
        <v>1220000</v>
      </c>
      <c r="AK150" s="723"/>
      <c r="AL150" s="723"/>
      <c r="AM150" s="723"/>
      <c r="AN150" s="723"/>
      <c r="AO150" s="723"/>
      <c r="AP150" s="723"/>
      <c r="AQ150" s="723"/>
      <c r="AR150" s="723"/>
      <c r="AS150" s="723"/>
      <c r="AT150" s="723"/>
      <c r="AU150" s="723"/>
      <c r="AV150" s="723"/>
      <c r="AW150" s="723"/>
      <c r="AX150" s="723"/>
      <c r="AY150" s="723"/>
      <c r="AZ150" s="723"/>
      <c r="BA150" s="723"/>
      <c r="BB150" s="723"/>
      <c r="BC150" s="723"/>
      <c r="BD150" s="723"/>
      <c r="BE150" s="723"/>
      <c r="BF150" s="723"/>
      <c r="BG150" s="723"/>
      <c r="BH150" s="723"/>
      <c r="BI150" s="723"/>
      <c r="BJ150" s="723"/>
      <c r="BK150" s="723"/>
      <c r="BL150" s="723"/>
      <c r="BM150" s="723"/>
      <c r="BN150" s="723"/>
      <c r="BO150" s="723"/>
      <c r="BP150" s="723"/>
      <c r="BQ150" s="723"/>
      <c r="BR150" s="723"/>
      <c r="BS150" s="723"/>
      <c r="BT150" s="723"/>
      <c r="BU150" s="723"/>
      <c r="BV150" s="723"/>
      <c r="BW150" s="723"/>
      <c r="BX150" s="723"/>
      <c r="BY150" s="723"/>
      <c r="BZ150" s="723"/>
      <c r="CA150" s="723"/>
      <c r="CB150" s="723"/>
      <c r="CC150" s="723"/>
      <c r="CD150" s="723"/>
      <c r="CE150" s="723"/>
      <c r="CF150" s="723"/>
      <c r="CG150" s="723"/>
      <c r="CH150" s="723"/>
      <c r="CI150" s="723"/>
      <c r="CJ150" s="723"/>
      <c r="CK150" s="723"/>
      <c r="CL150" s="723"/>
      <c r="CM150" s="723"/>
      <c r="CN150" s="723"/>
      <c r="CO150" s="723"/>
      <c r="CP150" s="723"/>
      <c r="CQ150" s="723"/>
      <c r="CR150" s="723"/>
      <c r="CS150" s="723"/>
      <c r="CT150" s="723"/>
      <c r="CU150" s="723"/>
      <c r="CV150" s="723"/>
      <c r="CW150" s="723"/>
      <c r="CX150" s="723"/>
      <c r="CY150" s="723"/>
      <c r="CZ150" s="723"/>
      <c r="DA150" s="723"/>
      <c r="DB150" s="723"/>
      <c r="DC150" s="723"/>
      <c r="DD150" s="723"/>
      <c r="DE150" s="723"/>
      <c r="DF150" s="723"/>
      <c r="DG150" s="723"/>
      <c r="DH150" s="723"/>
      <c r="DI150" s="723"/>
      <c r="DJ150" s="723"/>
      <c r="DK150" s="723"/>
      <c r="DL150" s="723"/>
      <c r="DM150" s="723"/>
      <c r="DN150" s="723"/>
      <c r="DO150" s="723"/>
      <c r="DP150" s="723"/>
      <c r="DQ150" s="723"/>
      <c r="DR150" s="723"/>
      <c r="DS150" s="723"/>
      <c r="DT150" s="723"/>
      <c r="DU150" s="723"/>
      <c r="DV150" s="723"/>
      <c r="DW150" s="734"/>
      <c r="DX150" s="734"/>
      <c r="DY150" s="734"/>
      <c r="DZ150" s="734"/>
      <c r="EA150" s="734"/>
      <c r="EB150" s="734"/>
      <c r="EC150" s="734"/>
      <c r="ED150" s="734"/>
      <c r="EE150" s="734"/>
      <c r="EF150" s="734"/>
      <c r="EG150" s="734"/>
      <c r="EH150" s="734"/>
      <c r="EI150" s="734"/>
      <c r="EJ150" s="734"/>
      <c r="EK150" s="734"/>
      <c r="EL150" s="734"/>
      <c r="EM150" s="734"/>
      <c r="EN150" s="734"/>
      <c r="EO150" s="734"/>
      <c r="EP150" s="734"/>
      <c r="EQ150" s="734"/>
      <c r="ER150" s="734"/>
      <c r="ES150" s="734"/>
    </row>
    <row r="151" spans="2:149" s="722" customFormat="1" hidden="1" x14ac:dyDescent="0.2">
      <c r="B151" s="722">
        <v>11</v>
      </c>
      <c r="D151" s="722" t="s">
        <v>269</v>
      </c>
      <c r="E151" s="722" t="s">
        <v>269</v>
      </c>
      <c r="F151" s="722" t="s">
        <v>280</v>
      </c>
      <c r="L151" s="726">
        <f>'[18]Fully Fitted Pricelist'!$L$141</f>
        <v>1000000</v>
      </c>
      <c r="O151" s="723"/>
      <c r="P151" s="723"/>
      <c r="R151" s="723"/>
      <c r="S151" s="723"/>
      <c r="T151" s="723"/>
      <c r="U151" s="723"/>
      <c r="V151" s="723"/>
      <c r="W151" s="726">
        <f t="shared" si="82"/>
        <v>1000000</v>
      </c>
      <c r="X151" s="726">
        <f t="shared" si="83"/>
        <v>65000</v>
      </c>
      <c r="Y151" s="726">
        <f t="shared" si="84"/>
        <v>35000</v>
      </c>
      <c r="Z151" s="726">
        <f t="shared" si="85"/>
        <v>120000</v>
      </c>
      <c r="AA151" s="726">
        <f t="shared" si="86"/>
        <v>1220000</v>
      </c>
      <c r="AB151" s="726"/>
      <c r="AC151" s="724"/>
      <c r="AD151" s="726">
        <f t="shared" si="87"/>
        <v>305000</v>
      </c>
      <c r="AE151" s="723">
        <v>30000</v>
      </c>
      <c r="AF151" s="726">
        <f t="shared" si="88"/>
        <v>6250</v>
      </c>
      <c r="AG151" s="725">
        <v>44</v>
      </c>
      <c r="AH151" s="726">
        <f>'[18]Fully Fitted Pricelist'!AA151-'[18]Fully Fitted Pricelist'!AD151</f>
        <v>915000</v>
      </c>
      <c r="AI151" s="723">
        <f t="shared" ref="AI151:AI164" si="91">SUM(AL151:ES151)</f>
        <v>0</v>
      </c>
      <c r="AJ151" s="726">
        <f t="shared" si="90"/>
        <v>1220000</v>
      </c>
      <c r="AL151" s="723"/>
      <c r="AM151" s="723"/>
      <c r="AN151" s="723"/>
      <c r="AO151" s="723"/>
      <c r="AP151" s="723"/>
      <c r="AQ151" s="723"/>
      <c r="AR151" s="723"/>
      <c r="AS151" s="723"/>
      <c r="AT151" s="723"/>
      <c r="AU151" s="723"/>
      <c r="AV151" s="723"/>
      <c r="AW151" s="723"/>
      <c r="AX151" s="723"/>
      <c r="AY151" s="723"/>
      <c r="AZ151" s="723"/>
      <c r="BA151" s="723"/>
      <c r="BB151" s="723"/>
      <c r="BC151" s="723"/>
      <c r="BD151" s="723"/>
      <c r="BE151" s="723"/>
      <c r="BF151" s="723"/>
      <c r="BG151" s="723"/>
      <c r="BH151" s="723"/>
      <c r="BI151" s="723"/>
      <c r="BJ151" s="723"/>
      <c r="BK151" s="723"/>
      <c r="BL151" s="723"/>
      <c r="BM151" s="723"/>
      <c r="BN151" s="723"/>
      <c r="BO151" s="723"/>
      <c r="BP151" s="723"/>
      <c r="BQ151" s="723"/>
      <c r="BR151" s="723"/>
      <c r="BS151" s="723"/>
      <c r="BT151" s="723"/>
      <c r="BU151" s="723"/>
      <c r="BV151" s="723"/>
      <c r="BW151" s="723"/>
      <c r="BX151" s="723"/>
      <c r="BY151" s="723"/>
      <c r="BZ151" s="723"/>
      <c r="CA151" s="723"/>
      <c r="CB151" s="723"/>
      <c r="CC151" s="723"/>
      <c r="CD151" s="723"/>
      <c r="CE151" s="723"/>
      <c r="CF151" s="723"/>
      <c r="CG151" s="723"/>
      <c r="CH151" s="723"/>
      <c r="CI151" s="723"/>
      <c r="CJ151" s="723"/>
      <c r="CK151" s="723"/>
      <c r="CL151" s="723"/>
      <c r="CM151" s="723"/>
      <c r="CN151" s="723"/>
      <c r="CO151" s="723"/>
      <c r="CP151" s="723"/>
      <c r="CQ151" s="723"/>
      <c r="CR151" s="723"/>
      <c r="CS151" s="723"/>
      <c r="CT151" s="723"/>
      <c r="CU151" s="723"/>
      <c r="CV151" s="723"/>
      <c r="CW151" s="723"/>
      <c r="CX151" s="723"/>
      <c r="CY151" s="723"/>
      <c r="CZ151" s="723"/>
      <c r="DA151" s="723"/>
      <c r="DB151" s="723"/>
      <c r="DC151" s="723"/>
      <c r="DD151" s="723"/>
      <c r="DE151" s="723"/>
      <c r="DF151" s="723"/>
      <c r="DG151" s="723"/>
      <c r="DH151" s="723"/>
      <c r="DI151" s="723"/>
      <c r="DJ151" s="723"/>
      <c r="DK151" s="723"/>
      <c r="DL151" s="723"/>
      <c r="DM151" s="723"/>
      <c r="DN151" s="723"/>
      <c r="DO151" s="723"/>
      <c r="DP151" s="723"/>
      <c r="DQ151" s="723"/>
      <c r="DR151" s="723"/>
      <c r="DS151" s="723"/>
      <c r="DT151" s="723"/>
      <c r="DU151" s="723"/>
      <c r="DV151" s="723"/>
      <c r="DW151" s="734"/>
      <c r="DX151" s="734"/>
      <c r="DY151" s="734"/>
      <c r="DZ151" s="734"/>
      <c r="EA151" s="734"/>
      <c r="EB151" s="734"/>
      <c r="EC151" s="734"/>
      <c r="ED151" s="734"/>
      <c r="EE151" s="734"/>
      <c r="EF151" s="734"/>
      <c r="EG151" s="734"/>
      <c r="EH151" s="734"/>
      <c r="EI151" s="734"/>
      <c r="EJ151" s="734"/>
      <c r="EK151" s="734"/>
      <c r="EL151" s="734"/>
      <c r="EM151" s="734"/>
      <c r="EN151" s="734"/>
      <c r="EO151" s="734"/>
      <c r="EP151" s="734"/>
      <c r="EQ151" s="734"/>
      <c r="ER151" s="734"/>
      <c r="ES151" s="734"/>
    </row>
    <row r="152" spans="2:149" s="722" customFormat="1" hidden="1" x14ac:dyDescent="0.2">
      <c r="B152" s="722">
        <v>12</v>
      </c>
      <c r="D152" s="722" t="s">
        <v>269</v>
      </c>
      <c r="E152" s="722" t="s">
        <v>269</v>
      </c>
      <c r="F152" s="722" t="s">
        <v>281</v>
      </c>
      <c r="L152" s="726">
        <f>'[18]Fully Fitted Pricelist'!$L$141</f>
        <v>1000000</v>
      </c>
      <c r="O152" s="723"/>
      <c r="P152" s="723"/>
      <c r="R152" s="723"/>
      <c r="S152" s="723"/>
      <c r="T152" s="723"/>
      <c r="U152" s="723"/>
      <c r="V152" s="723"/>
      <c r="W152" s="726">
        <f t="shared" si="82"/>
        <v>1000000</v>
      </c>
      <c r="X152" s="726">
        <f t="shared" si="83"/>
        <v>65000</v>
      </c>
      <c r="Y152" s="726">
        <f t="shared" si="84"/>
        <v>35000</v>
      </c>
      <c r="Z152" s="726">
        <f t="shared" si="85"/>
        <v>120000</v>
      </c>
      <c r="AA152" s="726">
        <f t="shared" si="86"/>
        <v>1220000</v>
      </c>
      <c r="AB152" s="726"/>
      <c r="AC152" s="724"/>
      <c r="AD152" s="726">
        <f t="shared" si="87"/>
        <v>305000</v>
      </c>
      <c r="AE152" s="723">
        <v>30000</v>
      </c>
      <c r="AF152" s="726">
        <f t="shared" si="88"/>
        <v>6250</v>
      </c>
      <c r="AG152" s="725">
        <v>44</v>
      </c>
      <c r="AH152" s="726">
        <f>'[18]Fully Fitted Pricelist'!AA152-'[18]Fully Fitted Pricelist'!AD152</f>
        <v>915000</v>
      </c>
      <c r="AI152" s="723">
        <f t="shared" si="91"/>
        <v>0</v>
      </c>
      <c r="AJ152" s="726">
        <f t="shared" si="90"/>
        <v>1220000</v>
      </c>
      <c r="AL152" s="723"/>
      <c r="AM152" s="723"/>
      <c r="AN152" s="723"/>
      <c r="AO152" s="723"/>
      <c r="AP152" s="723"/>
      <c r="AQ152" s="723"/>
      <c r="AR152" s="723"/>
      <c r="AS152" s="723"/>
      <c r="AT152" s="723"/>
      <c r="AU152" s="723"/>
      <c r="AV152" s="723"/>
      <c r="AW152" s="723"/>
      <c r="AX152" s="723"/>
      <c r="AY152" s="723"/>
      <c r="AZ152" s="723"/>
      <c r="BA152" s="723"/>
      <c r="BB152" s="723"/>
      <c r="BC152" s="723"/>
      <c r="BD152" s="723"/>
      <c r="BE152" s="723"/>
      <c r="BF152" s="723"/>
      <c r="BG152" s="723"/>
      <c r="BH152" s="723"/>
      <c r="BI152" s="723"/>
      <c r="BJ152" s="723"/>
      <c r="BK152" s="723"/>
      <c r="BL152" s="723"/>
      <c r="BM152" s="723"/>
      <c r="BN152" s="723"/>
      <c r="BO152" s="723"/>
      <c r="BP152" s="723"/>
      <c r="BQ152" s="723"/>
      <c r="BR152" s="723"/>
      <c r="BS152" s="723"/>
      <c r="BT152" s="723"/>
      <c r="BU152" s="723"/>
      <c r="BV152" s="723"/>
      <c r="BW152" s="723"/>
      <c r="BX152" s="723"/>
      <c r="BY152" s="723"/>
      <c r="BZ152" s="723"/>
      <c r="CA152" s="723"/>
      <c r="CB152" s="723"/>
      <c r="CC152" s="723"/>
      <c r="CD152" s="723"/>
      <c r="CE152" s="723"/>
      <c r="CF152" s="723"/>
      <c r="CG152" s="723"/>
      <c r="CH152" s="723"/>
      <c r="CI152" s="723"/>
      <c r="CJ152" s="723"/>
      <c r="CK152" s="723"/>
      <c r="CL152" s="723"/>
      <c r="CM152" s="723"/>
      <c r="CN152" s="723"/>
      <c r="CO152" s="723"/>
      <c r="CP152" s="723"/>
      <c r="CQ152" s="723"/>
      <c r="CR152" s="723"/>
      <c r="CS152" s="723"/>
      <c r="CT152" s="723"/>
      <c r="CU152" s="723"/>
      <c r="CV152" s="723"/>
      <c r="CW152" s="723"/>
      <c r="CX152" s="723"/>
      <c r="CY152" s="723"/>
      <c r="CZ152" s="723"/>
      <c r="DA152" s="723"/>
      <c r="DB152" s="723"/>
      <c r="DC152" s="723"/>
      <c r="DD152" s="723"/>
      <c r="DE152" s="723"/>
      <c r="DF152" s="723"/>
      <c r="DG152" s="723"/>
      <c r="DH152" s="723"/>
      <c r="DI152" s="723"/>
      <c r="DJ152" s="723"/>
      <c r="DK152" s="723"/>
      <c r="DL152" s="723"/>
      <c r="DM152" s="723"/>
      <c r="DN152" s="723"/>
      <c r="DO152" s="723"/>
      <c r="DP152" s="723"/>
      <c r="DQ152" s="723"/>
      <c r="DR152" s="723"/>
      <c r="DS152" s="723"/>
      <c r="DT152" s="723"/>
      <c r="DU152" s="723"/>
      <c r="DV152" s="723"/>
      <c r="DW152" s="734"/>
      <c r="DX152" s="734"/>
      <c r="DY152" s="734"/>
      <c r="DZ152" s="734"/>
      <c r="EA152" s="734"/>
      <c r="EB152" s="734"/>
      <c r="EC152" s="734"/>
      <c r="ED152" s="734"/>
      <c r="EE152" s="734"/>
      <c r="EF152" s="734"/>
      <c r="EG152" s="734"/>
      <c r="EH152" s="734"/>
      <c r="EI152" s="734"/>
      <c r="EJ152" s="734"/>
      <c r="EK152" s="734"/>
      <c r="EL152" s="734"/>
      <c r="EM152" s="734"/>
      <c r="EN152" s="734"/>
      <c r="EO152" s="734"/>
      <c r="EP152" s="734"/>
      <c r="EQ152" s="734"/>
      <c r="ER152" s="734"/>
      <c r="ES152" s="734"/>
    </row>
    <row r="153" spans="2:149" s="722" customFormat="1" hidden="1" x14ac:dyDescent="0.2">
      <c r="B153" s="722">
        <v>13</v>
      </c>
      <c r="D153" s="722" t="s">
        <v>269</v>
      </c>
      <c r="E153" s="722" t="s">
        <v>269</v>
      </c>
      <c r="F153" s="722" t="s">
        <v>282</v>
      </c>
      <c r="L153" s="726">
        <f>'[18]Fully Fitted Pricelist'!$L$141</f>
        <v>1000000</v>
      </c>
      <c r="O153" s="723"/>
      <c r="P153" s="723"/>
      <c r="R153" s="723"/>
      <c r="S153" s="723"/>
      <c r="T153" s="723"/>
      <c r="U153" s="723"/>
      <c r="V153" s="723"/>
      <c r="W153" s="726">
        <f t="shared" si="82"/>
        <v>1000000</v>
      </c>
      <c r="X153" s="726">
        <f t="shared" si="83"/>
        <v>65000</v>
      </c>
      <c r="Y153" s="726">
        <f t="shared" si="84"/>
        <v>35000</v>
      </c>
      <c r="Z153" s="726">
        <f t="shared" si="85"/>
        <v>120000</v>
      </c>
      <c r="AA153" s="726">
        <f t="shared" si="86"/>
        <v>1220000</v>
      </c>
      <c r="AB153" s="726"/>
      <c r="AC153" s="724"/>
      <c r="AD153" s="726">
        <f t="shared" si="87"/>
        <v>305000</v>
      </c>
      <c r="AE153" s="723">
        <v>30000</v>
      </c>
      <c r="AF153" s="726">
        <f t="shared" si="88"/>
        <v>6250</v>
      </c>
      <c r="AG153" s="725">
        <v>44</v>
      </c>
      <c r="AH153" s="726">
        <f>'[18]Fully Fitted Pricelist'!AA153-'[18]Fully Fitted Pricelist'!AD153</f>
        <v>915000</v>
      </c>
      <c r="AI153" s="723">
        <f t="shared" si="91"/>
        <v>0</v>
      </c>
      <c r="AJ153" s="726">
        <f t="shared" si="90"/>
        <v>1220000</v>
      </c>
      <c r="AL153" s="723"/>
      <c r="AM153" s="723"/>
      <c r="AN153" s="723"/>
      <c r="AO153" s="723"/>
      <c r="AP153" s="723"/>
      <c r="AQ153" s="723"/>
      <c r="AR153" s="723"/>
      <c r="AS153" s="723"/>
      <c r="AT153" s="723"/>
      <c r="AU153" s="723"/>
      <c r="AV153" s="723"/>
      <c r="AW153" s="723"/>
      <c r="AX153" s="723"/>
      <c r="AY153" s="723"/>
      <c r="AZ153" s="723"/>
      <c r="BA153" s="723"/>
      <c r="BB153" s="723"/>
      <c r="BC153" s="723"/>
      <c r="BD153" s="723"/>
      <c r="BE153" s="723"/>
      <c r="BF153" s="723"/>
      <c r="BG153" s="723"/>
      <c r="BH153" s="723"/>
      <c r="BI153" s="723"/>
      <c r="BJ153" s="723"/>
      <c r="BK153" s="723"/>
      <c r="BL153" s="723"/>
      <c r="BM153" s="723"/>
      <c r="BN153" s="723"/>
      <c r="BO153" s="723"/>
      <c r="BP153" s="723"/>
      <c r="BQ153" s="723"/>
      <c r="BR153" s="723"/>
      <c r="BS153" s="723"/>
      <c r="BT153" s="723"/>
      <c r="BU153" s="723"/>
      <c r="BV153" s="723"/>
      <c r="BW153" s="723"/>
      <c r="BX153" s="723"/>
      <c r="BY153" s="723"/>
      <c r="BZ153" s="723"/>
      <c r="CA153" s="723"/>
      <c r="CB153" s="723"/>
      <c r="CC153" s="723"/>
      <c r="CD153" s="723"/>
      <c r="CE153" s="723"/>
      <c r="CF153" s="723"/>
      <c r="CG153" s="723"/>
      <c r="CH153" s="723"/>
      <c r="CI153" s="723"/>
      <c r="CJ153" s="723"/>
      <c r="CK153" s="723"/>
      <c r="CL153" s="723"/>
      <c r="CM153" s="723"/>
      <c r="CN153" s="723"/>
      <c r="CO153" s="723"/>
      <c r="CP153" s="723"/>
      <c r="CQ153" s="723"/>
      <c r="CR153" s="723"/>
      <c r="CS153" s="723"/>
      <c r="CT153" s="723"/>
      <c r="CU153" s="723"/>
      <c r="CV153" s="723"/>
      <c r="CW153" s="723"/>
      <c r="CX153" s="723"/>
      <c r="CY153" s="723"/>
      <c r="CZ153" s="723"/>
      <c r="DA153" s="723"/>
      <c r="DB153" s="723"/>
      <c r="DC153" s="723"/>
      <c r="DD153" s="723"/>
      <c r="DE153" s="723"/>
      <c r="DF153" s="723"/>
      <c r="DG153" s="723"/>
      <c r="DH153" s="723"/>
      <c r="DI153" s="723"/>
      <c r="DJ153" s="723"/>
      <c r="DK153" s="723"/>
      <c r="DL153" s="723"/>
      <c r="DM153" s="723"/>
      <c r="DN153" s="723"/>
      <c r="DO153" s="723"/>
      <c r="DP153" s="723"/>
      <c r="DQ153" s="723"/>
      <c r="DR153" s="723"/>
      <c r="DS153" s="723"/>
      <c r="DT153" s="723"/>
      <c r="DU153" s="723"/>
      <c r="DV153" s="723"/>
      <c r="DW153" s="734"/>
      <c r="DX153" s="734"/>
      <c r="DY153" s="734"/>
      <c r="DZ153" s="734"/>
      <c r="EA153" s="734"/>
      <c r="EB153" s="734"/>
      <c r="EC153" s="734"/>
      <c r="ED153" s="734"/>
      <c r="EE153" s="734"/>
      <c r="EF153" s="734"/>
      <c r="EG153" s="734"/>
      <c r="EH153" s="734"/>
      <c r="EI153" s="734"/>
      <c r="EJ153" s="734"/>
      <c r="EK153" s="734"/>
      <c r="EL153" s="734"/>
      <c r="EM153" s="734"/>
      <c r="EN153" s="734"/>
      <c r="EO153" s="734"/>
      <c r="EP153" s="734"/>
      <c r="EQ153" s="734"/>
      <c r="ER153" s="734"/>
      <c r="ES153" s="734"/>
    </row>
    <row r="154" spans="2:149" hidden="1" x14ac:dyDescent="0.2">
      <c r="B154" s="722">
        <v>14</v>
      </c>
      <c r="D154" s="722" t="s">
        <v>269</v>
      </c>
      <c r="E154" s="722" t="s">
        <v>269</v>
      </c>
      <c r="F154" s="722" t="s">
        <v>283</v>
      </c>
      <c r="L154" s="726">
        <f>'[18]Fully Fitted Pricelist'!$L$141</f>
        <v>1000000</v>
      </c>
      <c r="W154" s="726">
        <f t="shared" si="82"/>
        <v>1000000</v>
      </c>
      <c r="X154" s="726">
        <f>W154*6.5%</f>
        <v>65000</v>
      </c>
      <c r="Y154" s="726">
        <f>W154*3.5%</f>
        <v>35000</v>
      </c>
      <c r="Z154" s="726">
        <f>W154*12%</f>
        <v>120000</v>
      </c>
      <c r="AA154" s="726">
        <f t="shared" si="86"/>
        <v>1220000</v>
      </c>
      <c r="AB154" s="726"/>
      <c r="AD154" s="726">
        <f>AA154*25%</f>
        <v>305000</v>
      </c>
      <c r="AE154" s="723">
        <f>'[19]Package Breakdown'!U27</f>
        <v>30000</v>
      </c>
      <c r="AF154" s="726">
        <f>(AD154-AE154)/(AG154)</f>
        <v>6250</v>
      </c>
      <c r="AG154" s="725">
        <v>44</v>
      </c>
      <c r="AH154" s="726">
        <f>'[18]Fully Fitted Pricelist'!AA154-'[18]Fully Fitted Pricelist'!AD154</f>
        <v>915000</v>
      </c>
      <c r="AI154" s="723">
        <f t="shared" si="91"/>
        <v>0</v>
      </c>
      <c r="AJ154" s="726">
        <f>AA154-AI154</f>
        <v>1220000</v>
      </c>
      <c r="AK154" s="721"/>
      <c r="CF154" s="727"/>
      <c r="CG154" s="727"/>
      <c r="CH154" s="727"/>
      <c r="CI154" s="727"/>
      <c r="CJ154" s="727"/>
      <c r="CK154" s="727"/>
      <c r="CL154" s="727"/>
      <c r="CM154" s="727"/>
      <c r="CN154" s="727"/>
      <c r="CO154" s="727"/>
      <c r="CP154" s="727"/>
      <c r="CQ154" s="727"/>
      <c r="CR154" s="727"/>
      <c r="CS154" s="727"/>
      <c r="CT154" s="727"/>
      <c r="CU154" s="727"/>
      <c r="CV154" s="727"/>
      <c r="CW154" s="727"/>
      <c r="CX154" s="727"/>
      <c r="CY154" s="727"/>
      <c r="CZ154" s="727"/>
      <c r="DA154" s="727"/>
      <c r="DB154" s="727"/>
      <c r="DC154" s="727"/>
      <c r="DD154" s="727"/>
      <c r="DE154" s="727"/>
      <c r="DF154" s="727"/>
      <c r="DG154" s="727"/>
      <c r="DH154" s="727"/>
      <c r="DI154" s="727"/>
      <c r="DJ154" s="727"/>
      <c r="DK154" s="727"/>
      <c r="DL154" s="727"/>
      <c r="DM154" s="727"/>
      <c r="DN154" s="727"/>
      <c r="DO154" s="727"/>
      <c r="DP154" s="727"/>
      <c r="DQ154" s="727"/>
      <c r="DR154" s="727"/>
      <c r="DS154" s="727"/>
      <c r="DT154" s="727"/>
      <c r="DU154" s="727"/>
      <c r="DV154" s="727"/>
    </row>
    <row r="155" spans="2:149" hidden="1" x14ac:dyDescent="0.2">
      <c r="B155" s="722">
        <v>15</v>
      </c>
      <c r="D155" s="722" t="s">
        <v>269</v>
      </c>
      <c r="E155" s="722" t="s">
        <v>269</v>
      </c>
      <c r="F155" s="722" t="s">
        <v>284</v>
      </c>
      <c r="L155" s="726">
        <f>'[18]Fully Fitted Pricelist'!$L$141</f>
        <v>1000000</v>
      </c>
      <c r="W155" s="726">
        <f t="shared" si="82"/>
        <v>1000000</v>
      </c>
      <c r="X155" s="726">
        <f t="shared" ref="X155:X252" si="92">W155*6.5%</f>
        <v>65000</v>
      </c>
      <c r="Y155" s="726">
        <f t="shared" ref="Y155:Y252" si="93">W155*3.5%</f>
        <v>35000</v>
      </c>
      <c r="Z155" s="726">
        <f t="shared" ref="Z155:Z252" si="94">W155*12%</f>
        <v>120000</v>
      </c>
      <c r="AA155" s="726">
        <f t="shared" si="86"/>
        <v>1220000</v>
      </c>
      <c r="AB155" s="726"/>
      <c r="AD155" s="726">
        <f t="shared" ref="AD155:AD252" si="95">AA155*25%</f>
        <v>305000</v>
      </c>
      <c r="AE155" s="723">
        <f>AE154</f>
        <v>30000</v>
      </c>
      <c r="AF155" s="726">
        <f t="shared" ref="AF155:AF252" si="96">(AD155-AE155)/(AG155)</f>
        <v>6395.3488372093025</v>
      </c>
      <c r="AG155" s="725">
        <v>43</v>
      </c>
      <c r="AH155" s="726">
        <f>'[18]Fully Fitted Pricelist'!AA155-'[18]Fully Fitted Pricelist'!AD155</f>
        <v>915000</v>
      </c>
      <c r="AI155" s="723">
        <f t="shared" si="91"/>
        <v>0</v>
      </c>
      <c r="AJ155" s="726">
        <f t="shared" ref="AJ155:AJ252" si="97">AA155-AI155</f>
        <v>1220000</v>
      </c>
      <c r="AK155" s="721"/>
      <c r="CF155" s="727"/>
      <c r="CG155" s="727"/>
      <c r="CH155" s="727"/>
      <c r="CI155" s="727"/>
      <c r="CJ155" s="727"/>
      <c r="CK155" s="727"/>
      <c r="CL155" s="727"/>
      <c r="CM155" s="727"/>
      <c r="CN155" s="727"/>
      <c r="CO155" s="727"/>
      <c r="CP155" s="727"/>
      <c r="CQ155" s="727"/>
      <c r="CR155" s="727"/>
      <c r="CS155" s="727"/>
      <c r="CT155" s="727"/>
      <c r="CU155" s="727"/>
      <c r="CV155" s="727"/>
      <c r="CW155" s="727"/>
      <c r="CX155" s="727"/>
      <c r="CY155" s="727"/>
      <c r="CZ155" s="727"/>
      <c r="DA155" s="727"/>
      <c r="DB155" s="727"/>
      <c r="DC155" s="727"/>
      <c r="DD155" s="727"/>
      <c r="DE155" s="727"/>
      <c r="DF155" s="727"/>
      <c r="DG155" s="727"/>
      <c r="DH155" s="727"/>
      <c r="DI155" s="727"/>
      <c r="DJ155" s="727"/>
      <c r="DK155" s="727"/>
      <c r="DL155" s="727"/>
      <c r="DM155" s="727"/>
      <c r="DN155" s="727"/>
      <c r="DO155" s="727"/>
      <c r="DP155" s="727"/>
      <c r="DQ155" s="727"/>
      <c r="DR155" s="727"/>
      <c r="DS155" s="727"/>
      <c r="DT155" s="727"/>
      <c r="DU155" s="727"/>
      <c r="DV155" s="727"/>
    </row>
    <row r="156" spans="2:149" hidden="1" x14ac:dyDescent="0.2">
      <c r="B156" s="722">
        <v>16</v>
      </c>
      <c r="D156" s="722" t="s">
        <v>269</v>
      </c>
      <c r="E156" s="722" t="s">
        <v>269</v>
      </c>
      <c r="F156" s="722" t="s">
        <v>285</v>
      </c>
      <c r="L156" s="726">
        <f>'[18]Fully Fitted Pricelist'!$L$141</f>
        <v>1000000</v>
      </c>
      <c r="W156" s="726">
        <f t="shared" si="82"/>
        <v>1000000</v>
      </c>
      <c r="X156" s="726">
        <f t="shared" si="92"/>
        <v>65000</v>
      </c>
      <c r="Y156" s="726">
        <f t="shared" si="93"/>
        <v>35000</v>
      </c>
      <c r="Z156" s="726">
        <f t="shared" si="94"/>
        <v>120000</v>
      </c>
      <c r="AA156" s="726">
        <f t="shared" si="86"/>
        <v>1220000</v>
      </c>
      <c r="AB156" s="726"/>
      <c r="AD156" s="726">
        <f t="shared" si="95"/>
        <v>305000</v>
      </c>
      <c r="AE156" s="723">
        <f t="shared" ref="AE156:AE219" si="98">AE155</f>
        <v>30000</v>
      </c>
      <c r="AF156" s="726">
        <f t="shared" si="96"/>
        <v>6395.3488372093025</v>
      </c>
      <c r="AG156" s="725">
        <v>43</v>
      </c>
      <c r="AH156" s="726">
        <f>'[18]Fully Fitted Pricelist'!AA156-'[18]Fully Fitted Pricelist'!AD156</f>
        <v>915000</v>
      </c>
      <c r="AI156" s="723">
        <f t="shared" si="91"/>
        <v>0</v>
      </c>
      <c r="AJ156" s="726">
        <f t="shared" si="97"/>
        <v>1220000</v>
      </c>
      <c r="AK156" s="721"/>
    </row>
    <row r="157" spans="2:149" hidden="1" x14ac:dyDescent="0.2">
      <c r="B157" s="722">
        <v>17</v>
      </c>
      <c r="D157" s="722" t="s">
        <v>269</v>
      </c>
      <c r="E157" s="722" t="s">
        <v>269</v>
      </c>
      <c r="F157" s="722" t="s">
        <v>286</v>
      </c>
      <c r="L157" s="726">
        <f>'[18]Fully Fitted Pricelist'!$L$141</f>
        <v>1000000</v>
      </c>
      <c r="W157" s="726">
        <f t="shared" si="82"/>
        <v>1000000</v>
      </c>
      <c r="X157" s="726">
        <f t="shared" si="92"/>
        <v>65000</v>
      </c>
      <c r="Y157" s="726">
        <f t="shared" si="93"/>
        <v>35000</v>
      </c>
      <c r="Z157" s="726">
        <f t="shared" si="94"/>
        <v>120000</v>
      </c>
      <c r="AA157" s="726">
        <f t="shared" si="86"/>
        <v>1220000</v>
      </c>
      <c r="AB157" s="726"/>
      <c r="AD157" s="726">
        <f t="shared" si="95"/>
        <v>305000</v>
      </c>
      <c r="AE157" s="723">
        <f t="shared" si="98"/>
        <v>30000</v>
      </c>
      <c r="AF157" s="726">
        <f t="shared" si="96"/>
        <v>6395.3488372093025</v>
      </c>
      <c r="AG157" s="725">
        <v>43</v>
      </c>
      <c r="AH157" s="726">
        <f>'[18]Fully Fitted Pricelist'!AA157-'[18]Fully Fitted Pricelist'!AD157</f>
        <v>915000</v>
      </c>
      <c r="AI157" s="723">
        <f t="shared" si="91"/>
        <v>0</v>
      </c>
      <c r="AJ157" s="726">
        <f t="shared" si="97"/>
        <v>1220000</v>
      </c>
      <c r="AK157" s="721"/>
    </row>
    <row r="158" spans="2:149" hidden="1" x14ac:dyDescent="0.2">
      <c r="B158" s="722">
        <v>18</v>
      </c>
      <c r="D158" s="722" t="s">
        <v>269</v>
      </c>
      <c r="E158" s="722" t="s">
        <v>269</v>
      </c>
      <c r="F158" s="722" t="s">
        <v>287</v>
      </c>
      <c r="L158" s="726">
        <f>'[18]Fully Fitted Pricelist'!$L$141</f>
        <v>1000000</v>
      </c>
      <c r="W158" s="726">
        <f t="shared" si="82"/>
        <v>1000000</v>
      </c>
      <c r="X158" s="726">
        <f t="shared" si="92"/>
        <v>65000</v>
      </c>
      <c r="Y158" s="726">
        <f t="shared" si="93"/>
        <v>35000</v>
      </c>
      <c r="Z158" s="726">
        <f t="shared" si="94"/>
        <v>120000</v>
      </c>
      <c r="AA158" s="726">
        <f t="shared" si="86"/>
        <v>1220000</v>
      </c>
      <c r="AB158" s="726"/>
      <c r="AD158" s="726">
        <f t="shared" si="95"/>
        <v>305000</v>
      </c>
      <c r="AE158" s="723">
        <f t="shared" si="98"/>
        <v>30000</v>
      </c>
      <c r="AF158" s="726">
        <f t="shared" si="96"/>
        <v>6395.3488372093025</v>
      </c>
      <c r="AG158" s="725">
        <v>43</v>
      </c>
      <c r="AH158" s="726">
        <f>'[18]Fully Fitted Pricelist'!AA158-'[18]Fully Fitted Pricelist'!AD158</f>
        <v>915000</v>
      </c>
      <c r="AI158" s="723">
        <f t="shared" si="91"/>
        <v>0</v>
      </c>
      <c r="AJ158" s="726">
        <f t="shared" si="97"/>
        <v>1220000</v>
      </c>
      <c r="AK158" s="721"/>
    </row>
    <row r="159" spans="2:149" hidden="1" x14ac:dyDescent="0.2">
      <c r="B159" s="722">
        <v>19</v>
      </c>
      <c r="D159" s="722" t="s">
        <v>269</v>
      </c>
      <c r="E159" s="722" t="s">
        <v>269</v>
      </c>
      <c r="F159" s="722" t="s">
        <v>288</v>
      </c>
      <c r="L159" s="726">
        <f>'[18]Fully Fitted Pricelist'!$L$141</f>
        <v>1000000</v>
      </c>
      <c r="W159" s="726">
        <f t="shared" si="82"/>
        <v>1000000</v>
      </c>
      <c r="X159" s="726">
        <f t="shared" si="92"/>
        <v>65000</v>
      </c>
      <c r="Y159" s="726">
        <f t="shared" si="93"/>
        <v>35000</v>
      </c>
      <c r="Z159" s="726">
        <f t="shared" si="94"/>
        <v>120000</v>
      </c>
      <c r="AA159" s="726">
        <f t="shared" si="86"/>
        <v>1220000</v>
      </c>
      <c r="AB159" s="726"/>
      <c r="AD159" s="726">
        <f t="shared" si="95"/>
        <v>305000</v>
      </c>
      <c r="AE159" s="723">
        <f t="shared" si="98"/>
        <v>30000</v>
      </c>
      <c r="AF159" s="726">
        <f t="shared" si="96"/>
        <v>6395.3488372093025</v>
      </c>
      <c r="AG159" s="725">
        <v>43</v>
      </c>
      <c r="AH159" s="726">
        <f>'[18]Fully Fitted Pricelist'!AA159-'[18]Fully Fitted Pricelist'!AD159</f>
        <v>915000</v>
      </c>
      <c r="AI159" s="723">
        <f t="shared" si="91"/>
        <v>0</v>
      </c>
      <c r="AJ159" s="726">
        <f t="shared" si="97"/>
        <v>1220000</v>
      </c>
      <c r="AK159" s="721"/>
    </row>
    <row r="160" spans="2:149" hidden="1" x14ac:dyDescent="0.2">
      <c r="B160" s="722">
        <v>20</v>
      </c>
      <c r="D160" s="722" t="s">
        <v>269</v>
      </c>
      <c r="E160" s="722" t="s">
        <v>269</v>
      </c>
      <c r="F160" s="722" t="s">
        <v>289</v>
      </c>
      <c r="L160" s="726">
        <f>'[18]Fully Fitted Pricelist'!$L$141</f>
        <v>1000000</v>
      </c>
      <c r="W160" s="726">
        <f t="shared" si="82"/>
        <v>1000000</v>
      </c>
      <c r="X160" s="726">
        <f t="shared" si="92"/>
        <v>65000</v>
      </c>
      <c r="Y160" s="726">
        <f t="shared" si="93"/>
        <v>35000</v>
      </c>
      <c r="Z160" s="726">
        <f t="shared" si="94"/>
        <v>120000</v>
      </c>
      <c r="AA160" s="726">
        <f t="shared" si="86"/>
        <v>1220000</v>
      </c>
      <c r="AB160" s="726"/>
      <c r="AD160" s="726">
        <f t="shared" si="95"/>
        <v>305000</v>
      </c>
      <c r="AE160" s="723">
        <f t="shared" si="98"/>
        <v>30000</v>
      </c>
      <c r="AF160" s="726">
        <f t="shared" si="96"/>
        <v>6395.3488372093025</v>
      </c>
      <c r="AG160" s="725">
        <v>43</v>
      </c>
      <c r="AH160" s="726">
        <f>'[18]Fully Fitted Pricelist'!AA160-'[18]Fully Fitted Pricelist'!AD160</f>
        <v>915000</v>
      </c>
      <c r="AI160" s="723">
        <f t="shared" si="91"/>
        <v>0</v>
      </c>
      <c r="AJ160" s="726">
        <f t="shared" si="97"/>
        <v>1220000</v>
      </c>
      <c r="AK160" s="721"/>
    </row>
    <row r="161" spans="2:149" hidden="1" x14ac:dyDescent="0.2">
      <c r="B161" s="722">
        <v>21</v>
      </c>
      <c r="D161" s="722" t="s">
        <v>269</v>
      </c>
      <c r="E161" s="722" t="s">
        <v>269</v>
      </c>
      <c r="F161" s="722" t="s">
        <v>290</v>
      </c>
      <c r="L161" s="726">
        <f>'[18]Fully Fitted Pricelist'!$L$141</f>
        <v>1000000</v>
      </c>
      <c r="W161" s="726">
        <f t="shared" si="82"/>
        <v>1000000</v>
      </c>
      <c r="X161" s="726">
        <f t="shared" si="92"/>
        <v>65000</v>
      </c>
      <c r="Y161" s="726">
        <f t="shared" si="93"/>
        <v>35000</v>
      </c>
      <c r="Z161" s="726">
        <f t="shared" si="94"/>
        <v>120000</v>
      </c>
      <c r="AA161" s="726">
        <f t="shared" si="86"/>
        <v>1220000</v>
      </c>
      <c r="AB161" s="726"/>
      <c r="AD161" s="726">
        <f t="shared" si="95"/>
        <v>305000</v>
      </c>
      <c r="AE161" s="723">
        <f t="shared" si="98"/>
        <v>30000</v>
      </c>
      <c r="AF161" s="726">
        <f t="shared" si="96"/>
        <v>6395.3488372093025</v>
      </c>
      <c r="AG161" s="725">
        <v>43</v>
      </c>
      <c r="AH161" s="726">
        <f>'[18]Fully Fitted Pricelist'!AA161-'[18]Fully Fitted Pricelist'!AD161</f>
        <v>915000</v>
      </c>
      <c r="AI161" s="723">
        <f t="shared" si="91"/>
        <v>0</v>
      </c>
      <c r="AJ161" s="726">
        <f t="shared" si="97"/>
        <v>1220000</v>
      </c>
      <c r="AK161" s="721"/>
    </row>
    <row r="162" spans="2:149" hidden="1" x14ac:dyDescent="0.2">
      <c r="B162" s="722">
        <v>22</v>
      </c>
      <c r="D162" s="722" t="s">
        <v>269</v>
      </c>
      <c r="E162" s="722" t="s">
        <v>269</v>
      </c>
      <c r="F162" s="722" t="s">
        <v>291</v>
      </c>
      <c r="L162" s="726">
        <f>'[18]Fully Fitted Pricelist'!$L$141</f>
        <v>1000000</v>
      </c>
      <c r="W162" s="726">
        <f t="shared" si="82"/>
        <v>1000000</v>
      </c>
      <c r="X162" s="726">
        <f t="shared" si="92"/>
        <v>65000</v>
      </c>
      <c r="Y162" s="726">
        <f t="shared" si="93"/>
        <v>35000</v>
      </c>
      <c r="Z162" s="726">
        <f t="shared" si="94"/>
        <v>120000</v>
      </c>
      <c r="AA162" s="726">
        <f t="shared" si="86"/>
        <v>1220000</v>
      </c>
      <c r="AB162" s="726"/>
      <c r="AD162" s="726">
        <f t="shared" si="95"/>
        <v>305000</v>
      </c>
      <c r="AE162" s="723">
        <f t="shared" si="98"/>
        <v>30000</v>
      </c>
      <c r="AF162" s="726">
        <f t="shared" si="96"/>
        <v>6395.3488372093025</v>
      </c>
      <c r="AG162" s="725">
        <v>43</v>
      </c>
      <c r="AH162" s="726">
        <f>'[18]Fully Fitted Pricelist'!AA162-'[18]Fully Fitted Pricelist'!AD162</f>
        <v>915000</v>
      </c>
      <c r="AI162" s="723">
        <f t="shared" si="91"/>
        <v>0</v>
      </c>
      <c r="AJ162" s="726">
        <f t="shared" si="97"/>
        <v>1220000</v>
      </c>
      <c r="AK162" s="721"/>
    </row>
    <row r="163" spans="2:149" hidden="1" x14ac:dyDescent="0.2">
      <c r="B163" s="722">
        <v>23</v>
      </c>
      <c r="D163" s="722" t="s">
        <v>269</v>
      </c>
      <c r="E163" s="722" t="s">
        <v>269</v>
      </c>
      <c r="F163" s="722" t="s">
        <v>292</v>
      </c>
      <c r="L163" s="726">
        <f>'[18]Fully Fitted Pricelist'!$L$141</f>
        <v>1000000</v>
      </c>
      <c r="W163" s="726">
        <f t="shared" si="82"/>
        <v>1000000</v>
      </c>
      <c r="X163" s="726">
        <f t="shared" si="92"/>
        <v>65000</v>
      </c>
      <c r="Y163" s="726">
        <f t="shared" si="93"/>
        <v>35000</v>
      </c>
      <c r="Z163" s="726">
        <f t="shared" si="94"/>
        <v>120000</v>
      </c>
      <c r="AA163" s="726">
        <f t="shared" si="86"/>
        <v>1220000</v>
      </c>
      <c r="AB163" s="726"/>
      <c r="AD163" s="726">
        <f t="shared" si="95"/>
        <v>305000</v>
      </c>
      <c r="AE163" s="723">
        <f t="shared" si="98"/>
        <v>30000</v>
      </c>
      <c r="AF163" s="726">
        <f t="shared" si="96"/>
        <v>6395.3488372093025</v>
      </c>
      <c r="AG163" s="725">
        <v>43</v>
      </c>
      <c r="AH163" s="726">
        <f>'[18]Fully Fitted Pricelist'!AA163-'[18]Fully Fitted Pricelist'!AD163</f>
        <v>915000</v>
      </c>
      <c r="AI163" s="723">
        <f t="shared" si="91"/>
        <v>0</v>
      </c>
      <c r="AJ163" s="726">
        <f t="shared" si="97"/>
        <v>1220000</v>
      </c>
      <c r="AK163" s="721"/>
    </row>
    <row r="164" spans="2:149" hidden="1" x14ac:dyDescent="0.2">
      <c r="B164" s="722">
        <v>24</v>
      </c>
      <c r="D164" s="722" t="s">
        <v>269</v>
      </c>
      <c r="E164" s="722" t="s">
        <v>269</v>
      </c>
      <c r="F164" s="722" t="s">
        <v>293</v>
      </c>
      <c r="L164" s="726">
        <f>'[18]Fully Fitted Pricelist'!$L$141</f>
        <v>1000000</v>
      </c>
      <c r="W164" s="726">
        <f t="shared" si="82"/>
        <v>1000000</v>
      </c>
      <c r="X164" s="726">
        <f t="shared" si="92"/>
        <v>65000</v>
      </c>
      <c r="Y164" s="726">
        <f t="shared" si="93"/>
        <v>35000</v>
      </c>
      <c r="Z164" s="726">
        <f t="shared" si="94"/>
        <v>120000</v>
      </c>
      <c r="AA164" s="726">
        <f t="shared" si="86"/>
        <v>1220000</v>
      </c>
      <c r="AB164" s="726"/>
      <c r="AD164" s="726">
        <f t="shared" si="95"/>
        <v>305000</v>
      </c>
      <c r="AE164" s="723">
        <f t="shared" si="98"/>
        <v>30000</v>
      </c>
      <c r="AF164" s="726">
        <f t="shared" si="96"/>
        <v>6547.6190476190477</v>
      </c>
      <c r="AG164" s="725">
        <v>42</v>
      </c>
      <c r="AH164" s="726">
        <f>'[18]Fully Fitted Pricelist'!AA164-'[18]Fully Fitted Pricelist'!AD164</f>
        <v>915000</v>
      </c>
      <c r="AI164" s="723">
        <f t="shared" si="91"/>
        <v>0</v>
      </c>
      <c r="AJ164" s="726">
        <f t="shared" si="97"/>
        <v>1220000</v>
      </c>
      <c r="AK164" s="721"/>
    </row>
    <row r="165" spans="2:149" hidden="1" x14ac:dyDescent="0.2">
      <c r="B165" s="722">
        <v>25</v>
      </c>
      <c r="D165" s="722" t="s">
        <v>269</v>
      </c>
      <c r="E165" s="722" t="s">
        <v>269</v>
      </c>
      <c r="F165" s="722" t="s">
        <v>294</v>
      </c>
      <c r="L165" s="726">
        <f>'[18]Fully Fitted Pricelist'!$L$141</f>
        <v>1000000</v>
      </c>
      <c r="W165" s="726">
        <f t="shared" si="82"/>
        <v>1000000</v>
      </c>
      <c r="X165" s="726">
        <f t="shared" si="92"/>
        <v>65000</v>
      </c>
      <c r="Y165" s="726">
        <f t="shared" si="93"/>
        <v>35000</v>
      </c>
      <c r="Z165" s="726">
        <f t="shared" si="94"/>
        <v>120000</v>
      </c>
      <c r="AA165" s="726">
        <f t="shared" si="86"/>
        <v>1220000</v>
      </c>
      <c r="AB165" s="726"/>
      <c r="AD165" s="726">
        <f t="shared" si="95"/>
        <v>305000</v>
      </c>
      <c r="AE165" s="723">
        <f t="shared" si="98"/>
        <v>30000</v>
      </c>
      <c r="AF165" s="726">
        <f t="shared" si="96"/>
        <v>6547.6190476190477</v>
      </c>
      <c r="AG165" s="725">
        <v>42</v>
      </c>
      <c r="AH165" s="726">
        <f>'[18]Fully Fitted Pricelist'!AA165-'[18]Fully Fitted Pricelist'!AD165</f>
        <v>915000</v>
      </c>
      <c r="AI165" s="723">
        <f t="shared" ref="AI165:AI252" si="99">SUM(AK165:ES165)</f>
        <v>0</v>
      </c>
      <c r="AJ165" s="726">
        <f t="shared" si="97"/>
        <v>1220000</v>
      </c>
    </row>
    <row r="166" spans="2:149" hidden="1" x14ac:dyDescent="0.2">
      <c r="B166" s="722">
        <v>26</v>
      </c>
      <c r="D166" s="722" t="s">
        <v>269</v>
      </c>
      <c r="E166" s="722" t="s">
        <v>269</v>
      </c>
      <c r="F166" s="722" t="s">
        <v>295</v>
      </c>
      <c r="L166" s="726">
        <f>'[18]Fully Fitted Pricelist'!$L$141</f>
        <v>1000000</v>
      </c>
      <c r="W166" s="726">
        <f t="shared" si="82"/>
        <v>1000000</v>
      </c>
      <c r="X166" s="726">
        <f t="shared" si="92"/>
        <v>65000</v>
      </c>
      <c r="Y166" s="726">
        <f t="shared" si="93"/>
        <v>35000</v>
      </c>
      <c r="Z166" s="726">
        <f t="shared" si="94"/>
        <v>120000</v>
      </c>
      <c r="AA166" s="726">
        <f t="shared" si="86"/>
        <v>1220000</v>
      </c>
      <c r="AB166" s="726"/>
      <c r="AD166" s="726">
        <f t="shared" si="95"/>
        <v>305000</v>
      </c>
      <c r="AE166" s="723">
        <f t="shared" si="98"/>
        <v>30000</v>
      </c>
      <c r="AF166" s="726">
        <f t="shared" si="96"/>
        <v>6547.6190476190477</v>
      </c>
      <c r="AG166" s="725">
        <v>42</v>
      </c>
      <c r="AH166" s="726">
        <f>'[18]Fully Fitted Pricelist'!AA166-'[18]Fully Fitted Pricelist'!AD166</f>
        <v>915000</v>
      </c>
      <c r="AI166" s="723">
        <f t="shared" si="99"/>
        <v>0</v>
      </c>
      <c r="AJ166" s="726">
        <f t="shared" si="97"/>
        <v>1220000</v>
      </c>
    </row>
    <row r="167" spans="2:149" hidden="1" x14ac:dyDescent="0.2">
      <c r="B167" s="722">
        <v>27</v>
      </c>
      <c r="D167" s="722" t="s">
        <v>269</v>
      </c>
      <c r="E167" s="722" t="s">
        <v>269</v>
      </c>
      <c r="F167" s="722" t="s">
        <v>296</v>
      </c>
      <c r="L167" s="726">
        <f>'[18]Fully Fitted Pricelist'!$L$141</f>
        <v>1000000</v>
      </c>
      <c r="W167" s="726">
        <f t="shared" si="82"/>
        <v>1000000</v>
      </c>
      <c r="X167" s="726">
        <f t="shared" si="92"/>
        <v>65000</v>
      </c>
      <c r="Y167" s="726">
        <f t="shared" si="93"/>
        <v>35000</v>
      </c>
      <c r="Z167" s="726">
        <f t="shared" si="94"/>
        <v>120000</v>
      </c>
      <c r="AA167" s="726">
        <f t="shared" si="86"/>
        <v>1220000</v>
      </c>
      <c r="AB167" s="726"/>
      <c r="AD167" s="726">
        <f t="shared" si="95"/>
        <v>305000</v>
      </c>
      <c r="AE167" s="723">
        <f t="shared" si="98"/>
        <v>30000</v>
      </c>
      <c r="AF167" s="726">
        <f t="shared" si="96"/>
        <v>6547.6190476190477</v>
      </c>
      <c r="AG167" s="725">
        <v>42</v>
      </c>
      <c r="AH167" s="726">
        <f>'[18]Fully Fitted Pricelist'!AA167-'[18]Fully Fitted Pricelist'!AD167</f>
        <v>915000</v>
      </c>
      <c r="AI167" s="723">
        <f t="shared" si="99"/>
        <v>0</v>
      </c>
      <c r="AJ167" s="726">
        <f t="shared" si="97"/>
        <v>1220000</v>
      </c>
    </row>
    <row r="168" spans="2:149" hidden="1" x14ac:dyDescent="0.2">
      <c r="B168" s="722">
        <v>28</v>
      </c>
      <c r="D168" s="722" t="s">
        <v>269</v>
      </c>
      <c r="E168" s="722" t="s">
        <v>269</v>
      </c>
      <c r="F168" s="722" t="s">
        <v>297</v>
      </c>
      <c r="L168" s="726">
        <f>'[18]Fully Fitted Pricelist'!$L$141</f>
        <v>1000000</v>
      </c>
      <c r="W168" s="726">
        <f t="shared" si="82"/>
        <v>1000000</v>
      </c>
      <c r="X168" s="726">
        <f t="shared" si="92"/>
        <v>65000</v>
      </c>
      <c r="Y168" s="726">
        <f t="shared" si="93"/>
        <v>35000</v>
      </c>
      <c r="Z168" s="726">
        <f t="shared" si="94"/>
        <v>120000</v>
      </c>
      <c r="AA168" s="726">
        <f t="shared" si="86"/>
        <v>1220000</v>
      </c>
      <c r="AB168" s="726"/>
      <c r="AD168" s="726">
        <f t="shared" si="95"/>
        <v>305000</v>
      </c>
      <c r="AE168" s="723">
        <f t="shared" si="98"/>
        <v>30000</v>
      </c>
      <c r="AF168" s="726">
        <f t="shared" si="96"/>
        <v>6547.6190476190477</v>
      </c>
      <c r="AG168" s="725">
        <v>42</v>
      </c>
      <c r="AH168" s="726">
        <f>'[18]Fully Fitted Pricelist'!AA168-'[18]Fully Fitted Pricelist'!AD168</f>
        <v>915000</v>
      </c>
      <c r="AI168" s="723">
        <f t="shared" si="99"/>
        <v>0</v>
      </c>
      <c r="AJ168" s="726">
        <f t="shared" si="97"/>
        <v>1220000</v>
      </c>
    </row>
    <row r="169" spans="2:149" hidden="1" x14ac:dyDescent="0.2">
      <c r="B169" s="722">
        <v>29</v>
      </c>
      <c r="D169" s="722" t="s">
        <v>269</v>
      </c>
      <c r="E169" s="722" t="s">
        <v>269</v>
      </c>
      <c r="F169" s="722" t="s">
        <v>298</v>
      </c>
      <c r="L169" s="726">
        <f>'[18]Fully Fitted Pricelist'!$L$141</f>
        <v>1000000</v>
      </c>
      <c r="W169" s="726">
        <f t="shared" si="82"/>
        <v>1000000</v>
      </c>
      <c r="X169" s="726">
        <f t="shared" si="92"/>
        <v>65000</v>
      </c>
      <c r="Y169" s="726">
        <f t="shared" si="93"/>
        <v>35000</v>
      </c>
      <c r="Z169" s="726">
        <f t="shared" si="94"/>
        <v>120000</v>
      </c>
      <c r="AA169" s="726">
        <f t="shared" si="86"/>
        <v>1220000</v>
      </c>
      <c r="AB169" s="726"/>
      <c r="AD169" s="726">
        <f t="shared" si="95"/>
        <v>305000</v>
      </c>
      <c r="AE169" s="723">
        <f t="shared" si="98"/>
        <v>30000</v>
      </c>
      <c r="AF169" s="726">
        <f t="shared" si="96"/>
        <v>6547.6190476190477</v>
      </c>
      <c r="AG169" s="725">
        <v>42</v>
      </c>
      <c r="AH169" s="726">
        <f>'[18]Fully Fitted Pricelist'!AA169-'[18]Fully Fitted Pricelist'!AD169</f>
        <v>915000</v>
      </c>
      <c r="AI169" s="723">
        <f t="shared" si="99"/>
        <v>0</v>
      </c>
      <c r="AJ169" s="726">
        <f t="shared" si="97"/>
        <v>1220000</v>
      </c>
    </row>
    <row r="170" spans="2:149" hidden="1" x14ac:dyDescent="0.2">
      <c r="B170" s="722">
        <v>30</v>
      </c>
      <c r="D170" s="722" t="s">
        <v>269</v>
      </c>
      <c r="E170" s="722" t="s">
        <v>269</v>
      </c>
      <c r="F170" s="722" t="s">
        <v>299</v>
      </c>
      <c r="L170" s="726">
        <f>'[18]Fully Fitted Pricelist'!$L$141</f>
        <v>1000000</v>
      </c>
      <c r="W170" s="726">
        <f t="shared" si="82"/>
        <v>1000000</v>
      </c>
      <c r="X170" s="726">
        <f t="shared" si="92"/>
        <v>65000</v>
      </c>
      <c r="Y170" s="726">
        <f t="shared" si="93"/>
        <v>35000</v>
      </c>
      <c r="Z170" s="726">
        <f t="shared" si="94"/>
        <v>120000</v>
      </c>
      <c r="AA170" s="726">
        <f t="shared" si="86"/>
        <v>1220000</v>
      </c>
      <c r="AB170" s="726"/>
      <c r="AD170" s="726">
        <f t="shared" si="95"/>
        <v>305000</v>
      </c>
      <c r="AE170" s="723">
        <f t="shared" si="98"/>
        <v>30000</v>
      </c>
      <c r="AF170" s="726">
        <f t="shared" si="96"/>
        <v>6547.6190476190477</v>
      </c>
      <c r="AG170" s="725">
        <v>42</v>
      </c>
      <c r="AH170" s="726">
        <f>'[18]Fully Fitted Pricelist'!AA170-'[18]Fully Fitted Pricelist'!AD170</f>
        <v>915000</v>
      </c>
      <c r="AI170" s="723">
        <f t="shared" si="99"/>
        <v>0</v>
      </c>
      <c r="AJ170" s="726">
        <f t="shared" si="97"/>
        <v>1220000</v>
      </c>
    </row>
    <row r="171" spans="2:149" hidden="1" x14ac:dyDescent="0.2">
      <c r="B171" s="722">
        <v>31</v>
      </c>
      <c r="D171" s="722" t="s">
        <v>269</v>
      </c>
      <c r="E171" s="722" t="s">
        <v>269</v>
      </c>
      <c r="F171" s="722" t="s">
        <v>300</v>
      </c>
      <c r="L171" s="726">
        <f>'[18]Fully Fitted Pricelist'!$L$141</f>
        <v>1000000</v>
      </c>
      <c r="W171" s="726">
        <f t="shared" si="82"/>
        <v>1000000</v>
      </c>
      <c r="X171" s="726">
        <f t="shared" si="92"/>
        <v>65000</v>
      </c>
      <c r="Y171" s="726">
        <f t="shared" si="93"/>
        <v>35000</v>
      </c>
      <c r="Z171" s="726">
        <f t="shared" si="94"/>
        <v>120000</v>
      </c>
      <c r="AA171" s="726">
        <f t="shared" si="86"/>
        <v>1220000</v>
      </c>
      <c r="AB171" s="726"/>
      <c r="AD171" s="726">
        <f t="shared" si="95"/>
        <v>305000</v>
      </c>
      <c r="AE171" s="723">
        <f t="shared" si="98"/>
        <v>30000</v>
      </c>
      <c r="AF171" s="726">
        <f t="shared" si="96"/>
        <v>6547.6190476190477</v>
      </c>
      <c r="AG171" s="725">
        <v>42</v>
      </c>
      <c r="AH171" s="726">
        <f>'[18]Fully Fitted Pricelist'!AA171-'[18]Fully Fitted Pricelist'!AD171</f>
        <v>915000</v>
      </c>
      <c r="AI171" s="723">
        <f t="shared" si="99"/>
        <v>0</v>
      </c>
      <c r="AJ171" s="726">
        <f t="shared" si="97"/>
        <v>1220000</v>
      </c>
    </row>
    <row r="172" spans="2:149" hidden="1" x14ac:dyDescent="0.2">
      <c r="B172" s="722">
        <v>32</v>
      </c>
      <c r="D172" s="722" t="s">
        <v>269</v>
      </c>
      <c r="E172" s="722" t="s">
        <v>269</v>
      </c>
      <c r="F172" s="722" t="s">
        <v>301</v>
      </c>
      <c r="L172" s="726">
        <f>'[18]Fully Fitted Pricelist'!$L$141</f>
        <v>1000000</v>
      </c>
      <c r="W172" s="726">
        <f t="shared" si="82"/>
        <v>1000000</v>
      </c>
      <c r="X172" s="726">
        <f t="shared" si="92"/>
        <v>65000</v>
      </c>
      <c r="Y172" s="726">
        <f t="shared" si="93"/>
        <v>35000</v>
      </c>
      <c r="Z172" s="726">
        <f t="shared" si="94"/>
        <v>120000</v>
      </c>
      <c r="AA172" s="726">
        <f t="shared" si="86"/>
        <v>1220000</v>
      </c>
      <c r="AB172" s="726"/>
      <c r="AD172" s="726">
        <f t="shared" si="95"/>
        <v>305000</v>
      </c>
      <c r="AE172" s="723">
        <f t="shared" si="98"/>
        <v>30000</v>
      </c>
      <c r="AF172" s="726">
        <f t="shared" si="96"/>
        <v>6547.6190476190477</v>
      </c>
      <c r="AG172" s="725">
        <v>42</v>
      </c>
      <c r="AH172" s="726">
        <f>'[18]Fully Fitted Pricelist'!AA172-'[18]Fully Fitted Pricelist'!AD172</f>
        <v>915000</v>
      </c>
      <c r="AI172" s="723">
        <f t="shared" si="99"/>
        <v>0</v>
      </c>
      <c r="AJ172" s="726">
        <f t="shared" si="97"/>
        <v>1220000</v>
      </c>
    </row>
    <row r="173" spans="2:149" hidden="1" x14ac:dyDescent="0.2">
      <c r="B173" s="722">
        <v>33</v>
      </c>
      <c r="D173" s="722" t="s">
        <v>302</v>
      </c>
      <c r="E173" s="722" t="s">
        <v>302</v>
      </c>
      <c r="F173" s="722" t="s">
        <v>303</v>
      </c>
      <c r="L173" s="726">
        <f>'[18]Fully Fitted Pricelist'!$L$141</f>
        <v>1000000</v>
      </c>
      <c r="W173" s="726">
        <f t="shared" si="82"/>
        <v>1000000</v>
      </c>
      <c r="X173" s="726">
        <f t="shared" si="92"/>
        <v>65000</v>
      </c>
      <c r="Y173" s="726">
        <f t="shared" si="93"/>
        <v>35000</v>
      </c>
      <c r="Z173" s="726">
        <f t="shared" si="94"/>
        <v>120000</v>
      </c>
      <c r="AA173" s="726">
        <f t="shared" ref="AA173:AA236" si="100">SUM(W173:Z173)</f>
        <v>1220000</v>
      </c>
      <c r="AB173" s="726"/>
      <c r="AD173" s="726">
        <f t="shared" si="95"/>
        <v>305000</v>
      </c>
      <c r="AE173" s="723">
        <f t="shared" si="98"/>
        <v>30000</v>
      </c>
      <c r="AF173" s="726">
        <f t="shared" si="96"/>
        <v>6547.6190476190477</v>
      </c>
      <c r="AG173" s="725">
        <v>42</v>
      </c>
      <c r="AH173" s="726">
        <f>'[18]Fully Fitted Pricelist'!AA173-'[18]Fully Fitted Pricelist'!AD173</f>
        <v>915000</v>
      </c>
      <c r="AI173" s="723">
        <f t="shared" si="99"/>
        <v>0</v>
      </c>
      <c r="AJ173" s="726">
        <f t="shared" si="97"/>
        <v>1220000</v>
      </c>
    </row>
    <row r="174" spans="2:149" s="722" customFormat="1" hidden="1" x14ac:dyDescent="0.2">
      <c r="B174" s="722">
        <v>34</v>
      </c>
      <c r="D174" s="722" t="s">
        <v>304</v>
      </c>
      <c r="E174" s="722" t="s">
        <v>304</v>
      </c>
      <c r="F174" s="722" t="s">
        <v>305</v>
      </c>
      <c r="L174" s="726">
        <f>'[18]Fully Fitted Pricelist'!$L$141</f>
        <v>1000000</v>
      </c>
      <c r="O174" s="723"/>
      <c r="P174" s="723"/>
      <c r="R174" s="723"/>
      <c r="S174" s="723"/>
      <c r="T174" s="723"/>
      <c r="U174" s="723"/>
      <c r="V174" s="723"/>
      <c r="W174" s="726">
        <f t="shared" si="82"/>
        <v>1000000</v>
      </c>
      <c r="X174" s="726">
        <f t="shared" si="92"/>
        <v>65000</v>
      </c>
      <c r="Y174" s="726">
        <f t="shared" si="93"/>
        <v>35000</v>
      </c>
      <c r="Z174" s="726">
        <f t="shared" si="94"/>
        <v>120000</v>
      </c>
      <c r="AA174" s="726">
        <f t="shared" si="100"/>
        <v>1220000</v>
      </c>
      <c r="AB174" s="726"/>
      <c r="AC174" s="724"/>
      <c r="AD174" s="726">
        <f t="shared" si="95"/>
        <v>305000</v>
      </c>
      <c r="AE174" s="723">
        <v>30000</v>
      </c>
      <c r="AF174" s="726">
        <f t="shared" si="96"/>
        <v>6707.3170731707314</v>
      </c>
      <c r="AG174" s="725">
        <v>41</v>
      </c>
      <c r="AH174" s="726">
        <f>'[18]Fully Fitted Pricelist'!AA174-'[18]Fully Fitted Pricelist'!AD174</f>
        <v>915000</v>
      </c>
      <c r="AI174" s="723">
        <f t="shared" si="99"/>
        <v>0</v>
      </c>
      <c r="AJ174" s="726">
        <f t="shared" si="97"/>
        <v>1220000</v>
      </c>
      <c r="AK174" s="723"/>
      <c r="AL174" s="723"/>
      <c r="AM174" s="723"/>
      <c r="AO174" s="723"/>
      <c r="AP174" s="723"/>
      <c r="AQ174" s="723"/>
      <c r="AR174" s="723"/>
      <c r="AS174" s="723"/>
      <c r="AT174" s="723"/>
      <c r="AU174" s="723"/>
      <c r="AV174" s="723"/>
      <c r="AW174" s="723"/>
      <c r="AX174" s="723"/>
      <c r="AY174" s="723"/>
      <c r="AZ174" s="723"/>
      <c r="BA174" s="723"/>
      <c r="BB174" s="723"/>
      <c r="BC174" s="723"/>
      <c r="BD174" s="723"/>
      <c r="BE174" s="723"/>
      <c r="BF174" s="723"/>
      <c r="BG174" s="723"/>
      <c r="BH174" s="723"/>
      <c r="BI174" s="723"/>
      <c r="BJ174" s="723"/>
      <c r="BK174" s="723"/>
      <c r="BL174" s="723"/>
      <c r="BM174" s="723"/>
      <c r="BN174" s="723"/>
      <c r="BO174" s="723"/>
      <c r="BP174" s="723"/>
      <c r="BQ174" s="723"/>
      <c r="BR174" s="723"/>
      <c r="BS174" s="723"/>
      <c r="BT174" s="723"/>
      <c r="BU174" s="723"/>
      <c r="BV174" s="723"/>
      <c r="BW174" s="723"/>
      <c r="BX174" s="723"/>
      <c r="BY174" s="723"/>
      <c r="BZ174" s="723"/>
      <c r="CA174" s="723"/>
      <c r="CB174" s="723"/>
      <c r="CC174" s="723"/>
      <c r="CD174" s="723"/>
      <c r="CE174" s="723"/>
      <c r="CF174" s="723"/>
      <c r="CG174" s="723"/>
      <c r="CH174" s="723"/>
      <c r="CI174" s="723"/>
      <c r="CJ174" s="723"/>
      <c r="CK174" s="723"/>
      <c r="CL174" s="723"/>
      <c r="CM174" s="723"/>
      <c r="CN174" s="723"/>
      <c r="CO174" s="723"/>
      <c r="CP174" s="723"/>
      <c r="CQ174" s="723"/>
      <c r="CR174" s="723"/>
      <c r="CS174" s="723"/>
      <c r="CT174" s="723"/>
      <c r="CU174" s="723"/>
      <c r="CV174" s="723"/>
      <c r="CW174" s="723"/>
      <c r="CX174" s="723"/>
      <c r="CY174" s="723"/>
      <c r="CZ174" s="723"/>
      <c r="DA174" s="723"/>
      <c r="DB174" s="723"/>
      <c r="DC174" s="723"/>
      <c r="DD174" s="723"/>
      <c r="DE174" s="723"/>
      <c r="DF174" s="723"/>
      <c r="DG174" s="723"/>
      <c r="DH174" s="723"/>
      <c r="DI174" s="723"/>
      <c r="DJ174" s="723"/>
      <c r="DK174" s="723"/>
      <c r="DL174" s="723"/>
      <c r="DM174" s="723"/>
      <c r="DN174" s="723"/>
      <c r="DO174" s="723"/>
      <c r="DP174" s="723"/>
      <c r="DQ174" s="723"/>
      <c r="DR174" s="723"/>
      <c r="DS174" s="723"/>
      <c r="DT174" s="723"/>
      <c r="DU174" s="723"/>
      <c r="DV174" s="723"/>
      <c r="DW174" s="734"/>
      <c r="DX174" s="734"/>
      <c r="DY174" s="734"/>
      <c r="DZ174" s="734"/>
      <c r="EA174" s="734"/>
      <c r="EB174" s="734"/>
      <c r="EC174" s="734"/>
      <c r="ED174" s="734"/>
      <c r="EE174" s="734"/>
      <c r="EF174" s="734"/>
      <c r="EG174" s="734"/>
      <c r="EH174" s="734"/>
      <c r="EI174" s="734"/>
      <c r="EJ174" s="734"/>
      <c r="EK174" s="734"/>
      <c r="EL174" s="734"/>
      <c r="EM174" s="734"/>
      <c r="EN174" s="734"/>
      <c r="EO174" s="734"/>
      <c r="EP174" s="734"/>
      <c r="EQ174" s="734"/>
      <c r="ER174" s="734"/>
      <c r="ES174" s="734"/>
    </row>
    <row r="175" spans="2:149" s="722" customFormat="1" hidden="1" x14ac:dyDescent="0.2">
      <c r="B175" s="722">
        <v>35</v>
      </c>
      <c r="D175" s="722" t="s">
        <v>304</v>
      </c>
      <c r="E175" s="722" t="s">
        <v>304</v>
      </c>
      <c r="F175" s="722" t="s">
        <v>306</v>
      </c>
      <c r="L175" s="726">
        <f>'[18]Fully Fitted Pricelist'!$L$141</f>
        <v>1000000</v>
      </c>
      <c r="O175" s="723"/>
      <c r="P175" s="723"/>
      <c r="R175" s="723"/>
      <c r="S175" s="723"/>
      <c r="T175" s="723"/>
      <c r="U175" s="723"/>
      <c r="V175" s="723"/>
      <c r="W175" s="726">
        <f t="shared" si="82"/>
        <v>1000000</v>
      </c>
      <c r="X175" s="726">
        <f t="shared" si="92"/>
        <v>65000</v>
      </c>
      <c r="Y175" s="726">
        <f t="shared" si="93"/>
        <v>35000</v>
      </c>
      <c r="Z175" s="726">
        <f t="shared" si="94"/>
        <v>120000</v>
      </c>
      <c r="AA175" s="726">
        <f t="shared" si="100"/>
        <v>1220000</v>
      </c>
      <c r="AB175" s="726"/>
      <c r="AC175" s="724"/>
      <c r="AD175" s="726">
        <f t="shared" si="95"/>
        <v>305000</v>
      </c>
      <c r="AE175" s="723">
        <v>30000</v>
      </c>
      <c r="AF175" s="726">
        <f t="shared" si="96"/>
        <v>6707.3170731707314</v>
      </c>
      <c r="AG175" s="725">
        <v>41</v>
      </c>
      <c r="AH175" s="726">
        <f>'[18]Fully Fitted Pricelist'!AA175-'[18]Fully Fitted Pricelist'!AD175</f>
        <v>915000</v>
      </c>
      <c r="AI175" s="723">
        <f t="shared" si="99"/>
        <v>0</v>
      </c>
      <c r="AJ175" s="726">
        <f t="shared" si="97"/>
        <v>1220000</v>
      </c>
      <c r="AK175" s="723"/>
      <c r="AL175" s="723"/>
      <c r="AM175" s="723"/>
      <c r="AO175" s="723"/>
      <c r="AP175" s="723"/>
      <c r="AQ175" s="723"/>
      <c r="AR175" s="723"/>
      <c r="AS175" s="723"/>
      <c r="AT175" s="723"/>
      <c r="AU175" s="723"/>
      <c r="AV175" s="723"/>
      <c r="AW175" s="723"/>
      <c r="AX175" s="723"/>
      <c r="AY175" s="723"/>
      <c r="AZ175" s="723"/>
      <c r="BA175" s="723"/>
      <c r="BB175" s="723"/>
      <c r="BC175" s="723"/>
      <c r="BD175" s="723"/>
      <c r="BE175" s="723"/>
      <c r="BF175" s="723"/>
      <c r="BG175" s="723"/>
      <c r="BH175" s="723"/>
      <c r="BI175" s="723"/>
      <c r="BJ175" s="723"/>
      <c r="BK175" s="723"/>
      <c r="BL175" s="723"/>
      <c r="BM175" s="723"/>
      <c r="BN175" s="723"/>
      <c r="BO175" s="723"/>
      <c r="BP175" s="723"/>
      <c r="BQ175" s="723"/>
      <c r="BR175" s="723"/>
      <c r="BS175" s="723"/>
      <c r="BT175" s="723"/>
      <c r="BU175" s="723"/>
      <c r="BV175" s="723"/>
      <c r="BW175" s="723"/>
      <c r="BX175" s="723"/>
      <c r="BY175" s="723"/>
      <c r="BZ175" s="723"/>
      <c r="CA175" s="723"/>
      <c r="CB175" s="723"/>
      <c r="CC175" s="723"/>
      <c r="CD175" s="723"/>
      <c r="CE175" s="723"/>
      <c r="CF175" s="723"/>
      <c r="CG175" s="723"/>
      <c r="CH175" s="723"/>
      <c r="CI175" s="723"/>
      <c r="CJ175" s="723"/>
      <c r="CK175" s="723"/>
      <c r="CL175" s="723"/>
      <c r="CM175" s="723"/>
      <c r="CN175" s="723"/>
      <c r="CO175" s="723"/>
      <c r="CP175" s="723"/>
      <c r="CQ175" s="723"/>
      <c r="CR175" s="723"/>
      <c r="CS175" s="723"/>
      <c r="CT175" s="723"/>
      <c r="CU175" s="723"/>
      <c r="CV175" s="723"/>
      <c r="CW175" s="723"/>
      <c r="CX175" s="723"/>
      <c r="CY175" s="723"/>
      <c r="CZ175" s="723"/>
      <c r="DA175" s="723"/>
      <c r="DB175" s="723"/>
      <c r="DC175" s="723"/>
      <c r="DD175" s="723"/>
      <c r="DE175" s="723"/>
      <c r="DF175" s="723"/>
      <c r="DG175" s="723"/>
      <c r="DH175" s="723"/>
      <c r="DI175" s="723"/>
      <c r="DJ175" s="723"/>
      <c r="DK175" s="723"/>
      <c r="DL175" s="723"/>
      <c r="DM175" s="723"/>
      <c r="DN175" s="723"/>
      <c r="DO175" s="723"/>
      <c r="DP175" s="723"/>
      <c r="DQ175" s="723"/>
      <c r="DR175" s="723"/>
      <c r="DS175" s="723"/>
      <c r="DT175" s="723"/>
      <c r="DU175" s="723"/>
      <c r="DV175" s="723"/>
      <c r="DW175" s="734"/>
      <c r="DX175" s="734"/>
      <c r="DY175" s="734"/>
      <c r="DZ175" s="734"/>
      <c r="EA175" s="734"/>
      <c r="EB175" s="734"/>
      <c r="EC175" s="734"/>
      <c r="ED175" s="734"/>
      <c r="EE175" s="734"/>
      <c r="EF175" s="734"/>
      <c r="EG175" s="734"/>
      <c r="EH175" s="734"/>
      <c r="EI175" s="734"/>
      <c r="EJ175" s="734"/>
      <c r="EK175" s="734"/>
      <c r="EL175" s="734"/>
      <c r="EM175" s="734"/>
      <c r="EN175" s="734"/>
      <c r="EO175" s="734"/>
      <c r="EP175" s="734"/>
      <c r="EQ175" s="734"/>
      <c r="ER175" s="734"/>
      <c r="ES175" s="734"/>
    </row>
    <row r="176" spans="2:149" s="722" customFormat="1" hidden="1" x14ac:dyDescent="0.2">
      <c r="B176" s="722">
        <v>36</v>
      </c>
      <c r="D176" s="722" t="s">
        <v>304</v>
      </c>
      <c r="E176" s="722" t="s">
        <v>304</v>
      </c>
      <c r="F176" s="722" t="s">
        <v>307</v>
      </c>
      <c r="L176" s="726">
        <f>'[18]Fully Fitted Pricelist'!$L$141</f>
        <v>1000000</v>
      </c>
      <c r="O176" s="723"/>
      <c r="P176" s="723"/>
      <c r="R176" s="723"/>
      <c r="S176" s="723"/>
      <c r="T176" s="723"/>
      <c r="U176" s="723"/>
      <c r="V176" s="723"/>
      <c r="W176" s="726">
        <f t="shared" si="82"/>
        <v>1000000</v>
      </c>
      <c r="X176" s="726">
        <f t="shared" si="92"/>
        <v>65000</v>
      </c>
      <c r="Y176" s="726">
        <f t="shared" si="93"/>
        <v>35000</v>
      </c>
      <c r="Z176" s="726">
        <f t="shared" si="94"/>
        <v>120000</v>
      </c>
      <c r="AA176" s="726">
        <f t="shared" si="100"/>
        <v>1220000</v>
      </c>
      <c r="AB176" s="726"/>
      <c r="AC176" s="724"/>
      <c r="AD176" s="726">
        <f t="shared" si="95"/>
        <v>305000</v>
      </c>
      <c r="AE176" s="723">
        <v>30000</v>
      </c>
      <c r="AF176" s="726">
        <f t="shared" si="96"/>
        <v>6707.3170731707314</v>
      </c>
      <c r="AG176" s="725">
        <v>41</v>
      </c>
      <c r="AH176" s="726">
        <f>'[18]Fully Fitted Pricelist'!AA176-'[18]Fully Fitted Pricelist'!AD176</f>
        <v>915000</v>
      </c>
      <c r="AI176" s="723">
        <f t="shared" si="99"/>
        <v>0</v>
      </c>
      <c r="AJ176" s="726">
        <f t="shared" si="97"/>
        <v>1220000</v>
      </c>
      <c r="AK176" s="723"/>
      <c r="AL176" s="723"/>
      <c r="AM176" s="723"/>
      <c r="AN176" s="723"/>
      <c r="AO176" s="723"/>
      <c r="AP176" s="723"/>
      <c r="AQ176" s="723"/>
      <c r="AR176" s="723"/>
      <c r="AS176" s="723"/>
      <c r="AT176" s="723"/>
      <c r="AU176" s="723"/>
      <c r="AV176" s="723"/>
      <c r="AW176" s="723"/>
      <c r="AX176" s="723"/>
      <c r="AY176" s="723"/>
      <c r="AZ176" s="723"/>
      <c r="BA176" s="723"/>
      <c r="BB176" s="723"/>
      <c r="BC176" s="723"/>
      <c r="BD176" s="723"/>
      <c r="BE176" s="723"/>
      <c r="BF176" s="723"/>
      <c r="BG176" s="723"/>
      <c r="BH176" s="723"/>
      <c r="BI176" s="723"/>
      <c r="BJ176" s="723"/>
      <c r="BK176" s="723"/>
      <c r="BL176" s="723"/>
      <c r="BM176" s="723"/>
      <c r="BN176" s="723"/>
      <c r="BO176" s="723"/>
      <c r="BP176" s="723"/>
      <c r="BQ176" s="723"/>
      <c r="BR176" s="723"/>
      <c r="BS176" s="723"/>
      <c r="BT176" s="723"/>
      <c r="BU176" s="723"/>
      <c r="BV176" s="723"/>
      <c r="BW176" s="723"/>
      <c r="BX176" s="723"/>
      <c r="BY176" s="723"/>
      <c r="BZ176" s="723"/>
      <c r="CA176" s="723"/>
      <c r="CB176" s="723"/>
      <c r="CC176" s="723"/>
      <c r="CD176" s="723"/>
      <c r="CE176" s="723"/>
      <c r="CF176" s="723"/>
      <c r="CG176" s="723"/>
      <c r="CH176" s="723"/>
      <c r="CI176" s="723"/>
      <c r="CJ176" s="723"/>
      <c r="CK176" s="723"/>
      <c r="CL176" s="723"/>
      <c r="CM176" s="723"/>
      <c r="CN176" s="723"/>
      <c r="CO176" s="723"/>
      <c r="CP176" s="723"/>
      <c r="CQ176" s="723"/>
      <c r="CR176" s="723"/>
      <c r="CS176" s="723"/>
      <c r="CT176" s="723"/>
      <c r="CU176" s="723"/>
      <c r="CV176" s="723"/>
      <c r="CW176" s="723"/>
      <c r="CX176" s="723"/>
      <c r="CY176" s="723"/>
      <c r="CZ176" s="723"/>
      <c r="DA176" s="723"/>
      <c r="DB176" s="723"/>
      <c r="DC176" s="723"/>
      <c r="DD176" s="723"/>
      <c r="DE176" s="723"/>
      <c r="DF176" s="723"/>
      <c r="DG176" s="723"/>
      <c r="DH176" s="723"/>
      <c r="DI176" s="723"/>
      <c r="DJ176" s="723"/>
      <c r="DK176" s="723"/>
      <c r="DL176" s="723"/>
      <c r="DM176" s="723"/>
      <c r="DN176" s="723"/>
      <c r="DO176" s="723"/>
      <c r="DP176" s="723"/>
      <c r="DQ176" s="723"/>
      <c r="DR176" s="723"/>
      <c r="DS176" s="723"/>
      <c r="DT176" s="723"/>
      <c r="DU176" s="723"/>
      <c r="DV176" s="723"/>
      <c r="DW176" s="734"/>
      <c r="DX176" s="734"/>
      <c r="DY176" s="734"/>
      <c r="DZ176" s="734"/>
      <c r="EA176" s="734"/>
      <c r="EB176" s="734"/>
      <c r="EC176" s="734"/>
      <c r="ED176" s="734"/>
      <c r="EE176" s="734"/>
      <c r="EF176" s="734"/>
      <c r="EG176" s="734"/>
      <c r="EH176" s="734"/>
      <c r="EI176" s="734"/>
      <c r="EJ176" s="734"/>
      <c r="EK176" s="734"/>
      <c r="EL176" s="734"/>
      <c r="EM176" s="734"/>
      <c r="EN176" s="734"/>
      <c r="EO176" s="734"/>
      <c r="EP176" s="734"/>
      <c r="EQ176" s="734"/>
      <c r="ER176" s="734"/>
      <c r="ES176" s="734"/>
    </row>
    <row r="177" spans="2:149" s="722" customFormat="1" hidden="1" x14ac:dyDescent="0.2">
      <c r="B177" s="722">
        <v>37</v>
      </c>
      <c r="D177" s="722" t="s">
        <v>304</v>
      </c>
      <c r="E177" s="722" t="s">
        <v>304</v>
      </c>
      <c r="F177" s="722" t="s">
        <v>308</v>
      </c>
      <c r="L177" s="726">
        <f>'[18]Fully Fitted Pricelist'!$L$141</f>
        <v>1000000</v>
      </c>
      <c r="O177" s="723"/>
      <c r="P177" s="723"/>
      <c r="R177" s="723"/>
      <c r="S177" s="723"/>
      <c r="T177" s="723"/>
      <c r="U177" s="723"/>
      <c r="V177" s="723"/>
      <c r="W177" s="726">
        <f t="shared" si="82"/>
        <v>1000000</v>
      </c>
      <c r="X177" s="726">
        <f t="shared" si="92"/>
        <v>65000</v>
      </c>
      <c r="Y177" s="726">
        <f t="shared" si="93"/>
        <v>35000</v>
      </c>
      <c r="Z177" s="726">
        <f t="shared" si="94"/>
        <v>120000</v>
      </c>
      <c r="AA177" s="726">
        <f t="shared" si="100"/>
        <v>1220000</v>
      </c>
      <c r="AB177" s="726"/>
      <c r="AC177" s="724"/>
      <c r="AD177" s="726">
        <f t="shared" si="95"/>
        <v>305000</v>
      </c>
      <c r="AE177" s="723">
        <v>30000</v>
      </c>
      <c r="AF177" s="726">
        <f t="shared" si="96"/>
        <v>6707.3170731707314</v>
      </c>
      <c r="AG177" s="725">
        <v>41</v>
      </c>
      <c r="AH177" s="726">
        <f>'[18]Fully Fitted Pricelist'!AA177-'[18]Fully Fitted Pricelist'!AD177</f>
        <v>915000</v>
      </c>
      <c r="AI177" s="723">
        <f t="shared" si="99"/>
        <v>0</v>
      </c>
      <c r="AJ177" s="726">
        <f t="shared" si="97"/>
        <v>1220000</v>
      </c>
      <c r="AK177" s="723"/>
      <c r="AL177" s="723"/>
      <c r="AM177" s="723"/>
      <c r="AN177" s="723"/>
      <c r="AO177" s="723"/>
      <c r="AP177" s="723"/>
      <c r="AQ177" s="723"/>
      <c r="AR177" s="723"/>
      <c r="AS177" s="723"/>
      <c r="AT177" s="723"/>
      <c r="AU177" s="723"/>
      <c r="AV177" s="723"/>
      <c r="AW177" s="723"/>
      <c r="AX177" s="723"/>
      <c r="AY177" s="723"/>
      <c r="AZ177" s="723"/>
      <c r="BA177" s="723"/>
      <c r="BB177" s="723"/>
      <c r="BC177" s="723"/>
      <c r="BD177" s="723"/>
      <c r="BE177" s="723"/>
      <c r="BF177" s="723"/>
      <c r="BG177" s="723"/>
      <c r="BH177" s="723"/>
      <c r="BI177" s="723"/>
      <c r="BJ177" s="723"/>
      <c r="BK177" s="723"/>
      <c r="BL177" s="723"/>
      <c r="BM177" s="723"/>
      <c r="BN177" s="723"/>
      <c r="BO177" s="723"/>
      <c r="BP177" s="723"/>
      <c r="BQ177" s="723"/>
      <c r="BR177" s="723"/>
      <c r="BS177" s="723"/>
      <c r="BT177" s="723"/>
      <c r="BU177" s="723"/>
      <c r="BV177" s="723"/>
      <c r="BW177" s="723"/>
      <c r="BX177" s="723"/>
      <c r="BY177" s="723"/>
      <c r="BZ177" s="723"/>
      <c r="CA177" s="723"/>
      <c r="CB177" s="723"/>
      <c r="CC177" s="723"/>
      <c r="CD177" s="723"/>
      <c r="CE177" s="723"/>
      <c r="CF177" s="723"/>
      <c r="CG177" s="723"/>
      <c r="CH177" s="723"/>
      <c r="CI177" s="723"/>
      <c r="CJ177" s="723"/>
      <c r="CK177" s="723"/>
      <c r="CL177" s="723"/>
      <c r="CM177" s="723"/>
      <c r="CN177" s="723"/>
      <c r="CO177" s="723"/>
      <c r="CP177" s="723"/>
      <c r="CQ177" s="723"/>
      <c r="CR177" s="723"/>
      <c r="CS177" s="723"/>
      <c r="CT177" s="723"/>
      <c r="CU177" s="723"/>
      <c r="CV177" s="723"/>
      <c r="CW177" s="723"/>
      <c r="CX177" s="723"/>
      <c r="CY177" s="723"/>
      <c r="CZ177" s="723"/>
      <c r="DA177" s="723"/>
      <c r="DB177" s="723"/>
      <c r="DC177" s="723"/>
      <c r="DD177" s="723"/>
      <c r="DE177" s="723"/>
      <c r="DF177" s="723"/>
      <c r="DG177" s="723"/>
      <c r="DH177" s="723"/>
      <c r="DI177" s="723"/>
      <c r="DJ177" s="723"/>
      <c r="DK177" s="723"/>
      <c r="DL177" s="723"/>
      <c r="DM177" s="723"/>
      <c r="DN177" s="723"/>
      <c r="DO177" s="723"/>
      <c r="DP177" s="723"/>
      <c r="DQ177" s="723"/>
      <c r="DR177" s="723"/>
      <c r="DS177" s="723"/>
      <c r="DT177" s="723"/>
      <c r="DU177" s="723"/>
      <c r="DV177" s="723"/>
      <c r="DW177" s="734"/>
      <c r="DX177" s="734"/>
      <c r="DY177" s="734"/>
      <c r="DZ177" s="734"/>
      <c r="EA177" s="734"/>
      <c r="EB177" s="734"/>
      <c r="EC177" s="734"/>
      <c r="ED177" s="734"/>
      <c r="EE177" s="734"/>
      <c r="EF177" s="734"/>
      <c r="EG177" s="734"/>
      <c r="EH177" s="734"/>
      <c r="EI177" s="734"/>
      <c r="EJ177" s="734"/>
      <c r="EK177" s="734"/>
      <c r="EL177" s="734"/>
      <c r="EM177" s="734"/>
      <c r="EN177" s="734"/>
      <c r="EO177" s="734"/>
      <c r="EP177" s="734"/>
      <c r="EQ177" s="734"/>
      <c r="ER177" s="734"/>
      <c r="ES177" s="734"/>
    </row>
    <row r="178" spans="2:149" s="722" customFormat="1" hidden="1" x14ac:dyDescent="0.2">
      <c r="B178" s="722">
        <v>38</v>
      </c>
      <c r="D178" s="722" t="s">
        <v>304</v>
      </c>
      <c r="E178" s="722" t="s">
        <v>304</v>
      </c>
      <c r="F178" s="722" t="s">
        <v>309</v>
      </c>
      <c r="L178" s="726">
        <f>'[18]Fully Fitted Pricelist'!$L$141</f>
        <v>1000000</v>
      </c>
      <c r="O178" s="723"/>
      <c r="P178" s="723"/>
      <c r="R178" s="723"/>
      <c r="S178" s="723"/>
      <c r="T178" s="723"/>
      <c r="U178" s="723"/>
      <c r="V178" s="723"/>
      <c r="W178" s="726">
        <f t="shared" si="82"/>
        <v>1000000</v>
      </c>
      <c r="X178" s="726">
        <f t="shared" si="92"/>
        <v>65000</v>
      </c>
      <c r="Y178" s="726">
        <f t="shared" si="93"/>
        <v>35000</v>
      </c>
      <c r="Z178" s="726">
        <f t="shared" si="94"/>
        <v>120000</v>
      </c>
      <c r="AA178" s="726">
        <f t="shared" si="100"/>
        <v>1220000</v>
      </c>
      <c r="AB178" s="726"/>
      <c r="AC178" s="724"/>
      <c r="AD178" s="726">
        <f t="shared" si="95"/>
        <v>305000</v>
      </c>
      <c r="AE178" s="723">
        <v>30000</v>
      </c>
      <c r="AF178" s="726">
        <f t="shared" si="96"/>
        <v>6707.3170731707314</v>
      </c>
      <c r="AG178" s="725">
        <v>41</v>
      </c>
      <c r="AH178" s="726">
        <f>'[18]Fully Fitted Pricelist'!AA178-'[18]Fully Fitted Pricelist'!AD178</f>
        <v>915000</v>
      </c>
      <c r="AI178" s="723">
        <f t="shared" si="99"/>
        <v>0</v>
      </c>
      <c r="AJ178" s="726">
        <f t="shared" si="97"/>
        <v>1220000</v>
      </c>
      <c r="AK178" s="723"/>
      <c r="AL178" s="723"/>
      <c r="AM178" s="723"/>
      <c r="AN178" s="723"/>
      <c r="AO178" s="723"/>
      <c r="AP178" s="723"/>
      <c r="AQ178" s="723"/>
      <c r="AR178" s="723"/>
      <c r="AS178" s="723"/>
      <c r="AT178" s="723"/>
      <c r="AU178" s="723"/>
      <c r="AV178" s="723"/>
      <c r="AW178" s="723"/>
      <c r="AX178" s="723"/>
      <c r="AY178" s="723"/>
      <c r="AZ178" s="723"/>
      <c r="BA178" s="723"/>
      <c r="BB178" s="723"/>
      <c r="BC178" s="723"/>
      <c r="BD178" s="723"/>
      <c r="BE178" s="723"/>
      <c r="BF178" s="723"/>
      <c r="BG178" s="723"/>
      <c r="BH178" s="723"/>
      <c r="BI178" s="723"/>
      <c r="BJ178" s="723"/>
      <c r="BK178" s="723"/>
      <c r="BL178" s="723"/>
      <c r="BM178" s="723"/>
      <c r="BN178" s="723"/>
      <c r="BO178" s="723"/>
      <c r="BP178" s="723"/>
      <c r="BQ178" s="723"/>
      <c r="BR178" s="723"/>
      <c r="BS178" s="723"/>
      <c r="BT178" s="723"/>
      <c r="BU178" s="723"/>
      <c r="BV178" s="723"/>
      <c r="BW178" s="723"/>
      <c r="BX178" s="723"/>
      <c r="BY178" s="723"/>
      <c r="BZ178" s="723"/>
      <c r="CA178" s="723"/>
      <c r="CB178" s="723"/>
      <c r="CC178" s="723"/>
      <c r="CD178" s="723"/>
      <c r="CE178" s="723"/>
      <c r="CF178" s="723"/>
      <c r="CG178" s="723"/>
      <c r="CH178" s="723"/>
      <c r="CI178" s="723"/>
      <c r="CJ178" s="723"/>
      <c r="CK178" s="723"/>
      <c r="CL178" s="723"/>
      <c r="CM178" s="723"/>
      <c r="CN178" s="723"/>
      <c r="CO178" s="723"/>
      <c r="CP178" s="723"/>
      <c r="CQ178" s="723"/>
      <c r="CR178" s="723"/>
      <c r="CS178" s="723"/>
      <c r="CT178" s="723"/>
      <c r="CU178" s="723"/>
      <c r="CV178" s="723"/>
      <c r="CW178" s="723"/>
      <c r="CX178" s="723"/>
      <c r="CY178" s="723"/>
      <c r="CZ178" s="723"/>
      <c r="DA178" s="723"/>
      <c r="DB178" s="723"/>
      <c r="DC178" s="723"/>
      <c r="DD178" s="723"/>
      <c r="DE178" s="723"/>
      <c r="DF178" s="723"/>
      <c r="DG178" s="723"/>
      <c r="DH178" s="723"/>
      <c r="DI178" s="723"/>
      <c r="DJ178" s="723"/>
      <c r="DK178" s="723"/>
      <c r="DL178" s="723"/>
      <c r="DM178" s="723"/>
      <c r="DN178" s="723"/>
      <c r="DO178" s="723"/>
      <c r="DP178" s="723"/>
      <c r="DQ178" s="723"/>
      <c r="DR178" s="723"/>
      <c r="DS178" s="723"/>
      <c r="DT178" s="723"/>
      <c r="DU178" s="723"/>
      <c r="DV178" s="723"/>
      <c r="DW178" s="734"/>
      <c r="DX178" s="734"/>
      <c r="DY178" s="734"/>
      <c r="DZ178" s="734"/>
      <c r="EA178" s="734"/>
      <c r="EB178" s="734"/>
      <c r="EC178" s="734"/>
      <c r="ED178" s="734"/>
      <c r="EE178" s="734"/>
      <c r="EF178" s="734"/>
      <c r="EG178" s="734"/>
      <c r="EH178" s="734"/>
      <c r="EI178" s="734"/>
      <c r="EJ178" s="734"/>
      <c r="EK178" s="734"/>
      <c r="EL178" s="734"/>
      <c r="EM178" s="734"/>
      <c r="EN178" s="734"/>
      <c r="EO178" s="734"/>
      <c r="EP178" s="734"/>
      <c r="EQ178" s="734"/>
      <c r="ER178" s="734"/>
      <c r="ES178" s="734"/>
    </row>
    <row r="179" spans="2:149" s="722" customFormat="1" hidden="1" x14ac:dyDescent="0.2">
      <c r="B179" s="722">
        <v>39</v>
      </c>
      <c r="D179" s="722" t="s">
        <v>304</v>
      </c>
      <c r="E179" s="722" t="s">
        <v>304</v>
      </c>
      <c r="F179" s="722" t="s">
        <v>310</v>
      </c>
      <c r="L179" s="726">
        <f>'[18]Fully Fitted Pricelist'!$L$141</f>
        <v>1000000</v>
      </c>
      <c r="O179" s="723"/>
      <c r="P179" s="723"/>
      <c r="R179" s="723"/>
      <c r="S179" s="723"/>
      <c r="T179" s="723"/>
      <c r="U179" s="723"/>
      <c r="V179" s="723"/>
      <c r="W179" s="726">
        <f t="shared" si="82"/>
        <v>1000000</v>
      </c>
      <c r="X179" s="726">
        <f t="shared" si="92"/>
        <v>65000</v>
      </c>
      <c r="Y179" s="726">
        <f t="shared" si="93"/>
        <v>35000</v>
      </c>
      <c r="Z179" s="726">
        <f t="shared" si="94"/>
        <v>120000</v>
      </c>
      <c r="AA179" s="726">
        <f t="shared" si="100"/>
        <v>1220000</v>
      </c>
      <c r="AB179" s="726"/>
      <c r="AC179" s="724"/>
      <c r="AD179" s="726">
        <f t="shared" si="95"/>
        <v>305000</v>
      </c>
      <c r="AE179" s="723">
        <v>30000</v>
      </c>
      <c r="AF179" s="726">
        <f t="shared" si="96"/>
        <v>6707.3170731707314</v>
      </c>
      <c r="AG179" s="725">
        <v>41</v>
      </c>
      <c r="AH179" s="726">
        <f>'[18]Fully Fitted Pricelist'!AA179-'[18]Fully Fitted Pricelist'!AD179</f>
        <v>915000</v>
      </c>
      <c r="AI179" s="723">
        <f t="shared" si="99"/>
        <v>0</v>
      </c>
      <c r="AJ179" s="726">
        <f t="shared" si="97"/>
        <v>1220000</v>
      </c>
      <c r="AK179" s="723"/>
      <c r="AL179" s="723"/>
      <c r="AM179" s="723"/>
      <c r="AN179" s="723"/>
      <c r="AO179" s="723"/>
      <c r="AP179" s="723"/>
      <c r="AQ179" s="723"/>
      <c r="AR179" s="723"/>
      <c r="AS179" s="723"/>
      <c r="AT179" s="723"/>
      <c r="AU179" s="723"/>
      <c r="AV179" s="723"/>
      <c r="AW179" s="723"/>
      <c r="AX179" s="723"/>
      <c r="AY179" s="723"/>
      <c r="AZ179" s="723"/>
      <c r="BA179" s="723"/>
      <c r="BB179" s="723"/>
      <c r="BC179" s="723"/>
      <c r="BD179" s="723"/>
      <c r="BE179" s="723"/>
      <c r="BF179" s="723"/>
      <c r="BG179" s="723"/>
      <c r="BH179" s="723"/>
      <c r="BI179" s="723"/>
      <c r="BJ179" s="723"/>
      <c r="BK179" s="723"/>
      <c r="BL179" s="723"/>
      <c r="BM179" s="723"/>
      <c r="BN179" s="723"/>
      <c r="BO179" s="723"/>
      <c r="BP179" s="723"/>
      <c r="BQ179" s="723"/>
      <c r="BR179" s="723"/>
      <c r="BS179" s="723"/>
      <c r="BT179" s="723"/>
      <c r="BU179" s="723"/>
      <c r="BV179" s="723"/>
      <c r="BW179" s="723"/>
      <c r="BX179" s="723"/>
      <c r="BY179" s="723"/>
      <c r="BZ179" s="723"/>
      <c r="CA179" s="723"/>
      <c r="CB179" s="723"/>
      <c r="CC179" s="723"/>
      <c r="CD179" s="723"/>
      <c r="CE179" s="723"/>
      <c r="CF179" s="723"/>
      <c r="CG179" s="723"/>
      <c r="CH179" s="723"/>
      <c r="CI179" s="723"/>
      <c r="CJ179" s="723"/>
      <c r="CK179" s="723"/>
      <c r="CL179" s="723"/>
      <c r="CM179" s="723"/>
      <c r="CN179" s="723"/>
      <c r="CO179" s="723"/>
      <c r="CP179" s="723"/>
      <c r="CQ179" s="723"/>
      <c r="CR179" s="723"/>
      <c r="CS179" s="723"/>
      <c r="CT179" s="723"/>
      <c r="CU179" s="723"/>
      <c r="CV179" s="723"/>
      <c r="CW179" s="723"/>
      <c r="CX179" s="723"/>
      <c r="CY179" s="723"/>
      <c r="CZ179" s="723"/>
      <c r="DA179" s="723"/>
      <c r="DB179" s="723"/>
      <c r="DC179" s="723"/>
      <c r="DD179" s="723"/>
      <c r="DE179" s="723"/>
      <c r="DF179" s="723"/>
      <c r="DG179" s="723"/>
      <c r="DH179" s="723"/>
      <c r="DI179" s="723"/>
      <c r="DJ179" s="723"/>
      <c r="DK179" s="723"/>
      <c r="DL179" s="723"/>
      <c r="DM179" s="723"/>
      <c r="DN179" s="723"/>
      <c r="DO179" s="723"/>
      <c r="DP179" s="723"/>
      <c r="DQ179" s="723"/>
      <c r="DR179" s="723"/>
      <c r="DS179" s="723"/>
      <c r="DT179" s="723"/>
      <c r="DU179" s="723"/>
      <c r="DV179" s="723"/>
      <c r="DW179" s="734"/>
      <c r="DX179" s="734"/>
      <c r="DY179" s="734"/>
      <c r="DZ179" s="734"/>
      <c r="EA179" s="734"/>
      <c r="EB179" s="734"/>
      <c r="EC179" s="734"/>
      <c r="ED179" s="734"/>
      <c r="EE179" s="734"/>
      <c r="EF179" s="734"/>
      <c r="EG179" s="734"/>
      <c r="EH179" s="734"/>
      <c r="EI179" s="734"/>
      <c r="EJ179" s="734"/>
      <c r="EK179" s="734"/>
      <c r="EL179" s="734"/>
      <c r="EM179" s="734"/>
      <c r="EN179" s="734"/>
      <c r="EO179" s="734"/>
      <c r="EP179" s="734"/>
      <c r="EQ179" s="734"/>
      <c r="ER179" s="734"/>
      <c r="ES179" s="734"/>
    </row>
    <row r="180" spans="2:149" s="722" customFormat="1" hidden="1" x14ac:dyDescent="0.2">
      <c r="B180" s="722">
        <v>40</v>
      </c>
      <c r="D180" s="722" t="s">
        <v>304</v>
      </c>
      <c r="E180" s="722" t="s">
        <v>304</v>
      </c>
      <c r="F180" s="722" t="s">
        <v>311</v>
      </c>
      <c r="L180" s="726">
        <f>'[18]Fully Fitted Pricelist'!$L$141</f>
        <v>1000000</v>
      </c>
      <c r="O180" s="723"/>
      <c r="P180" s="723"/>
      <c r="R180" s="723"/>
      <c r="S180" s="723"/>
      <c r="T180" s="723"/>
      <c r="U180" s="723"/>
      <c r="V180" s="723"/>
      <c r="W180" s="726">
        <f t="shared" si="82"/>
        <v>1000000</v>
      </c>
      <c r="X180" s="726">
        <f t="shared" si="92"/>
        <v>65000</v>
      </c>
      <c r="Y180" s="726">
        <f t="shared" si="93"/>
        <v>35000</v>
      </c>
      <c r="Z180" s="726">
        <f t="shared" si="94"/>
        <v>120000</v>
      </c>
      <c r="AA180" s="726">
        <f t="shared" si="100"/>
        <v>1220000</v>
      </c>
      <c r="AB180" s="726"/>
      <c r="AC180" s="724"/>
      <c r="AD180" s="726">
        <f t="shared" si="95"/>
        <v>305000</v>
      </c>
      <c r="AE180" s="723">
        <v>30000</v>
      </c>
      <c r="AF180" s="726">
        <f t="shared" si="96"/>
        <v>6707.3170731707314</v>
      </c>
      <c r="AG180" s="725">
        <v>41</v>
      </c>
      <c r="AH180" s="726">
        <f>'[18]Fully Fitted Pricelist'!AA180-'[18]Fully Fitted Pricelist'!AD180</f>
        <v>915000</v>
      </c>
      <c r="AI180" s="723">
        <f t="shared" si="99"/>
        <v>0</v>
      </c>
      <c r="AJ180" s="726">
        <f t="shared" si="97"/>
        <v>1220000</v>
      </c>
      <c r="AK180" s="723"/>
      <c r="AL180" s="723"/>
      <c r="AM180" s="723"/>
      <c r="AN180" s="723"/>
      <c r="AO180" s="723"/>
      <c r="AP180" s="723"/>
      <c r="AQ180" s="723"/>
      <c r="AR180" s="723"/>
      <c r="AS180" s="723"/>
      <c r="AT180" s="723"/>
      <c r="AU180" s="723"/>
      <c r="AV180" s="723"/>
      <c r="AW180" s="723"/>
      <c r="AX180" s="723"/>
      <c r="AY180" s="723"/>
      <c r="AZ180" s="723"/>
      <c r="BA180" s="723"/>
      <c r="BB180" s="723"/>
      <c r="BC180" s="723"/>
      <c r="BD180" s="723"/>
      <c r="BE180" s="723"/>
      <c r="BF180" s="723"/>
      <c r="BG180" s="723"/>
      <c r="BH180" s="723"/>
      <c r="BI180" s="723"/>
      <c r="BJ180" s="723"/>
      <c r="BK180" s="723"/>
      <c r="BL180" s="723"/>
      <c r="BM180" s="723"/>
      <c r="BN180" s="723"/>
      <c r="BO180" s="723"/>
      <c r="BP180" s="723"/>
      <c r="BQ180" s="723"/>
      <c r="BR180" s="723"/>
      <c r="BS180" s="723"/>
      <c r="BT180" s="723"/>
      <c r="BU180" s="723"/>
      <c r="BV180" s="723"/>
      <c r="BW180" s="723"/>
      <c r="BX180" s="723"/>
      <c r="BY180" s="723"/>
      <c r="BZ180" s="723"/>
      <c r="CA180" s="723"/>
      <c r="CB180" s="723"/>
      <c r="CC180" s="723"/>
      <c r="CD180" s="723"/>
      <c r="CE180" s="723"/>
      <c r="CF180" s="723"/>
      <c r="CG180" s="723"/>
      <c r="CH180" s="723"/>
      <c r="CI180" s="723"/>
      <c r="CJ180" s="723"/>
      <c r="CK180" s="723"/>
      <c r="CL180" s="723"/>
      <c r="CM180" s="723"/>
      <c r="CN180" s="723"/>
      <c r="CO180" s="723"/>
      <c r="CP180" s="723"/>
      <c r="CQ180" s="723"/>
      <c r="CR180" s="723"/>
      <c r="CS180" s="723"/>
      <c r="CT180" s="723"/>
      <c r="CU180" s="723"/>
      <c r="CV180" s="723"/>
      <c r="CW180" s="723"/>
      <c r="CX180" s="723"/>
      <c r="CY180" s="723"/>
      <c r="CZ180" s="723"/>
      <c r="DA180" s="723"/>
      <c r="DB180" s="723"/>
      <c r="DC180" s="723"/>
      <c r="DD180" s="723"/>
      <c r="DE180" s="723"/>
      <c r="DF180" s="723"/>
      <c r="DG180" s="723"/>
      <c r="DH180" s="723"/>
      <c r="DI180" s="723"/>
      <c r="DJ180" s="723"/>
      <c r="DK180" s="723"/>
      <c r="DL180" s="723"/>
      <c r="DM180" s="723"/>
      <c r="DN180" s="723"/>
      <c r="DO180" s="723"/>
      <c r="DP180" s="723"/>
      <c r="DQ180" s="723"/>
      <c r="DR180" s="723"/>
      <c r="DS180" s="723"/>
      <c r="DT180" s="723"/>
      <c r="DU180" s="723"/>
      <c r="DV180" s="723"/>
      <c r="DW180" s="734"/>
      <c r="DX180" s="734"/>
      <c r="DY180" s="734"/>
      <c r="DZ180" s="734"/>
      <c r="EA180" s="734"/>
      <c r="EB180" s="734"/>
      <c r="EC180" s="734"/>
      <c r="ED180" s="734"/>
      <c r="EE180" s="734"/>
      <c r="EF180" s="734"/>
      <c r="EG180" s="734"/>
      <c r="EH180" s="734"/>
      <c r="EI180" s="734"/>
      <c r="EJ180" s="734"/>
      <c r="EK180" s="734"/>
      <c r="EL180" s="734"/>
      <c r="EM180" s="734"/>
      <c r="EN180" s="734"/>
      <c r="EO180" s="734"/>
      <c r="EP180" s="734"/>
      <c r="EQ180" s="734"/>
      <c r="ER180" s="734"/>
      <c r="ES180" s="734"/>
    </row>
    <row r="181" spans="2:149" s="722" customFormat="1" hidden="1" x14ac:dyDescent="0.2">
      <c r="B181" s="722">
        <v>41</v>
      </c>
      <c r="D181" s="722" t="s">
        <v>304</v>
      </c>
      <c r="E181" s="722" t="s">
        <v>304</v>
      </c>
      <c r="F181" s="722" t="s">
        <v>312</v>
      </c>
      <c r="L181" s="726">
        <f>'[18]Fully Fitted Pricelist'!$L$141</f>
        <v>1000000</v>
      </c>
      <c r="O181" s="723"/>
      <c r="P181" s="723"/>
      <c r="R181" s="723"/>
      <c r="S181" s="723"/>
      <c r="T181" s="723"/>
      <c r="U181" s="723"/>
      <c r="V181" s="723"/>
      <c r="W181" s="726">
        <f t="shared" si="82"/>
        <v>1000000</v>
      </c>
      <c r="X181" s="726">
        <f t="shared" si="92"/>
        <v>65000</v>
      </c>
      <c r="Y181" s="726">
        <f t="shared" si="93"/>
        <v>35000</v>
      </c>
      <c r="Z181" s="726">
        <f t="shared" si="94"/>
        <v>120000</v>
      </c>
      <c r="AA181" s="726">
        <f t="shared" si="100"/>
        <v>1220000</v>
      </c>
      <c r="AB181" s="726"/>
      <c r="AC181" s="724"/>
      <c r="AD181" s="726">
        <f t="shared" si="95"/>
        <v>305000</v>
      </c>
      <c r="AE181" s="723">
        <v>30000</v>
      </c>
      <c r="AF181" s="726">
        <f t="shared" si="96"/>
        <v>6707.3170731707314</v>
      </c>
      <c r="AG181" s="725">
        <v>41</v>
      </c>
      <c r="AH181" s="726">
        <f>'[18]Fully Fitted Pricelist'!AA181-'[18]Fully Fitted Pricelist'!AD181</f>
        <v>915000</v>
      </c>
      <c r="AI181" s="723">
        <f t="shared" si="99"/>
        <v>0</v>
      </c>
      <c r="AJ181" s="726">
        <f t="shared" si="97"/>
        <v>1220000</v>
      </c>
      <c r="AK181" s="723"/>
      <c r="AL181" s="723"/>
      <c r="AM181" s="723"/>
      <c r="AN181" s="723"/>
      <c r="AO181" s="723"/>
      <c r="AP181" s="723"/>
      <c r="AQ181" s="723"/>
      <c r="AR181" s="723"/>
      <c r="AS181" s="723"/>
      <c r="AT181" s="723"/>
      <c r="AU181" s="723"/>
      <c r="AV181" s="723"/>
      <c r="AW181" s="723"/>
      <c r="AX181" s="723"/>
      <c r="AY181" s="723"/>
      <c r="AZ181" s="723"/>
      <c r="BA181" s="723"/>
      <c r="BB181" s="723"/>
      <c r="BC181" s="723"/>
      <c r="BD181" s="723"/>
      <c r="BE181" s="723"/>
      <c r="BF181" s="723"/>
      <c r="BG181" s="723"/>
      <c r="BH181" s="723"/>
      <c r="BI181" s="723"/>
      <c r="BJ181" s="723"/>
      <c r="BK181" s="723"/>
      <c r="BL181" s="723"/>
      <c r="BM181" s="723"/>
      <c r="BN181" s="723"/>
      <c r="BO181" s="723"/>
      <c r="BP181" s="723"/>
      <c r="BQ181" s="723"/>
      <c r="BR181" s="723"/>
      <c r="BS181" s="723"/>
      <c r="BT181" s="723"/>
      <c r="BU181" s="723"/>
      <c r="BV181" s="723"/>
      <c r="BW181" s="723"/>
      <c r="BX181" s="723"/>
      <c r="BY181" s="723"/>
      <c r="BZ181" s="723"/>
      <c r="CA181" s="723"/>
      <c r="CB181" s="723"/>
      <c r="CC181" s="723"/>
      <c r="CD181" s="723"/>
      <c r="CE181" s="723"/>
      <c r="CF181" s="723"/>
      <c r="CG181" s="723"/>
      <c r="CH181" s="723"/>
      <c r="CI181" s="723"/>
      <c r="CJ181" s="723"/>
      <c r="CK181" s="723"/>
      <c r="CL181" s="723"/>
      <c r="CM181" s="723"/>
      <c r="CN181" s="723"/>
      <c r="CO181" s="723"/>
      <c r="CP181" s="723"/>
      <c r="CQ181" s="723"/>
      <c r="CR181" s="723"/>
      <c r="CS181" s="723"/>
      <c r="CT181" s="723"/>
      <c r="CU181" s="723"/>
      <c r="CV181" s="723"/>
      <c r="CW181" s="723"/>
      <c r="CX181" s="723"/>
      <c r="CY181" s="723"/>
      <c r="CZ181" s="723"/>
      <c r="DA181" s="723"/>
      <c r="DB181" s="723"/>
      <c r="DC181" s="723"/>
      <c r="DD181" s="723"/>
      <c r="DE181" s="723"/>
      <c r="DF181" s="723"/>
      <c r="DG181" s="723"/>
      <c r="DH181" s="723"/>
      <c r="DI181" s="723"/>
      <c r="DJ181" s="723"/>
      <c r="DK181" s="723"/>
      <c r="DL181" s="723"/>
      <c r="DM181" s="723"/>
      <c r="DN181" s="723"/>
      <c r="DO181" s="723"/>
      <c r="DP181" s="723"/>
      <c r="DQ181" s="723"/>
      <c r="DR181" s="723"/>
      <c r="DS181" s="723"/>
      <c r="DT181" s="723"/>
      <c r="DU181" s="723"/>
      <c r="DV181" s="723"/>
      <c r="DW181" s="734"/>
      <c r="DX181" s="734"/>
      <c r="DY181" s="734"/>
      <c r="DZ181" s="734"/>
      <c r="EA181" s="734"/>
      <c r="EB181" s="734"/>
      <c r="EC181" s="734"/>
      <c r="ED181" s="734"/>
      <c r="EE181" s="734"/>
      <c r="EF181" s="734"/>
      <c r="EG181" s="734"/>
      <c r="EH181" s="734"/>
      <c r="EI181" s="734"/>
      <c r="EJ181" s="734"/>
      <c r="EK181" s="734"/>
      <c r="EL181" s="734"/>
      <c r="EM181" s="734"/>
      <c r="EN181" s="734"/>
      <c r="EO181" s="734"/>
      <c r="EP181" s="734"/>
      <c r="EQ181" s="734"/>
      <c r="ER181" s="734"/>
      <c r="ES181" s="734"/>
    </row>
    <row r="182" spans="2:149" s="722" customFormat="1" hidden="1" x14ac:dyDescent="0.2">
      <c r="B182" s="722">
        <v>42</v>
      </c>
      <c r="D182" s="722" t="s">
        <v>304</v>
      </c>
      <c r="E182" s="722" t="s">
        <v>304</v>
      </c>
      <c r="F182" s="722" t="s">
        <v>313</v>
      </c>
      <c r="L182" s="726">
        <f>'[18]Fully Fitted Pricelist'!$L$141</f>
        <v>1000000</v>
      </c>
      <c r="O182" s="723"/>
      <c r="P182" s="723"/>
      <c r="R182" s="723"/>
      <c r="S182" s="723"/>
      <c r="T182" s="723"/>
      <c r="U182" s="723"/>
      <c r="V182" s="723"/>
      <c r="W182" s="726">
        <f t="shared" si="82"/>
        <v>1000000</v>
      </c>
      <c r="X182" s="726">
        <f t="shared" si="92"/>
        <v>65000</v>
      </c>
      <c r="Y182" s="726">
        <f t="shared" si="93"/>
        <v>35000</v>
      </c>
      <c r="Z182" s="726">
        <f t="shared" si="94"/>
        <v>120000</v>
      </c>
      <c r="AA182" s="726">
        <f t="shared" si="100"/>
        <v>1220000</v>
      </c>
      <c r="AB182" s="726"/>
      <c r="AC182" s="724"/>
      <c r="AD182" s="726">
        <f t="shared" si="95"/>
        <v>305000</v>
      </c>
      <c r="AE182" s="723">
        <v>30000</v>
      </c>
      <c r="AF182" s="726">
        <f t="shared" si="96"/>
        <v>6707.3170731707314</v>
      </c>
      <c r="AG182" s="725">
        <v>41</v>
      </c>
      <c r="AH182" s="726">
        <f>'[18]Fully Fitted Pricelist'!AA182-'[18]Fully Fitted Pricelist'!AD182</f>
        <v>915000</v>
      </c>
      <c r="AI182" s="723">
        <f t="shared" si="99"/>
        <v>0</v>
      </c>
      <c r="AJ182" s="726">
        <f t="shared" si="97"/>
        <v>1220000</v>
      </c>
      <c r="AK182" s="723"/>
      <c r="AL182" s="723"/>
      <c r="AM182" s="723"/>
      <c r="AN182" s="723"/>
      <c r="AO182" s="723"/>
      <c r="AP182" s="723"/>
      <c r="AQ182" s="723"/>
      <c r="AR182" s="723"/>
      <c r="AS182" s="723"/>
      <c r="AT182" s="723"/>
      <c r="AU182" s="723"/>
      <c r="AV182" s="723"/>
      <c r="AW182" s="723"/>
      <c r="AX182" s="723"/>
      <c r="AY182" s="723"/>
      <c r="AZ182" s="723"/>
      <c r="BA182" s="723"/>
      <c r="BB182" s="723"/>
      <c r="BC182" s="723"/>
      <c r="BD182" s="723"/>
      <c r="BE182" s="723"/>
      <c r="BF182" s="723"/>
      <c r="BG182" s="723"/>
      <c r="BH182" s="723"/>
      <c r="BI182" s="723"/>
      <c r="BJ182" s="723"/>
      <c r="BK182" s="723"/>
      <c r="BL182" s="723"/>
      <c r="BM182" s="723"/>
      <c r="BN182" s="723"/>
      <c r="BO182" s="723"/>
      <c r="BP182" s="723"/>
      <c r="BQ182" s="723"/>
      <c r="BR182" s="723"/>
      <c r="BS182" s="723"/>
      <c r="BT182" s="723"/>
      <c r="BU182" s="723"/>
      <c r="BV182" s="723"/>
      <c r="BW182" s="723"/>
      <c r="BX182" s="723"/>
      <c r="BY182" s="723"/>
      <c r="BZ182" s="723"/>
      <c r="CA182" s="723"/>
      <c r="CB182" s="723"/>
      <c r="CC182" s="723"/>
      <c r="CD182" s="723"/>
      <c r="CE182" s="723"/>
      <c r="CF182" s="723"/>
      <c r="CG182" s="723"/>
      <c r="CH182" s="723"/>
      <c r="CI182" s="723"/>
      <c r="CJ182" s="723"/>
      <c r="CK182" s="723"/>
      <c r="CL182" s="723"/>
      <c r="CM182" s="723"/>
      <c r="CN182" s="723"/>
      <c r="CO182" s="723"/>
      <c r="CP182" s="723"/>
      <c r="CQ182" s="723"/>
      <c r="CR182" s="723"/>
      <c r="CS182" s="723"/>
      <c r="CT182" s="723"/>
      <c r="CU182" s="723"/>
      <c r="CV182" s="723"/>
      <c r="CW182" s="723"/>
      <c r="CX182" s="723"/>
      <c r="CY182" s="723"/>
      <c r="CZ182" s="723"/>
      <c r="DA182" s="723"/>
      <c r="DB182" s="723"/>
      <c r="DC182" s="723"/>
      <c r="DD182" s="723"/>
      <c r="DE182" s="723"/>
      <c r="DF182" s="723"/>
      <c r="DG182" s="723"/>
      <c r="DH182" s="723"/>
      <c r="DI182" s="723"/>
      <c r="DJ182" s="723"/>
      <c r="DK182" s="723"/>
      <c r="DL182" s="723"/>
      <c r="DM182" s="723"/>
      <c r="DN182" s="723"/>
      <c r="DO182" s="723"/>
      <c r="DP182" s="723"/>
      <c r="DQ182" s="723"/>
      <c r="DR182" s="723"/>
      <c r="DS182" s="723"/>
      <c r="DT182" s="723"/>
      <c r="DU182" s="723"/>
      <c r="DV182" s="723"/>
      <c r="DW182" s="734"/>
      <c r="DX182" s="734"/>
      <c r="DY182" s="734"/>
      <c r="DZ182" s="734"/>
      <c r="EA182" s="734"/>
      <c r="EB182" s="734"/>
      <c r="EC182" s="734"/>
      <c r="ED182" s="734"/>
      <c r="EE182" s="734"/>
      <c r="EF182" s="734"/>
      <c r="EG182" s="734"/>
      <c r="EH182" s="734"/>
      <c r="EI182" s="734"/>
      <c r="EJ182" s="734"/>
      <c r="EK182" s="734"/>
      <c r="EL182" s="734"/>
      <c r="EM182" s="734"/>
      <c r="EN182" s="734"/>
      <c r="EO182" s="734"/>
      <c r="EP182" s="734"/>
      <c r="EQ182" s="734"/>
      <c r="ER182" s="734"/>
      <c r="ES182" s="734"/>
    </row>
    <row r="183" spans="2:149" s="722" customFormat="1" hidden="1" x14ac:dyDescent="0.2">
      <c r="B183" s="722">
        <v>43</v>
      </c>
      <c r="D183" s="722" t="s">
        <v>304</v>
      </c>
      <c r="E183" s="722" t="s">
        <v>304</v>
      </c>
      <c r="F183" s="722" t="s">
        <v>314</v>
      </c>
      <c r="L183" s="726">
        <f>'[18]Fully Fitted Pricelist'!$L$141</f>
        <v>1000000</v>
      </c>
      <c r="O183" s="723"/>
      <c r="P183" s="723"/>
      <c r="R183" s="723"/>
      <c r="S183" s="723"/>
      <c r="T183" s="723"/>
      <c r="U183" s="723"/>
      <c r="V183" s="723"/>
      <c r="W183" s="726">
        <f t="shared" si="82"/>
        <v>1000000</v>
      </c>
      <c r="X183" s="726">
        <f t="shared" si="92"/>
        <v>65000</v>
      </c>
      <c r="Y183" s="726">
        <f t="shared" si="93"/>
        <v>35000</v>
      </c>
      <c r="Z183" s="726">
        <f t="shared" si="94"/>
        <v>120000</v>
      </c>
      <c r="AA183" s="726">
        <f t="shared" si="100"/>
        <v>1220000</v>
      </c>
      <c r="AB183" s="726"/>
      <c r="AC183" s="724"/>
      <c r="AD183" s="726">
        <f t="shared" si="95"/>
        <v>305000</v>
      </c>
      <c r="AE183" s="723">
        <v>30000</v>
      </c>
      <c r="AF183" s="726">
        <f t="shared" si="96"/>
        <v>6707.3170731707314</v>
      </c>
      <c r="AG183" s="725">
        <v>41</v>
      </c>
      <c r="AH183" s="726">
        <f>'[18]Fully Fitted Pricelist'!AA183-'[18]Fully Fitted Pricelist'!AD183</f>
        <v>915000</v>
      </c>
      <c r="AI183" s="723">
        <f t="shared" si="99"/>
        <v>0</v>
      </c>
      <c r="AJ183" s="726">
        <f t="shared" si="97"/>
        <v>1220000</v>
      </c>
      <c r="AK183" s="723"/>
      <c r="AL183" s="723"/>
      <c r="AM183" s="723"/>
      <c r="AN183" s="723"/>
      <c r="AO183" s="723"/>
      <c r="AP183" s="723"/>
      <c r="AQ183" s="723"/>
      <c r="AR183" s="723"/>
      <c r="AS183" s="723"/>
      <c r="AT183" s="723"/>
      <c r="AU183" s="723"/>
      <c r="AV183" s="723"/>
      <c r="AW183" s="723"/>
      <c r="AX183" s="723"/>
      <c r="AY183" s="723"/>
      <c r="AZ183" s="723"/>
      <c r="BA183" s="723"/>
      <c r="BB183" s="723"/>
      <c r="BC183" s="723"/>
      <c r="BD183" s="723"/>
      <c r="BE183" s="723"/>
      <c r="BF183" s="723"/>
      <c r="BG183" s="723"/>
      <c r="BH183" s="723"/>
      <c r="BI183" s="723"/>
      <c r="BJ183" s="723"/>
      <c r="BK183" s="723"/>
      <c r="BL183" s="723"/>
      <c r="BM183" s="723"/>
      <c r="BN183" s="723"/>
      <c r="BO183" s="723"/>
      <c r="BP183" s="723"/>
      <c r="BQ183" s="723"/>
      <c r="BR183" s="723"/>
      <c r="BS183" s="723"/>
      <c r="BT183" s="723"/>
      <c r="BU183" s="723"/>
      <c r="BV183" s="723"/>
      <c r="BW183" s="723"/>
      <c r="BX183" s="723"/>
      <c r="BY183" s="723"/>
      <c r="BZ183" s="723"/>
      <c r="CA183" s="723"/>
      <c r="CB183" s="723"/>
      <c r="CC183" s="723"/>
      <c r="CD183" s="723"/>
      <c r="CE183" s="723"/>
      <c r="CF183" s="723"/>
      <c r="CG183" s="723"/>
      <c r="CH183" s="723"/>
      <c r="CI183" s="723"/>
      <c r="CJ183" s="723"/>
      <c r="CK183" s="723"/>
      <c r="CL183" s="723"/>
      <c r="CM183" s="723"/>
      <c r="CN183" s="723"/>
      <c r="CO183" s="723"/>
      <c r="CP183" s="723"/>
      <c r="CQ183" s="723"/>
      <c r="CR183" s="723"/>
      <c r="CS183" s="723"/>
      <c r="CT183" s="723"/>
      <c r="CU183" s="723"/>
      <c r="CV183" s="723"/>
      <c r="CW183" s="723"/>
      <c r="CX183" s="723"/>
      <c r="CY183" s="723"/>
      <c r="CZ183" s="723"/>
      <c r="DA183" s="723"/>
      <c r="DB183" s="723"/>
      <c r="DC183" s="723"/>
      <c r="DD183" s="723"/>
      <c r="DE183" s="723"/>
      <c r="DF183" s="723"/>
      <c r="DG183" s="723"/>
      <c r="DH183" s="723"/>
      <c r="DI183" s="723"/>
      <c r="DJ183" s="723"/>
      <c r="DK183" s="723"/>
      <c r="DL183" s="723"/>
      <c r="DM183" s="723"/>
      <c r="DN183" s="723"/>
      <c r="DO183" s="723"/>
      <c r="DP183" s="723"/>
      <c r="DQ183" s="723"/>
      <c r="DR183" s="723"/>
      <c r="DS183" s="723"/>
      <c r="DT183" s="723"/>
      <c r="DU183" s="723"/>
      <c r="DV183" s="723"/>
      <c r="DW183" s="734"/>
      <c r="DX183" s="734"/>
      <c r="DY183" s="734"/>
      <c r="DZ183" s="734"/>
      <c r="EA183" s="734"/>
      <c r="EB183" s="734"/>
      <c r="EC183" s="734"/>
      <c r="ED183" s="734"/>
      <c r="EE183" s="734"/>
      <c r="EF183" s="734"/>
      <c r="EG183" s="734"/>
      <c r="EH183" s="734"/>
      <c r="EI183" s="734"/>
      <c r="EJ183" s="734"/>
      <c r="EK183" s="734"/>
      <c r="EL183" s="734"/>
      <c r="EM183" s="734"/>
      <c r="EN183" s="734"/>
      <c r="EO183" s="734"/>
      <c r="EP183" s="734"/>
      <c r="EQ183" s="734"/>
      <c r="ER183" s="734"/>
      <c r="ES183" s="734"/>
    </row>
    <row r="184" spans="2:149" s="722" customFormat="1" hidden="1" x14ac:dyDescent="0.2">
      <c r="B184" s="722">
        <v>44</v>
      </c>
      <c r="D184" s="722" t="s">
        <v>304</v>
      </c>
      <c r="E184" s="722" t="s">
        <v>304</v>
      </c>
      <c r="F184" s="722" t="s">
        <v>315</v>
      </c>
      <c r="L184" s="726">
        <f>'[18]Fully Fitted Pricelist'!$L$141</f>
        <v>1000000</v>
      </c>
      <c r="O184" s="723"/>
      <c r="P184" s="723"/>
      <c r="R184" s="723"/>
      <c r="S184" s="723"/>
      <c r="T184" s="723"/>
      <c r="U184" s="723"/>
      <c r="V184" s="723"/>
      <c r="W184" s="726">
        <f t="shared" si="82"/>
        <v>1000000</v>
      </c>
      <c r="X184" s="726">
        <f t="shared" si="92"/>
        <v>65000</v>
      </c>
      <c r="Y184" s="726">
        <f t="shared" si="93"/>
        <v>35000</v>
      </c>
      <c r="Z184" s="726">
        <f t="shared" si="94"/>
        <v>120000</v>
      </c>
      <c r="AA184" s="726">
        <f t="shared" si="100"/>
        <v>1220000</v>
      </c>
      <c r="AB184" s="726"/>
      <c r="AC184" s="724"/>
      <c r="AD184" s="726">
        <f t="shared" si="95"/>
        <v>305000</v>
      </c>
      <c r="AE184" s="723">
        <v>30000</v>
      </c>
      <c r="AF184" s="726">
        <f t="shared" si="96"/>
        <v>6707.3170731707314</v>
      </c>
      <c r="AG184" s="725">
        <v>41</v>
      </c>
      <c r="AH184" s="726">
        <f>'[18]Fully Fitted Pricelist'!AA184-'[18]Fully Fitted Pricelist'!AD184</f>
        <v>915000</v>
      </c>
      <c r="AI184" s="723">
        <f t="shared" si="99"/>
        <v>0</v>
      </c>
      <c r="AJ184" s="726">
        <f t="shared" si="97"/>
        <v>1220000</v>
      </c>
      <c r="AK184" s="723"/>
      <c r="AL184" s="723"/>
      <c r="AM184" s="723"/>
      <c r="AO184" s="723"/>
      <c r="AP184" s="723"/>
      <c r="AQ184" s="723"/>
      <c r="AR184" s="723"/>
      <c r="AS184" s="723"/>
      <c r="AT184" s="723"/>
      <c r="AU184" s="723"/>
      <c r="AV184" s="723"/>
      <c r="AW184" s="723"/>
      <c r="AX184" s="723"/>
      <c r="AY184" s="723"/>
      <c r="AZ184" s="723"/>
      <c r="BA184" s="723"/>
      <c r="BB184" s="723"/>
      <c r="BC184" s="723"/>
      <c r="BD184" s="723"/>
      <c r="BE184" s="723"/>
      <c r="BF184" s="723"/>
      <c r="BG184" s="723"/>
      <c r="BH184" s="723"/>
      <c r="BI184" s="723"/>
      <c r="BJ184" s="723"/>
      <c r="BK184" s="723"/>
      <c r="BL184" s="723"/>
      <c r="BM184" s="723"/>
      <c r="BN184" s="723"/>
      <c r="BO184" s="723"/>
      <c r="BP184" s="723"/>
      <c r="BQ184" s="723"/>
      <c r="BR184" s="723"/>
      <c r="BS184" s="723"/>
      <c r="BT184" s="723"/>
      <c r="BU184" s="723"/>
      <c r="BV184" s="723"/>
      <c r="BW184" s="723"/>
      <c r="BX184" s="723"/>
      <c r="BY184" s="723"/>
      <c r="BZ184" s="723"/>
      <c r="CA184" s="723"/>
      <c r="CB184" s="723"/>
      <c r="CC184" s="723"/>
      <c r="CD184" s="723"/>
      <c r="CE184" s="723"/>
      <c r="CF184" s="723"/>
      <c r="CG184" s="723"/>
      <c r="CH184" s="723"/>
      <c r="CI184" s="723"/>
      <c r="CJ184" s="723"/>
      <c r="CK184" s="723"/>
      <c r="CL184" s="723"/>
      <c r="CM184" s="723"/>
      <c r="CN184" s="723"/>
      <c r="CO184" s="723"/>
      <c r="CP184" s="723"/>
      <c r="CQ184" s="723"/>
      <c r="CR184" s="723"/>
      <c r="CS184" s="723"/>
      <c r="CT184" s="723"/>
      <c r="CU184" s="723"/>
      <c r="CV184" s="723"/>
      <c r="CW184" s="723"/>
      <c r="CX184" s="723"/>
      <c r="CY184" s="723"/>
      <c r="CZ184" s="723"/>
      <c r="DA184" s="723"/>
      <c r="DB184" s="723"/>
      <c r="DC184" s="723"/>
      <c r="DD184" s="723"/>
      <c r="DE184" s="723"/>
      <c r="DF184" s="723"/>
      <c r="DG184" s="723"/>
      <c r="DH184" s="723"/>
      <c r="DI184" s="723"/>
      <c r="DJ184" s="723"/>
      <c r="DK184" s="723"/>
      <c r="DL184" s="723"/>
      <c r="DM184" s="723"/>
      <c r="DN184" s="723"/>
      <c r="DO184" s="723"/>
      <c r="DP184" s="723"/>
      <c r="DQ184" s="723"/>
      <c r="DR184" s="723"/>
      <c r="DS184" s="723"/>
      <c r="DT184" s="723"/>
      <c r="DU184" s="723"/>
      <c r="DV184" s="723"/>
      <c r="DW184" s="734"/>
      <c r="DX184" s="734"/>
      <c r="DY184" s="734"/>
      <c r="DZ184" s="734"/>
      <c r="EA184" s="734"/>
      <c r="EB184" s="734"/>
      <c r="EC184" s="734"/>
      <c r="ED184" s="734"/>
      <c r="EE184" s="734"/>
      <c r="EF184" s="734"/>
      <c r="EG184" s="734"/>
      <c r="EH184" s="734"/>
      <c r="EI184" s="734"/>
      <c r="EJ184" s="734"/>
      <c r="EK184" s="734"/>
      <c r="EL184" s="734"/>
      <c r="EM184" s="734"/>
      <c r="EN184" s="734"/>
      <c r="EO184" s="734"/>
      <c r="EP184" s="734"/>
      <c r="EQ184" s="734"/>
      <c r="ER184" s="734"/>
      <c r="ES184" s="734"/>
    </row>
    <row r="185" spans="2:149" s="722" customFormat="1" hidden="1" x14ac:dyDescent="0.2">
      <c r="B185" s="722">
        <v>45</v>
      </c>
      <c r="D185" s="722" t="s">
        <v>304</v>
      </c>
      <c r="E185" s="722" t="s">
        <v>304</v>
      </c>
      <c r="F185" s="722" t="s">
        <v>316</v>
      </c>
      <c r="L185" s="726">
        <f>'[18]Fully Fitted Pricelist'!$L$141</f>
        <v>1000000</v>
      </c>
      <c r="O185" s="723"/>
      <c r="P185" s="723"/>
      <c r="R185" s="723"/>
      <c r="S185" s="723"/>
      <c r="T185" s="723"/>
      <c r="U185" s="723"/>
      <c r="V185" s="723"/>
      <c r="W185" s="726">
        <f t="shared" si="82"/>
        <v>1000000</v>
      </c>
      <c r="X185" s="726">
        <f t="shared" si="92"/>
        <v>65000</v>
      </c>
      <c r="Y185" s="726">
        <f t="shared" si="93"/>
        <v>35000</v>
      </c>
      <c r="Z185" s="726">
        <f t="shared" si="94"/>
        <v>120000</v>
      </c>
      <c r="AA185" s="726">
        <f t="shared" si="100"/>
        <v>1220000</v>
      </c>
      <c r="AB185" s="726"/>
      <c r="AC185" s="724"/>
      <c r="AD185" s="726">
        <f t="shared" si="95"/>
        <v>305000</v>
      </c>
      <c r="AE185" s="723">
        <v>30000</v>
      </c>
      <c r="AF185" s="726">
        <f t="shared" si="96"/>
        <v>6875</v>
      </c>
      <c r="AG185" s="725">
        <v>40</v>
      </c>
      <c r="AH185" s="726">
        <f>'[18]Fully Fitted Pricelist'!AA185-'[18]Fully Fitted Pricelist'!AD185</f>
        <v>915000</v>
      </c>
      <c r="AI185" s="723">
        <f t="shared" si="99"/>
        <v>0</v>
      </c>
      <c r="AJ185" s="726">
        <f t="shared" si="97"/>
        <v>1220000</v>
      </c>
      <c r="AK185" s="723"/>
      <c r="AL185" s="723"/>
      <c r="AM185" s="723"/>
      <c r="AO185" s="723"/>
      <c r="AP185" s="723"/>
      <c r="AQ185" s="723"/>
      <c r="AR185" s="723"/>
      <c r="AS185" s="723"/>
      <c r="AT185" s="723"/>
      <c r="AU185" s="723"/>
      <c r="AV185" s="723"/>
      <c r="AW185" s="723"/>
      <c r="AX185" s="723"/>
      <c r="AY185" s="723"/>
      <c r="AZ185" s="723"/>
      <c r="BA185" s="723"/>
      <c r="BB185" s="723"/>
      <c r="BC185" s="723"/>
      <c r="BD185" s="723"/>
      <c r="BE185" s="723"/>
      <c r="BF185" s="723"/>
      <c r="BG185" s="723"/>
      <c r="BH185" s="723"/>
      <c r="BI185" s="723"/>
      <c r="BJ185" s="723"/>
      <c r="BK185" s="723"/>
      <c r="BL185" s="723"/>
      <c r="BM185" s="723"/>
      <c r="BN185" s="723"/>
      <c r="BO185" s="723"/>
      <c r="BP185" s="723"/>
      <c r="BQ185" s="723"/>
      <c r="BR185" s="723"/>
      <c r="BS185" s="723"/>
      <c r="BT185" s="723"/>
      <c r="BU185" s="723"/>
      <c r="BV185" s="723"/>
      <c r="BW185" s="723"/>
      <c r="BX185" s="723"/>
      <c r="BY185" s="723"/>
      <c r="BZ185" s="723"/>
      <c r="CA185" s="723"/>
      <c r="CB185" s="723"/>
      <c r="CC185" s="723"/>
      <c r="CD185" s="723"/>
      <c r="CE185" s="723"/>
      <c r="CF185" s="723"/>
      <c r="CG185" s="723"/>
      <c r="CH185" s="723"/>
      <c r="CI185" s="723"/>
      <c r="CJ185" s="723"/>
      <c r="CK185" s="723"/>
      <c r="CL185" s="723"/>
      <c r="CM185" s="723"/>
      <c r="CN185" s="723"/>
      <c r="CO185" s="723"/>
      <c r="CP185" s="723"/>
      <c r="CQ185" s="723"/>
      <c r="CR185" s="723"/>
      <c r="CS185" s="723"/>
      <c r="CT185" s="723"/>
      <c r="CU185" s="723"/>
      <c r="CV185" s="723"/>
      <c r="CW185" s="723"/>
      <c r="CX185" s="723"/>
      <c r="CY185" s="723"/>
      <c r="CZ185" s="723"/>
      <c r="DA185" s="723"/>
      <c r="DB185" s="723"/>
      <c r="DC185" s="723"/>
      <c r="DD185" s="723"/>
      <c r="DE185" s="723"/>
      <c r="DF185" s="723"/>
      <c r="DG185" s="723"/>
      <c r="DH185" s="723"/>
      <c r="DI185" s="723"/>
      <c r="DJ185" s="723"/>
      <c r="DK185" s="723"/>
      <c r="DL185" s="723"/>
      <c r="DM185" s="723"/>
      <c r="DN185" s="723"/>
      <c r="DO185" s="723"/>
      <c r="DP185" s="723"/>
      <c r="DQ185" s="723"/>
      <c r="DR185" s="723"/>
      <c r="DS185" s="723"/>
      <c r="DT185" s="723"/>
      <c r="DU185" s="723"/>
      <c r="DV185" s="723"/>
      <c r="DW185" s="734"/>
      <c r="DX185" s="734"/>
      <c r="DY185" s="734"/>
      <c r="DZ185" s="734"/>
      <c r="EA185" s="734"/>
      <c r="EB185" s="734"/>
      <c r="EC185" s="734"/>
      <c r="ED185" s="734"/>
      <c r="EE185" s="734"/>
      <c r="EF185" s="734"/>
      <c r="EG185" s="734"/>
      <c r="EH185" s="734"/>
      <c r="EI185" s="734"/>
      <c r="EJ185" s="734"/>
      <c r="EK185" s="734"/>
      <c r="EL185" s="734"/>
      <c r="EM185" s="734"/>
      <c r="EN185" s="734"/>
      <c r="EO185" s="734"/>
      <c r="EP185" s="734"/>
      <c r="EQ185" s="734"/>
      <c r="ER185" s="734"/>
      <c r="ES185" s="734"/>
    </row>
    <row r="186" spans="2:149" s="722" customFormat="1" hidden="1" x14ac:dyDescent="0.2">
      <c r="B186" s="722">
        <v>46</v>
      </c>
      <c r="D186" s="722" t="s">
        <v>304</v>
      </c>
      <c r="E186" s="722" t="s">
        <v>304</v>
      </c>
      <c r="F186" s="722" t="s">
        <v>317</v>
      </c>
      <c r="L186" s="726">
        <f>'[18]Fully Fitted Pricelist'!$L$141</f>
        <v>1000000</v>
      </c>
      <c r="O186" s="723"/>
      <c r="P186" s="723"/>
      <c r="R186" s="723"/>
      <c r="S186" s="723"/>
      <c r="T186" s="723"/>
      <c r="U186" s="723"/>
      <c r="V186" s="723"/>
      <c r="W186" s="726">
        <f t="shared" si="82"/>
        <v>1000000</v>
      </c>
      <c r="X186" s="726">
        <f t="shared" si="92"/>
        <v>65000</v>
      </c>
      <c r="Y186" s="726">
        <f t="shared" si="93"/>
        <v>35000</v>
      </c>
      <c r="Z186" s="726">
        <f t="shared" si="94"/>
        <v>120000</v>
      </c>
      <c r="AA186" s="726">
        <f t="shared" si="100"/>
        <v>1220000</v>
      </c>
      <c r="AB186" s="726"/>
      <c r="AC186" s="724"/>
      <c r="AD186" s="726">
        <f t="shared" si="95"/>
        <v>305000</v>
      </c>
      <c r="AE186" s="723">
        <v>30000</v>
      </c>
      <c r="AF186" s="726">
        <f t="shared" si="96"/>
        <v>6875</v>
      </c>
      <c r="AG186" s="725">
        <v>40</v>
      </c>
      <c r="AH186" s="726">
        <f>'[18]Fully Fitted Pricelist'!AA186-'[18]Fully Fitted Pricelist'!AD186</f>
        <v>915000</v>
      </c>
      <c r="AI186" s="723">
        <f t="shared" si="99"/>
        <v>0</v>
      </c>
      <c r="AJ186" s="726">
        <f t="shared" si="97"/>
        <v>1220000</v>
      </c>
      <c r="AK186" s="723"/>
      <c r="AL186" s="723"/>
      <c r="AM186" s="723"/>
      <c r="AO186" s="723"/>
      <c r="AP186" s="723"/>
      <c r="AQ186" s="723"/>
      <c r="AR186" s="723"/>
      <c r="AS186" s="723"/>
      <c r="AT186" s="723"/>
      <c r="AU186" s="723"/>
      <c r="AV186" s="723"/>
      <c r="AW186" s="723"/>
      <c r="AX186" s="723"/>
      <c r="AY186" s="723"/>
      <c r="AZ186" s="723"/>
      <c r="BA186" s="723"/>
      <c r="BB186" s="723"/>
      <c r="BC186" s="723"/>
      <c r="BD186" s="723"/>
      <c r="BE186" s="723"/>
      <c r="BF186" s="723"/>
      <c r="BG186" s="723"/>
      <c r="BH186" s="723"/>
      <c r="BI186" s="723"/>
      <c r="BJ186" s="723"/>
      <c r="BK186" s="723"/>
      <c r="BL186" s="723"/>
      <c r="BM186" s="723"/>
      <c r="BN186" s="723"/>
      <c r="BO186" s="723"/>
      <c r="BP186" s="723"/>
      <c r="BQ186" s="723"/>
      <c r="BR186" s="723"/>
      <c r="BS186" s="723"/>
      <c r="BT186" s="723"/>
      <c r="BU186" s="723"/>
      <c r="BV186" s="723"/>
      <c r="BW186" s="723"/>
      <c r="BX186" s="723"/>
      <c r="BY186" s="723"/>
      <c r="BZ186" s="723"/>
      <c r="CA186" s="723"/>
      <c r="CB186" s="723"/>
      <c r="CC186" s="723"/>
      <c r="CD186" s="723"/>
      <c r="CE186" s="723"/>
      <c r="CF186" s="723"/>
      <c r="CG186" s="723"/>
      <c r="CH186" s="723"/>
      <c r="CI186" s="723"/>
      <c r="CJ186" s="723"/>
      <c r="CK186" s="723"/>
      <c r="CL186" s="723"/>
      <c r="CM186" s="723"/>
      <c r="CN186" s="723"/>
      <c r="CO186" s="723"/>
      <c r="CP186" s="723"/>
      <c r="CQ186" s="723"/>
      <c r="CR186" s="723"/>
      <c r="CS186" s="723"/>
      <c r="CT186" s="723"/>
      <c r="CU186" s="723"/>
      <c r="CV186" s="723"/>
      <c r="CW186" s="723"/>
      <c r="CX186" s="723"/>
      <c r="CY186" s="723"/>
      <c r="CZ186" s="723"/>
      <c r="DA186" s="723"/>
      <c r="DB186" s="723"/>
      <c r="DC186" s="723"/>
      <c r="DD186" s="723"/>
      <c r="DE186" s="723"/>
      <c r="DF186" s="723"/>
      <c r="DG186" s="723"/>
      <c r="DH186" s="723"/>
      <c r="DI186" s="723"/>
      <c r="DJ186" s="723"/>
      <c r="DK186" s="723"/>
      <c r="DL186" s="723"/>
      <c r="DM186" s="723"/>
      <c r="DN186" s="723"/>
      <c r="DO186" s="723"/>
      <c r="DP186" s="723"/>
      <c r="DQ186" s="723"/>
      <c r="DR186" s="723"/>
      <c r="DS186" s="723"/>
      <c r="DT186" s="723"/>
      <c r="DU186" s="723"/>
      <c r="DV186" s="723"/>
      <c r="DW186" s="734"/>
      <c r="DX186" s="734"/>
      <c r="DY186" s="734"/>
      <c r="DZ186" s="734"/>
      <c r="EA186" s="734"/>
      <c r="EB186" s="734"/>
      <c r="EC186" s="734"/>
      <c r="ED186" s="734"/>
      <c r="EE186" s="734"/>
      <c r="EF186" s="734"/>
      <c r="EG186" s="734"/>
      <c r="EH186" s="734"/>
      <c r="EI186" s="734"/>
      <c r="EJ186" s="734"/>
      <c r="EK186" s="734"/>
      <c r="EL186" s="734"/>
      <c r="EM186" s="734"/>
      <c r="EN186" s="734"/>
      <c r="EO186" s="734"/>
      <c r="EP186" s="734"/>
      <c r="EQ186" s="734"/>
      <c r="ER186" s="734"/>
      <c r="ES186" s="734"/>
    </row>
    <row r="187" spans="2:149" hidden="1" x14ac:dyDescent="0.2">
      <c r="B187" s="722">
        <v>47</v>
      </c>
      <c r="D187" s="722" t="s">
        <v>304</v>
      </c>
      <c r="E187" s="722" t="s">
        <v>304</v>
      </c>
      <c r="F187" s="722" t="s">
        <v>318</v>
      </c>
      <c r="L187" s="726">
        <f>'[18]Fully Fitted Pricelist'!$L$141</f>
        <v>1000000</v>
      </c>
      <c r="W187" s="726">
        <f t="shared" si="82"/>
        <v>1000000</v>
      </c>
      <c r="X187" s="726">
        <f t="shared" si="92"/>
        <v>65000</v>
      </c>
      <c r="Y187" s="726">
        <f t="shared" si="93"/>
        <v>35000</v>
      </c>
      <c r="Z187" s="726">
        <f t="shared" si="94"/>
        <v>120000</v>
      </c>
      <c r="AA187" s="726">
        <f t="shared" si="100"/>
        <v>1220000</v>
      </c>
      <c r="AB187" s="726"/>
      <c r="AD187" s="726">
        <f t="shared" si="95"/>
        <v>305000</v>
      </c>
      <c r="AE187" s="723">
        <f>AE164</f>
        <v>30000</v>
      </c>
      <c r="AF187" s="726">
        <f t="shared" si="96"/>
        <v>6875</v>
      </c>
      <c r="AG187" s="725">
        <v>40</v>
      </c>
      <c r="AH187" s="726">
        <f>'[18]Fully Fitted Pricelist'!AA187-'[18]Fully Fitted Pricelist'!AD187</f>
        <v>915000</v>
      </c>
      <c r="AI187" s="723">
        <f t="shared" si="99"/>
        <v>0</v>
      </c>
      <c r="AJ187" s="726">
        <f t="shared" si="97"/>
        <v>1220000</v>
      </c>
      <c r="AO187" s="721"/>
      <c r="AQ187" s="723"/>
    </row>
    <row r="188" spans="2:149" hidden="1" x14ac:dyDescent="0.2">
      <c r="B188" s="722">
        <v>48</v>
      </c>
      <c r="D188" s="722" t="s">
        <v>304</v>
      </c>
      <c r="E188" s="722" t="s">
        <v>304</v>
      </c>
      <c r="F188" s="722" t="s">
        <v>319</v>
      </c>
      <c r="L188" s="726">
        <f>'[18]Fully Fitted Pricelist'!$L$141</f>
        <v>1000000</v>
      </c>
      <c r="W188" s="726">
        <f t="shared" si="82"/>
        <v>1000000</v>
      </c>
      <c r="X188" s="726">
        <f t="shared" si="92"/>
        <v>65000</v>
      </c>
      <c r="Y188" s="726">
        <f t="shared" si="93"/>
        <v>35000</v>
      </c>
      <c r="Z188" s="726">
        <f t="shared" si="94"/>
        <v>120000</v>
      </c>
      <c r="AA188" s="726">
        <f t="shared" si="100"/>
        <v>1220000</v>
      </c>
      <c r="AB188" s="726"/>
      <c r="AD188" s="726">
        <f t="shared" si="95"/>
        <v>305000</v>
      </c>
      <c r="AE188" s="723">
        <f t="shared" si="98"/>
        <v>30000</v>
      </c>
      <c r="AF188" s="726">
        <f t="shared" si="96"/>
        <v>6875</v>
      </c>
      <c r="AG188" s="725">
        <v>40</v>
      </c>
      <c r="AH188" s="726">
        <f>'[18]Fully Fitted Pricelist'!AA188-'[18]Fully Fitted Pricelist'!AD188</f>
        <v>915000</v>
      </c>
      <c r="AI188" s="723">
        <f t="shared" ref="AI188:AI193" si="101">SUM(AN188:ES188)</f>
        <v>0</v>
      </c>
      <c r="AJ188" s="726">
        <f t="shared" si="97"/>
        <v>1220000</v>
      </c>
      <c r="AK188" s="721"/>
      <c r="AL188" s="721"/>
      <c r="AM188" s="721"/>
      <c r="AO188" s="721"/>
      <c r="AQ188" s="723"/>
    </row>
    <row r="189" spans="2:149" hidden="1" x14ac:dyDescent="0.2">
      <c r="B189" s="722">
        <v>49</v>
      </c>
      <c r="D189" s="722" t="s">
        <v>304</v>
      </c>
      <c r="E189" s="722" t="s">
        <v>304</v>
      </c>
      <c r="F189" s="722" t="s">
        <v>320</v>
      </c>
      <c r="L189" s="726">
        <f>'[18]Fully Fitted Pricelist'!$L$141</f>
        <v>1000000</v>
      </c>
      <c r="W189" s="726">
        <f t="shared" si="82"/>
        <v>1000000</v>
      </c>
      <c r="X189" s="726">
        <f t="shared" si="92"/>
        <v>65000</v>
      </c>
      <c r="Y189" s="726">
        <f t="shared" si="93"/>
        <v>35000</v>
      </c>
      <c r="Z189" s="726">
        <f t="shared" si="94"/>
        <v>120000</v>
      </c>
      <c r="AA189" s="726">
        <f t="shared" si="100"/>
        <v>1220000</v>
      </c>
      <c r="AB189" s="726"/>
      <c r="AD189" s="726">
        <f t="shared" si="95"/>
        <v>305000</v>
      </c>
      <c r="AE189" s="723">
        <f t="shared" si="98"/>
        <v>30000</v>
      </c>
      <c r="AF189" s="726">
        <f t="shared" si="96"/>
        <v>6875</v>
      </c>
      <c r="AG189" s="725">
        <v>40</v>
      </c>
      <c r="AH189" s="726">
        <f>'[18]Fully Fitted Pricelist'!AA189-'[18]Fully Fitted Pricelist'!AD189</f>
        <v>915000</v>
      </c>
      <c r="AI189" s="723">
        <f t="shared" si="101"/>
        <v>0</v>
      </c>
      <c r="AJ189" s="726">
        <f t="shared" si="97"/>
        <v>1220000</v>
      </c>
      <c r="AK189" s="721"/>
      <c r="AL189" s="721"/>
      <c r="AM189" s="721"/>
      <c r="AO189" s="721"/>
      <c r="AQ189" s="723"/>
    </row>
    <row r="190" spans="2:149" hidden="1" x14ac:dyDescent="0.2">
      <c r="B190" s="722">
        <v>50</v>
      </c>
      <c r="D190" s="722" t="s">
        <v>304</v>
      </c>
      <c r="E190" s="722" t="s">
        <v>304</v>
      </c>
      <c r="F190" s="722" t="s">
        <v>321</v>
      </c>
      <c r="L190" s="726">
        <f>'[18]Fully Fitted Pricelist'!$L$141</f>
        <v>1000000</v>
      </c>
      <c r="W190" s="726">
        <f t="shared" si="82"/>
        <v>1000000</v>
      </c>
      <c r="X190" s="726">
        <f t="shared" si="92"/>
        <v>65000</v>
      </c>
      <c r="Y190" s="726">
        <f t="shared" si="93"/>
        <v>35000</v>
      </c>
      <c r="Z190" s="726">
        <f t="shared" si="94"/>
        <v>120000</v>
      </c>
      <c r="AA190" s="726">
        <f t="shared" si="100"/>
        <v>1220000</v>
      </c>
      <c r="AB190" s="726"/>
      <c r="AD190" s="726">
        <f t="shared" si="95"/>
        <v>305000</v>
      </c>
      <c r="AE190" s="723">
        <f t="shared" si="98"/>
        <v>30000</v>
      </c>
      <c r="AF190" s="726">
        <f t="shared" si="96"/>
        <v>6875</v>
      </c>
      <c r="AG190" s="725">
        <v>40</v>
      </c>
      <c r="AH190" s="726">
        <f>'[18]Fully Fitted Pricelist'!AA190-'[18]Fully Fitted Pricelist'!AD190</f>
        <v>915000</v>
      </c>
      <c r="AI190" s="723">
        <f t="shared" si="101"/>
        <v>0</v>
      </c>
      <c r="AJ190" s="726">
        <f t="shared" si="97"/>
        <v>1220000</v>
      </c>
      <c r="AK190" s="721"/>
      <c r="AL190" s="721"/>
      <c r="AM190" s="721"/>
      <c r="AO190" s="721"/>
      <c r="AQ190" s="723"/>
    </row>
    <row r="191" spans="2:149" hidden="1" x14ac:dyDescent="0.2">
      <c r="B191" s="722">
        <v>51</v>
      </c>
      <c r="D191" s="722" t="s">
        <v>304</v>
      </c>
      <c r="E191" s="722" t="s">
        <v>304</v>
      </c>
      <c r="F191" s="722" t="s">
        <v>322</v>
      </c>
      <c r="L191" s="726">
        <f>'[18]Fully Fitted Pricelist'!$L$141</f>
        <v>1000000</v>
      </c>
      <c r="W191" s="726">
        <f t="shared" si="82"/>
        <v>1000000</v>
      </c>
      <c r="X191" s="726">
        <f t="shared" si="92"/>
        <v>65000</v>
      </c>
      <c r="Y191" s="726">
        <f t="shared" si="93"/>
        <v>35000</v>
      </c>
      <c r="Z191" s="726">
        <f t="shared" si="94"/>
        <v>120000</v>
      </c>
      <c r="AA191" s="726">
        <f t="shared" si="100"/>
        <v>1220000</v>
      </c>
      <c r="AB191" s="726"/>
      <c r="AD191" s="726">
        <f t="shared" si="95"/>
        <v>305000</v>
      </c>
      <c r="AE191" s="723">
        <f t="shared" si="98"/>
        <v>30000</v>
      </c>
      <c r="AF191" s="726">
        <f t="shared" si="96"/>
        <v>6875</v>
      </c>
      <c r="AG191" s="725">
        <v>40</v>
      </c>
      <c r="AH191" s="726">
        <f>'[18]Fully Fitted Pricelist'!AA191-'[18]Fully Fitted Pricelist'!AD191</f>
        <v>915000</v>
      </c>
      <c r="AI191" s="723">
        <f t="shared" si="101"/>
        <v>0</v>
      </c>
      <c r="AJ191" s="726">
        <f t="shared" si="97"/>
        <v>1220000</v>
      </c>
      <c r="AK191" s="721"/>
      <c r="AL191" s="721"/>
      <c r="AM191" s="721"/>
      <c r="AO191" s="721"/>
      <c r="AQ191" s="723"/>
    </row>
    <row r="192" spans="2:149" hidden="1" x14ac:dyDescent="0.2">
      <c r="B192" s="722">
        <v>52</v>
      </c>
      <c r="D192" s="722" t="s">
        <v>304</v>
      </c>
      <c r="E192" s="722" t="s">
        <v>304</v>
      </c>
      <c r="F192" s="722" t="s">
        <v>323</v>
      </c>
      <c r="L192" s="726">
        <f>'[18]Fully Fitted Pricelist'!$L$141</f>
        <v>1000000</v>
      </c>
      <c r="W192" s="726">
        <f t="shared" si="82"/>
        <v>1000000</v>
      </c>
      <c r="X192" s="726">
        <f t="shared" si="92"/>
        <v>65000</v>
      </c>
      <c r="Y192" s="726">
        <f t="shared" si="93"/>
        <v>35000</v>
      </c>
      <c r="Z192" s="726">
        <f t="shared" si="94"/>
        <v>120000</v>
      </c>
      <c r="AA192" s="726">
        <f t="shared" si="100"/>
        <v>1220000</v>
      </c>
      <c r="AB192" s="726"/>
      <c r="AD192" s="726">
        <f t="shared" si="95"/>
        <v>305000</v>
      </c>
      <c r="AE192" s="723">
        <f t="shared" si="98"/>
        <v>30000</v>
      </c>
      <c r="AF192" s="726">
        <f t="shared" si="96"/>
        <v>6875</v>
      </c>
      <c r="AG192" s="725">
        <v>40</v>
      </c>
      <c r="AH192" s="726">
        <f>'[18]Fully Fitted Pricelist'!AA192-'[18]Fully Fitted Pricelist'!AD192</f>
        <v>915000</v>
      </c>
      <c r="AI192" s="723">
        <f t="shared" si="101"/>
        <v>0</v>
      </c>
      <c r="AJ192" s="726">
        <f t="shared" si="97"/>
        <v>1220000</v>
      </c>
      <c r="AK192" s="721"/>
      <c r="AL192" s="721"/>
      <c r="AM192" s="721"/>
      <c r="AO192" s="721"/>
      <c r="AQ192" s="723"/>
    </row>
    <row r="193" spans="2:83" hidden="1" x14ac:dyDescent="0.2">
      <c r="B193" s="722">
        <v>53</v>
      </c>
      <c r="D193" s="722" t="s">
        <v>304</v>
      </c>
      <c r="E193" s="722" t="s">
        <v>304</v>
      </c>
      <c r="F193" s="722" t="s">
        <v>324</v>
      </c>
      <c r="L193" s="726">
        <f>'[18]Fully Fitted Pricelist'!$L$141</f>
        <v>1000000</v>
      </c>
      <c r="W193" s="726">
        <f t="shared" si="82"/>
        <v>1000000</v>
      </c>
      <c r="X193" s="726">
        <f t="shared" si="92"/>
        <v>65000</v>
      </c>
      <c r="Y193" s="726">
        <f t="shared" si="93"/>
        <v>35000</v>
      </c>
      <c r="Z193" s="726">
        <f t="shared" si="94"/>
        <v>120000</v>
      </c>
      <c r="AA193" s="726">
        <f t="shared" si="100"/>
        <v>1220000</v>
      </c>
      <c r="AB193" s="726"/>
      <c r="AD193" s="726">
        <f t="shared" si="95"/>
        <v>305000</v>
      </c>
      <c r="AE193" s="723">
        <f t="shared" si="98"/>
        <v>30000</v>
      </c>
      <c r="AF193" s="726">
        <f t="shared" si="96"/>
        <v>6875</v>
      </c>
      <c r="AG193" s="725">
        <v>40</v>
      </c>
      <c r="AH193" s="726">
        <f>'[18]Fully Fitted Pricelist'!AA193-'[18]Fully Fitted Pricelist'!AD193</f>
        <v>915000</v>
      </c>
      <c r="AI193" s="723">
        <f t="shared" si="101"/>
        <v>0</v>
      </c>
      <c r="AJ193" s="726">
        <f t="shared" si="97"/>
        <v>1220000</v>
      </c>
      <c r="AK193" s="721"/>
      <c r="AL193" s="721"/>
      <c r="AM193" s="721"/>
      <c r="AQ193" s="723"/>
    </row>
    <row r="194" spans="2:83" hidden="1" x14ac:dyDescent="0.2">
      <c r="B194" s="722">
        <v>54</v>
      </c>
      <c r="D194" s="722" t="s">
        <v>304</v>
      </c>
      <c r="E194" s="722" t="s">
        <v>304</v>
      </c>
      <c r="F194" s="722" t="s">
        <v>325</v>
      </c>
      <c r="L194" s="726">
        <f>'[18]Fully Fitted Pricelist'!$L$141</f>
        <v>1000000</v>
      </c>
      <c r="W194" s="726">
        <f t="shared" si="82"/>
        <v>1000000</v>
      </c>
      <c r="X194" s="726">
        <f t="shared" si="92"/>
        <v>65000</v>
      </c>
      <c r="Y194" s="726">
        <f t="shared" si="93"/>
        <v>35000</v>
      </c>
      <c r="Z194" s="726">
        <f t="shared" si="94"/>
        <v>120000</v>
      </c>
      <c r="AA194" s="726">
        <f t="shared" si="100"/>
        <v>1220000</v>
      </c>
      <c r="AB194" s="726"/>
      <c r="AD194" s="726">
        <f t="shared" si="95"/>
        <v>305000</v>
      </c>
      <c r="AE194" s="723">
        <f t="shared" si="98"/>
        <v>30000</v>
      </c>
      <c r="AF194" s="726">
        <f t="shared" si="96"/>
        <v>6875</v>
      </c>
      <c r="AG194" s="725">
        <v>40</v>
      </c>
      <c r="AH194" s="726">
        <f>'[18]Fully Fitted Pricelist'!AA194-'[18]Fully Fitted Pricelist'!AD194</f>
        <v>915000</v>
      </c>
      <c r="AI194" s="723">
        <f t="shared" si="99"/>
        <v>0</v>
      </c>
      <c r="AJ194" s="726">
        <f t="shared" si="97"/>
        <v>1220000</v>
      </c>
      <c r="AN194" s="727"/>
      <c r="AQ194" s="723"/>
    </row>
    <row r="195" spans="2:83" hidden="1" x14ac:dyDescent="0.2">
      <c r="B195" s="722">
        <v>55</v>
      </c>
      <c r="D195" s="722" t="s">
        <v>304</v>
      </c>
      <c r="E195" s="722" t="s">
        <v>304</v>
      </c>
      <c r="F195" s="722" t="s">
        <v>326</v>
      </c>
      <c r="L195" s="726">
        <f>'[18]Fully Fitted Pricelist'!$L$141</f>
        <v>1000000</v>
      </c>
      <c r="W195" s="726">
        <f t="shared" si="82"/>
        <v>1000000</v>
      </c>
      <c r="X195" s="726">
        <f t="shared" si="92"/>
        <v>65000</v>
      </c>
      <c r="Y195" s="726">
        <f t="shared" si="93"/>
        <v>35000</v>
      </c>
      <c r="Z195" s="726">
        <f t="shared" si="94"/>
        <v>120000</v>
      </c>
      <c r="AA195" s="726">
        <f t="shared" si="100"/>
        <v>1220000</v>
      </c>
      <c r="AB195" s="726"/>
      <c r="AD195" s="726">
        <f t="shared" si="95"/>
        <v>305000</v>
      </c>
      <c r="AE195" s="723">
        <f t="shared" si="98"/>
        <v>30000</v>
      </c>
      <c r="AF195" s="726">
        <f t="shared" si="96"/>
        <v>6875</v>
      </c>
      <c r="AG195" s="725">
        <v>40</v>
      </c>
      <c r="AH195" s="726">
        <f>'[18]Fully Fitted Pricelist'!AA195-'[18]Fully Fitted Pricelist'!AD195</f>
        <v>915000</v>
      </c>
      <c r="AI195" s="723">
        <f t="shared" si="99"/>
        <v>0</v>
      </c>
      <c r="AJ195" s="726">
        <f t="shared" si="97"/>
        <v>1220000</v>
      </c>
      <c r="AN195" s="727"/>
      <c r="AQ195" s="723"/>
    </row>
    <row r="196" spans="2:83" hidden="1" x14ac:dyDescent="0.2">
      <c r="B196" s="722">
        <v>56</v>
      </c>
      <c r="D196" s="722" t="s">
        <v>304</v>
      </c>
      <c r="E196" s="722" t="s">
        <v>304</v>
      </c>
      <c r="F196" s="722" t="s">
        <v>327</v>
      </c>
      <c r="L196" s="726">
        <f>'[18]Fully Fitted Pricelist'!$L$141</f>
        <v>1000000</v>
      </c>
      <c r="W196" s="726">
        <f t="shared" si="82"/>
        <v>1000000</v>
      </c>
      <c r="X196" s="726">
        <f t="shared" si="92"/>
        <v>65000</v>
      </c>
      <c r="Y196" s="726">
        <f t="shared" si="93"/>
        <v>35000</v>
      </c>
      <c r="Z196" s="726">
        <f t="shared" si="94"/>
        <v>120000</v>
      </c>
      <c r="AA196" s="726">
        <f t="shared" si="100"/>
        <v>1220000</v>
      </c>
      <c r="AB196" s="726"/>
      <c r="AD196" s="726">
        <f t="shared" si="95"/>
        <v>305000</v>
      </c>
      <c r="AE196" s="723">
        <f t="shared" si="98"/>
        <v>30000</v>
      </c>
      <c r="AF196" s="726">
        <f t="shared" si="96"/>
        <v>7051.2820512820517</v>
      </c>
      <c r="AG196" s="725">
        <v>39</v>
      </c>
      <c r="AH196" s="726">
        <f>'[18]Fully Fitted Pricelist'!AA196-'[18]Fully Fitted Pricelist'!AD196</f>
        <v>915000</v>
      </c>
      <c r="AI196" s="723">
        <f t="shared" si="99"/>
        <v>0</v>
      </c>
      <c r="AJ196" s="726">
        <f t="shared" si="97"/>
        <v>1220000</v>
      </c>
      <c r="AP196" s="721"/>
      <c r="AQ196" s="723"/>
    </row>
    <row r="197" spans="2:83" hidden="1" x14ac:dyDescent="0.2">
      <c r="B197" s="722">
        <v>57</v>
      </c>
      <c r="D197" s="722" t="s">
        <v>304</v>
      </c>
      <c r="E197" s="722" t="s">
        <v>304</v>
      </c>
      <c r="F197" s="722" t="s">
        <v>328</v>
      </c>
      <c r="L197" s="726">
        <f>'[18]Fully Fitted Pricelist'!$L$141</f>
        <v>1000000</v>
      </c>
      <c r="W197" s="726">
        <f t="shared" si="82"/>
        <v>1000000</v>
      </c>
      <c r="X197" s="726">
        <f t="shared" si="92"/>
        <v>65000</v>
      </c>
      <c r="Y197" s="726">
        <f t="shared" si="93"/>
        <v>35000</v>
      </c>
      <c r="Z197" s="726">
        <f t="shared" si="94"/>
        <v>120000</v>
      </c>
      <c r="AA197" s="726">
        <f t="shared" si="100"/>
        <v>1220000</v>
      </c>
      <c r="AB197" s="726"/>
      <c r="AD197" s="726">
        <f t="shared" si="95"/>
        <v>305000</v>
      </c>
      <c r="AE197" s="723">
        <f t="shared" si="98"/>
        <v>30000</v>
      </c>
      <c r="AF197" s="726">
        <f t="shared" si="96"/>
        <v>7051.2820512820517</v>
      </c>
      <c r="AG197" s="725">
        <v>39</v>
      </c>
      <c r="AH197" s="726">
        <f>'[18]Fully Fitted Pricelist'!AA197-'[18]Fully Fitted Pricelist'!AD197</f>
        <v>915000</v>
      </c>
      <c r="AI197" s="723">
        <f t="shared" si="99"/>
        <v>0</v>
      </c>
      <c r="AJ197" s="726">
        <f t="shared" si="97"/>
        <v>1220000</v>
      </c>
      <c r="AP197" s="721"/>
      <c r="AQ197" s="723"/>
    </row>
    <row r="198" spans="2:83" hidden="1" x14ac:dyDescent="0.2">
      <c r="B198" s="722">
        <v>58</v>
      </c>
      <c r="D198" s="722" t="s">
        <v>304</v>
      </c>
      <c r="E198" s="722" t="s">
        <v>304</v>
      </c>
      <c r="F198" s="722" t="s">
        <v>329</v>
      </c>
      <c r="L198" s="726">
        <f>'[18]Fully Fitted Pricelist'!$L$141</f>
        <v>1000000</v>
      </c>
      <c r="W198" s="726">
        <f t="shared" si="82"/>
        <v>1000000</v>
      </c>
      <c r="X198" s="726">
        <f t="shared" si="92"/>
        <v>65000</v>
      </c>
      <c r="Y198" s="726">
        <f t="shared" si="93"/>
        <v>35000</v>
      </c>
      <c r="Z198" s="726">
        <f t="shared" si="94"/>
        <v>120000</v>
      </c>
      <c r="AA198" s="726">
        <f t="shared" si="100"/>
        <v>1220000</v>
      </c>
      <c r="AB198" s="726"/>
      <c r="AD198" s="726">
        <f t="shared" si="95"/>
        <v>305000</v>
      </c>
      <c r="AE198" s="723">
        <f t="shared" si="98"/>
        <v>30000</v>
      </c>
      <c r="AF198" s="726">
        <f t="shared" si="96"/>
        <v>7051.2820512820517</v>
      </c>
      <c r="AG198" s="725">
        <v>39</v>
      </c>
      <c r="AH198" s="726">
        <f>'[18]Fully Fitted Pricelist'!AA198-'[18]Fully Fitted Pricelist'!AD198</f>
        <v>915000</v>
      </c>
      <c r="AI198" s="723">
        <f>SUM(AK198:ES198)</f>
        <v>0</v>
      </c>
      <c r="AJ198" s="726">
        <f t="shared" si="97"/>
        <v>1220000</v>
      </c>
      <c r="AO198" s="723"/>
      <c r="AP198" s="721"/>
      <c r="AQ198" s="723"/>
      <c r="AS198" s="723"/>
      <c r="AT198" s="723"/>
      <c r="AU198" s="723"/>
      <c r="AV198" s="723"/>
      <c r="AW198" s="723"/>
      <c r="AX198" s="723"/>
      <c r="AY198" s="723"/>
      <c r="AZ198" s="723"/>
      <c r="BA198" s="723"/>
      <c r="BB198" s="723"/>
      <c r="BC198" s="723"/>
      <c r="BD198" s="723"/>
      <c r="BE198" s="723"/>
      <c r="BF198" s="723"/>
      <c r="BG198" s="723"/>
      <c r="BH198" s="723"/>
      <c r="BI198" s="723"/>
      <c r="BJ198" s="723"/>
      <c r="BK198" s="723"/>
      <c r="BL198" s="723"/>
      <c r="BM198" s="723"/>
      <c r="BN198" s="723"/>
      <c r="BO198" s="723"/>
      <c r="BP198" s="723"/>
      <c r="BQ198" s="723"/>
      <c r="BR198" s="723"/>
      <c r="BS198" s="723"/>
      <c r="BT198" s="723"/>
      <c r="BU198" s="723"/>
      <c r="BV198" s="723"/>
      <c r="BW198" s="723"/>
      <c r="BX198" s="723"/>
      <c r="BY198" s="723"/>
      <c r="BZ198" s="723"/>
      <c r="CA198" s="723"/>
      <c r="CB198" s="723"/>
      <c r="CC198" s="723"/>
      <c r="CE198" s="723"/>
    </row>
    <row r="199" spans="2:83" hidden="1" x14ac:dyDescent="0.2">
      <c r="B199" s="722">
        <v>59</v>
      </c>
      <c r="D199" s="722" t="s">
        <v>304</v>
      </c>
      <c r="E199" s="722" t="s">
        <v>304</v>
      </c>
      <c r="F199" s="722" t="s">
        <v>330</v>
      </c>
      <c r="L199" s="726">
        <f>'[18]Fully Fitted Pricelist'!$L$141</f>
        <v>1000000</v>
      </c>
      <c r="W199" s="726">
        <f t="shared" si="82"/>
        <v>1000000</v>
      </c>
      <c r="X199" s="726">
        <f t="shared" si="92"/>
        <v>65000</v>
      </c>
      <c r="Y199" s="726">
        <f t="shared" si="93"/>
        <v>35000</v>
      </c>
      <c r="Z199" s="726">
        <f t="shared" si="94"/>
        <v>120000</v>
      </c>
      <c r="AA199" s="726">
        <f t="shared" si="100"/>
        <v>1220000</v>
      </c>
      <c r="AB199" s="726"/>
      <c r="AD199" s="726">
        <f t="shared" si="95"/>
        <v>305000</v>
      </c>
      <c r="AE199" s="723">
        <f t="shared" si="98"/>
        <v>30000</v>
      </c>
      <c r="AF199" s="726">
        <f t="shared" si="96"/>
        <v>7051.2820512820517</v>
      </c>
      <c r="AG199" s="725">
        <v>39</v>
      </c>
      <c r="AH199" s="726">
        <f>'[18]Fully Fitted Pricelist'!AA199-'[18]Fully Fitted Pricelist'!AD199</f>
        <v>915000</v>
      </c>
      <c r="AI199" s="723">
        <f>SUM(AK199:ES199)</f>
        <v>0</v>
      </c>
      <c r="AJ199" s="726">
        <f t="shared" si="97"/>
        <v>1220000</v>
      </c>
      <c r="AO199" s="723"/>
      <c r="AP199" s="723"/>
      <c r="AQ199" s="723"/>
      <c r="AS199" s="723"/>
      <c r="AT199" s="723"/>
      <c r="AU199" s="723"/>
      <c r="AV199" s="723"/>
      <c r="AW199" s="723"/>
      <c r="AX199" s="723"/>
      <c r="AY199" s="723"/>
      <c r="AZ199" s="723"/>
      <c r="BA199" s="723"/>
      <c r="BB199" s="723"/>
      <c r="BC199" s="723"/>
      <c r="BD199" s="723"/>
      <c r="BE199" s="723"/>
      <c r="BF199" s="723"/>
      <c r="BG199" s="723"/>
      <c r="BH199" s="723"/>
      <c r="BI199" s="723"/>
      <c r="BJ199" s="723"/>
      <c r="BK199" s="723"/>
      <c r="BL199" s="723"/>
      <c r="BM199" s="723"/>
      <c r="BN199" s="723"/>
      <c r="BO199" s="723"/>
      <c r="BP199" s="723"/>
      <c r="BQ199" s="723"/>
      <c r="BR199" s="723"/>
      <c r="BS199" s="723"/>
      <c r="BT199" s="723"/>
      <c r="BU199" s="723"/>
      <c r="BV199" s="723"/>
      <c r="BW199" s="723"/>
      <c r="BX199" s="723"/>
      <c r="BY199" s="723"/>
      <c r="BZ199" s="723"/>
      <c r="CA199" s="723"/>
      <c r="CB199" s="723"/>
      <c r="CC199" s="723"/>
      <c r="CE199" s="723"/>
    </row>
    <row r="200" spans="2:83" hidden="1" x14ac:dyDescent="0.2">
      <c r="B200" s="722">
        <v>60</v>
      </c>
      <c r="D200" s="722" t="s">
        <v>304</v>
      </c>
      <c r="E200" s="722" t="s">
        <v>304</v>
      </c>
      <c r="F200" s="722" t="s">
        <v>331</v>
      </c>
      <c r="L200" s="726">
        <f>'[18]Fully Fitted Pricelist'!$L$141</f>
        <v>1000000</v>
      </c>
      <c r="W200" s="726">
        <f t="shared" si="82"/>
        <v>1000000</v>
      </c>
      <c r="X200" s="726">
        <f t="shared" si="92"/>
        <v>65000</v>
      </c>
      <c r="Y200" s="726">
        <f t="shared" si="93"/>
        <v>35000</v>
      </c>
      <c r="Z200" s="726">
        <f t="shared" si="94"/>
        <v>120000</v>
      </c>
      <c r="AA200" s="726">
        <f t="shared" si="100"/>
        <v>1220000</v>
      </c>
      <c r="AB200" s="726"/>
      <c r="AD200" s="726">
        <f t="shared" si="95"/>
        <v>305000</v>
      </c>
      <c r="AE200" s="723">
        <f t="shared" si="98"/>
        <v>30000</v>
      </c>
      <c r="AF200" s="726">
        <f t="shared" si="96"/>
        <v>7051.2820512820517</v>
      </c>
      <c r="AG200" s="725">
        <v>39</v>
      </c>
      <c r="AH200" s="726">
        <f>'[18]Fully Fitted Pricelist'!AA200-'[18]Fully Fitted Pricelist'!AD200</f>
        <v>915000</v>
      </c>
      <c r="AI200" s="723">
        <f t="shared" ref="AI200:AI205" si="102">SUM(AK200:ES200)</f>
        <v>0</v>
      </c>
      <c r="AJ200" s="726">
        <f t="shared" si="97"/>
        <v>1220000</v>
      </c>
      <c r="AO200" s="723"/>
      <c r="AP200" s="723"/>
      <c r="AQ200" s="723"/>
      <c r="AS200" s="723"/>
      <c r="AT200" s="723"/>
      <c r="AU200" s="723"/>
      <c r="AV200" s="723"/>
      <c r="AW200" s="723"/>
      <c r="AX200" s="723"/>
      <c r="AY200" s="723"/>
      <c r="AZ200" s="723"/>
      <c r="BA200" s="723"/>
      <c r="BB200" s="723"/>
      <c r="BC200" s="723"/>
      <c r="BD200" s="723"/>
      <c r="BE200" s="723"/>
      <c r="BF200" s="723"/>
      <c r="BG200" s="723"/>
      <c r="BH200" s="723"/>
      <c r="BI200" s="723"/>
      <c r="BJ200" s="723"/>
      <c r="BK200" s="723"/>
      <c r="BL200" s="723"/>
      <c r="BM200" s="723"/>
      <c r="BN200" s="723"/>
      <c r="BO200" s="723"/>
      <c r="BP200" s="723"/>
      <c r="BQ200" s="723"/>
      <c r="BR200" s="723"/>
      <c r="BS200" s="723"/>
      <c r="BT200" s="723"/>
      <c r="BU200" s="723"/>
      <c r="BV200" s="723"/>
      <c r="BW200" s="723"/>
      <c r="BX200" s="723"/>
      <c r="BY200" s="723"/>
      <c r="BZ200" s="723"/>
      <c r="CA200" s="723"/>
      <c r="CB200" s="723"/>
      <c r="CC200" s="723"/>
      <c r="CE200" s="723"/>
    </row>
    <row r="201" spans="2:83" hidden="1" x14ac:dyDescent="0.2">
      <c r="B201" s="722">
        <v>61</v>
      </c>
      <c r="D201" s="722" t="s">
        <v>304</v>
      </c>
      <c r="E201" s="722" t="s">
        <v>304</v>
      </c>
      <c r="F201" s="722" t="s">
        <v>332</v>
      </c>
      <c r="L201" s="726">
        <f>'[18]Fully Fitted Pricelist'!$L$141</f>
        <v>1000000</v>
      </c>
      <c r="W201" s="726">
        <f t="shared" si="82"/>
        <v>1000000</v>
      </c>
      <c r="X201" s="726">
        <f t="shared" si="92"/>
        <v>65000</v>
      </c>
      <c r="Y201" s="726">
        <f t="shared" si="93"/>
        <v>35000</v>
      </c>
      <c r="Z201" s="726">
        <f t="shared" si="94"/>
        <v>120000</v>
      </c>
      <c r="AA201" s="726">
        <f t="shared" si="100"/>
        <v>1220000</v>
      </c>
      <c r="AB201" s="726"/>
      <c r="AD201" s="726">
        <f t="shared" si="95"/>
        <v>305000</v>
      </c>
      <c r="AE201" s="723">
        <f t="shared" si="98"/>
        <v>30000</v>
      </c>
      <c r="AF201" s="726">
        <f t="shared" si="96"/>
        <v>7051.2820512820517</v>
      </c>
      <c r="AG201" s="725">
        <v>39</v>
      </c>
      <c r="AH201" s="726">
        <f>'[18]Fully Fitted Pricelist'!AA201-'[18]Fully Fitted Pricelist'!AD201</f>
        <v>915000</v>
      </c>
      <c r="AI201" s="723">
        <f t="shared" si="102"/>
        <v>0</v>
      </c>
      <c r="AJ201" s="726">
        <f t="shared" si="97"/>
        <v>1220000</v>
      </c>
      <c r="AO201" s="723"/>
      <c r="AP201" s="723"/>
      <c r="AQ201" s="723"/>
      <c r="AS201" s="723"/>
      <c r="AT201" s="723"/>
      <c r="AU201" s="723"/>
      <c r="AV201" s="723"/>
      <c r="AW201" s="723"/>
      <c r="AX201" s="723"/>
      <c r="AY201" s="723"/>
      <c r="AZ201" s="723"/>
      <c r="BA201" s="723"/>
      <c r="BB201" s="723"/>
      <c r="BC201" s="723"/>
      <c r="BD201" s="723"/>
      <c r="BE201" s="723"/>
      <c r="BF201" s="723"/>
      <c r="BG201" s="723"/>
      <c r="BH201" s="723"/>
      <c r="BI201" s="723"/>
      <c r="BJ201" s="723"/>
      <c r="BK201" s="723"/>
      <c r="BL201" s="723"/>
      <c r="BM201" s="723"/>
      <c r="BN201" s="723"/>
      <c r="BO201" s="723"/>
      <c r="BP201" s="723"/>
      <c r="BQ201" s="723"/>
      <c r="BR201" s="723"/>
      <c r="BS201" s="723"/>
      <c r="BT201" s="723"/>
      <c r="BU201" s="723"/>
      <c r="BV201" s="723"/>
      <c r="BW201" s="723"/>
      <c r="BX201" s="723"/>
      <c r="BY201" s="723"/>
      <c r="BZ201" s="723"/>
      <c r="CA201" s="723"/>
      <c r="CB201" s="723"/>
      <c r="CC201" s="723"/>
      <c r="CE201" s="723"/>
    </row>
    <row r="202" spans="2:83" hidden="1" x14ac:dyDescent="0.2">
      <c r="B202" s="722">
        <v>62</v>
      </c>
      <c r="D202" s="722" t="s">
        <v>304</v>
      </c>
      <c r="E202" s="722" t="s">
        <v>304</v>
      </c>
      <c r="F202" s="722" t="s">
        <v>333</v>
      </c>
      <c r="L202" s="726">
        <f>'[18]Fully Fitted Pricelist'!$L$141</f>
        <v>1000000</v>
      </c>
      <c r="W202" s="726">
        <f t="shared" si="82"/>
        <v>1000000</v>
      </c>
      <c r="X202" s="726">
        <f t="shared" si="92"/>
        <v>65000</v>
      </c>
      <c r="Y202" s="726">
        <f t="shared" si="93"/>
        <v>35000</v>
      </c>
      <c r="Z202" s="726">
        <f t="shared" si="94"/>
        <v>120000</v>
      </c>
      <c r="AA202" s="726">
        <f t="shared" si="100"/>
        <v>1220000</v>
      </c>
      <c r="AB202" s="726"/>
      <c r="AD202" s="726">
        <f t="shared" si="95"/>
        <v>305000</v>
      </c>
      <c r="AE202" s="723">
        <f t="shared" si="98"/>
        <v>30000</v>
      </c>
      <c r="AF202" s="726">
        <f t="shared" si="96"/>
        <v>7051.2820512820517</v>
      </c>
      <c r="AG202" s="725">
        <v>39</v>
      </c>
      <c r="AH202" s="726">
        <f>'[18]Fully Fitted Pricelist'!AA202-'[18]Fully Fitted Pricelist'!AD202</f>
        <v>915000</v>
      </c>
      <c r="AI202" s="723">
        <f t="shared" si="102"/>
        <v>0</v>
      </c>
      <c r="AJ202" s="726">
        <f t="shared" si="97"/>
        <v>1220000</v>
      </c>
      <c r="AO202" s="723"/>
      <c r="AP202" s="723"/>
      <c r="AQ202" s="723"/>
      <c r="AS202" s="723"/>
      <c r="AT202" s="723"/>
      <c r="AU202" s="723"/>
      <c r="AV202" s="723"/>
      <c r="AW202" s="723"/>
      <c r="AX202" s="723"/>
      <c r="AY202" s="723"/>
      <c r="AZ202" s="723"/>
      <c r="BA202" s="723"/>
      <c r="BB202" s="723"/>
      <c r="BC202" s="723"/>
      <c r="BD202" s="723"/>
      <c r="BE202" s="723"/>
      <c r="BF202" s="723"/>
      <c r="BG202" s="723"/>
      <c r="BH202" s="723"/>
      <c r="BI202" s="723"/>
      <c r="BJ202" s="723"/>
      <c r="BK202" s="723"/>
      <c r="BL202" s="723"/>
      <c r="BM202" s="723"/>
      <c r="BN202" s="723"/>
      <c r="BO202" s="723"/>
      <c r="BP202" s="723"/>
      <c r="BQ202" s="723"/>
      <c r="BR202" s="723"/>
      <c r="BS202" s="723"/>
      <c r="BT202" s="723"/>
      <c r="BU202" s="723"/>
      <c r="BV202" s="723"/>
      <c r="BW202" s="723"/>
      <c r="BX202" s="723"/>
      <c r="BY202" s="723"/>
      <c r="BZ202" s="723"/>
      <c r="CA202" s="723"/>
      <c r="CB202" s="723"/>
      <c r="CC202" s="723"/>
      <c r="CE202" s="723"/>
    </row>
    <row r="203" spans="2:83" hidden="1" x14ac:dyDescent="0.2">
      <c r="B203" s="722">
        <v>63</v>
      </c>
      <c r="D203" s="722" t="s">
        <v>304</v>
      </c>
      <c r="E203" s="722" t="s">
        <v>304</v>
      </c>
      <c r="F203" s="722" t="s">
        <v>334</v>
      </c>
      <c r="L203" s="726">
        <f>'[18]Fully Fitted Pricelist'!$L$141</f>
        <v>1000000</v>
      </c>
      <c r="W203" s="726">
        <f t="shared" si="82"/>
        <v>1000000</v>
      </c>
      <c r="X203" s="726">
        <f t="shared" si="92"/>
        <v>65000</v>
      </c>
      <c r="Y203" s="726">
        <f t="shared" si="93"/>
        <v>35000</v>
      </c>
      <c r="Z203" s="726">
        <f t="shared" si="94"/>
        <v>120000</v>
      </c>
      <c r="AA203" s="726">
        <f t="shared" si="100"/>
        <v>1220000</v>
      </c>
      <c r="AB203" s="726"/>
      <c r="AD203" s="726">
        <f t="shared" si="95"/>
        <v>305000</v>
      </c>
      <c r="AE203" s="723">
        <f t="shared" si="98"/>
        <v>30000</v>
      </c>
      <c r="AF203" s="726">
        <f t="shared" si="96"/>
        <v>7051.2820512820517</v>
      </c>
      <c r="AG203" s="725">
        <v>39</v>
      </c>
      <c r="AH203" s="726">
        <f>'[18]Fully Fitted Pricelist'!AA203-'[18]Fully Fitted Pricelist'!AD203</f>
        <v>915000</v>
      </c>
      <c r="AI203" s="723">
        <f t="shared" si="102"/>
        <v>0</v>
      </c>
      <c r="AJ203" s="726">
        <f t="shared" si="97"/>
        <v>1220000</v>
      </c>
      <c r="AO203" s="723"/>
      <c r="AP203" s="723"/>
      <c r="AQ203" s="723"/>
      <c r="AS203" s="723"/>
      <c r="AT203" s="723"/>
      <c r="AU203" s="723"/>
      <c r="AV203" s="723"/>
      <c r="AW203" s="723"/>
      <c r="AX203" s="723"/>
      <c r="AY203" s="723"/>
      <c r="AZ203" s="723"/>
      <c r="BA203" s="723"/>
      <c r="BB203" s="723"/>
      <c r="BC203" s="723"/>
      <c r="BD203" s="723"/>
      <c r="BE203" s="723"/>
      <c r="BF203" s="723"/>
      <c r="BG203" s="723"/>
      <c r="BH203" s="723"/>
      <c r="BI203" s="723"/>
      <c r="BJ203" s="723"/>
      <c r="BK203" s="723"/>
      <c r="BL203" s="723"/>
      <c r="BM203" s="723"/>
      <c r="BN203" s="723"/>
      <c r="BO203" s="723"/>
      <c r="BP203" s="723"/>
      <c r="BQ203" s="723"/>
      <c r="BR203" s="723"/>
      <c r="BS203" s="723"/>
      <c r="BT203" s="723"/>
      <c r="BU203" s="723"/>
      <c r="BV203" s="723"/>
      <c r="BW203" s="723"/>
      <c r="BX203" s="723"/>
      <c r="BY203" s="723"/>
      <c r="BZ203" s="723"/>
      <c r="CA203" s="723"/>
      <c r="CB203" s="723"/>
      <c r="CC203" s="723"/>
      <c r="CE203" s="723"/>
    </row>
    <row r="204" spans="2:83" hidden="1" x14ac:dyDescent="0.2">
      <c r="B204" s="722">
        <v>64</v>
      </c>
      <c r="D204" s="722" t="s">
        <v>304</v>
      </c>
      <c r="E204" s="722" t="s">
        <v>304</v>
      </c>
      <c r="F204" s="722" t="s">
        <v>335</v>
      </c>
      <c r="L204" s="726">
        <f>'[18]Fully Fitted Pricelist'!$L$141</f>
        <v>1000000</v>
      </c>
      <c r="W204" s="726">
        <f t="shared" si="82"/>
        <v>1000000</v>
      </c>
      <c r="X204" s="726">
        <f t="shared" si="92"/>
        <v>65000</v>
      </c>
      <c r="Y204" s="726">
        <f t="shared" si="93"/>
        <v>35000</v>
      </c>
      <c r="Z204" s="726">
        <f t="shared" si="94"/>
        <v>120000</v>
      </c>
      <c r="AA204" s="726">
        <f t="shared" si="100"/>
        <v>1220000</v>
      </c>
      <c r="AB204" s="726"/>
      <c r="AD204" s="726">
        <f t="shared" si="95"/>
        <v>305000</v>
      </c>
      <c r="AE204" s="723">
        <f t="shared" si="98"/>
        <v>30000</v>
      </c>
      <c r="AF204" s="726">
        <f t="shared" si="96"/>
        <v>7051.2820512820517</v>
      </c>
      <c r="AG204" s="725">
        <v>39</v>
      </c>
      <c r="AH204" s="726">
        <f>'[18]Fully Fitted Pricelist'!AA204-'[18]Fully Fitted Pricelist'!AD204</f>
        <v>915000</v>
      </c>
      <c r="AI204" s="723">
        <f t="shared" si="102"/>
        <v>0</v>
      </c>
      <c r="AJ204" s="726">
        <f t="shared" si="97"/>
        <v>1220000</v>
      </c>
      <c r="AO204" s="723"/>
      <c r="AP204" s="723"/>
      <c r="AQ204" s="723"/>
      <c r="AS204" s="723"/>
      <c r="AT204" s="723"/>
      <c r="AU204" s="723"/>
      <c r="AV204" s="723"/>
      <c r="AW204" s="723"/>
      <c r="AX204" s="723"/>
      <c r="AY204" s="723"/>
      <c r="AZ204" s="723"/>
      <c r="BA204" s="723"/>
      <c r="BB204" s="723"/>
      <c r="BC204" s="723"/>
      <c r="BD204" s="723"/>
      <c r="BE204" s="723"/>
      <c r="BF204" s="723"/>
      <c r="BG204" s="723"/>
      <c r="BH204" s="723"/>
      <c r="BI204" s="723"/>
      <c r="BJ204" s="723"/>
      <c r="BK204" s="723"/>
      <c r="BL204" s="723"/>
      <c r="BM204" s="723"/>
      <c r="BN204" s="723"/>
      <c r="BO204" s="723"/>
      <c r="BP204" s="723"/>
      <c r="BQ204" s="723"/>
      <c r="BR204" s="723"/>
      <c r="BS204" s="723"/>
      <c r="BT204" s="723"/>
      <c r="BU204" s="723"/>
      <c r="BV204" s="723"/>
      <c r="BW204" s="723"/>
      <c r="BX204" s="723"/>
      <c r="BY204" s="723"/>
      <c r="BZ204" s="723"/>
      <c r="CA204" s="723"/>
      <c r="CB204" s="723"/>
      <c r="CC204" s="723"/>
      <c r="CE204" s="723"/>
    </row>
    <row r="205" spans="2:83" hidden="1" x14ac:dyDescent="0.2">
      <c r="B205" s="722">
        <v>65</v>
      </c>
      <c r="D205" s="722" t="s">
        <v>304</v>
      </c>
      <c r="E205" s="722" t="s">
        <v>304</v>
      </c>
      <c r="F205" s="722" t="s">
        <v>336</v>
      </c>
      <c r="L205" s="726">
        <f>'[18]Fully Fitted Pricelist'!$L$141</f>
        <v>1000000</v>
      </c>
      <c r="W205" s="726">
        <f t="shared" ref="W205:W268" si="103">L205-M205</f>
        <v>1000000</v>
      </c>
      <c r="X205" s="726">
        <f t="shared" si="92"/>
        <v>65000</v>
      </c>
      <c r="Y205" s="726">
        <f t="shared" si="93"/>
        <v>35000</v>
      </c>
      <c r="Z205" s="726">
        <f t="shared" si="94"/>
        <v>120000</v>
      </c>
      <c r="AA205" s="726">
        <f t="shared" si="100"/>
        <v>1220000</v>
      </c>
      <c r="AB205" s="726"/>
      <c r="AD205" s="726">
        <f t="shared" si="95"/>
        <v>305000</v>
      </c>
      <c r="AE205" s="723">
        <f t="shared" si="98"/>
        <v>30000</v>
      </c>
      <c r="AF205" s="726">
        <f t="shared" si="96"/>
        <v>7051.2820512820517</v>
      </c>
      <c r="AG205" s="725">
        <v>39</v>
      </c>
      <c r="AH205" s="726">
        <f>'[18]Fully Fitted Pricelist'!AA205-'[18]Fully Fitted Pricelist'!AD205</f>
        <v>915000</v>
      </c>
      <c r="AI205" s="723">
        <f t="shared" si="102"/>
        <v>0</v>
      </c>
      <c r="AJ205" s="726">
        <f t="shared" si="97"/>
        <v>1220000</v>
      </c>
      <c r="AO205" s="723"/>
      <c r="AP205" s="723"/>
      <c r="AQ205" s="723"/>
      <c r="AS205" s="723"/>
      <c r="AT205" s="723"/>
      <c r="AU205" s="723"/>
      <c r="AV205" s="723"/>
      <c r="AW205" s="723"/>
      <c r="AX205" s="723"/>
      <c r="AY205" s="723"/>
      <c r="AZ205" s="723"/>
      <c r="BA205" s="723"/>
      <c r="BB205" s="723"/>
      <c r="BC205" s="723"/>
      <c r="BD205" s="723"/>
      <c r="BE205" s="723"/>
      <c r="BF205" s="723"/>
      <c r="BG205" s="723"/>
      <c r="BH205" s="723"/>
      <c r="BI205" s="723"/>
      <c r="BJ205" s="723"/>
      <c r="BK205" s="723"/>
      <c r="BL205" s="723"/>
      <c r="BM205" s="723"/>
      <c r="BN205" s="723"/>
      <c r="BO205" s="723"/>
      <c r="BP205" s="723"/>
      <c r="BQ205" s="723"/>
      <c r="BR205" s="723"/>
      <c r="BS205" s="723"/>
      <c r="BT205" s="723"/>
      <c r="BU205" s="723"/>
      <c r="BV205" s="723"/>
      <c r="BW205" s="723"/>
      <c r="BX205" s="723"/>
      <c r="BY205" s="723"/>
      <c r="BZ205" s="723"/>
      <c r="CA205" s="723"/>
      <c r="CB205" s="723"/>
      <c r="CC205" s="723"/>
      <c r="CE205" s="723"/>
    </row>
    <row r="206" spans="2:83" hidden="1" x14ac:dyDescent="0.2">
      <c r="B206" s="722">
        <v>66</v>
      </c>
      <c r="D206" s="722" t="s">
        <v>337</v>
      </c>
      <c r="E206" s="722" t="s">
        <v>337</v>
      </c>
      <c r="F206" s="722" t="s">
        <v>338</v>
      </c>
      <c r="L206" s="726">
        <f>'[18]Fully Fitted Pricelist'!$L$141</f>
        <v>1000000</v>
      </c>
      <c r="W206" s="726">
        <f t="shared" si="103"/>
        <v>1000000</v>
      </c>
      <c r="X206" s="726">
        <f t="shared" si="92"/>
        <v>65000</v>
      </c>
      <c r="Y206" s="726">
        <f t="shared" si="93"/>
        <v>35000</v>
      </c>
      <c r="Z206" s="726">
        <f t="shared" si="94"/>
        <v>120000</v>
      </c>
      <c r="AA206" s="726">
        <f t="shared" si="100"/>
        <v>1220000</v>
      </c>
      <c r="AB206" s="726"/>
      <c r="AD206" s="726">
        <f t="shared" si="95"/>
        <v>305000</v>
      </c>
      <c r="AE206" s="723">
        <f>AE199</f>
        <v>30000</v>
      </c>
      <c r="AF206" s="726">
        <f t="shared" si="96"/>
        <v>7051.2820512820517</v>
      </c>
      <c r="AG206" s="725">
        <v>39</v>
      </c>
      <c r="AH206" s="726">
        <f>'[18]Fully Fitted Pricelist'!AA206-'[18]Fully Fitted Pricelist'!AD206</f>
        <v>915000</v>
      </c>
      <c r="AI206" s="723">
        <f>SUM(AL206:ES206)</f>
        <v>0</v>
      </c>
      <c r="AJ206" s="726">
        <f t="shared" si="97"/>
        <v>1220000</v>
      </c>
      <c r="AK206" s="721"/>
      <c r="AO206" s="723"/>
      <c r="AP206" s="723"/>
      <c r="AQ206" s="723"/>
      <c r="AS206" s="723"/>
      <c r="AT206" s="723"/>
      <c r="AU206" s="723"/>
      <c r="AV206" s="723"/>
      <c r="AW206" s="723"/>
      <c r="AX206" s="723"/>
      <c r="AY206" s="723"/>
      <c r="AZ206" s="723"/>
      <c r="BA206" s="723"/>
      <c r="BB206" s="723"/>
      <c r="BC206" s="723"/>
      <c r="BD206" s="723"/>
      <c r="BE206" s="723"/>
      <c r="BF206" s="723"/>
      <c r="BG206" s="723"/>
      <c r="BH206" s="723"/>
      <c r="BI206" s="723"/>
      <c r="BJ206" s="723"/>
      <c r="BK206" s="723"/>
      <c r="BL206" s="723"/>
      <c r="BM206" s="723"/>
      <c r="BN206" s="723"/>
      <c r="BO206" s="723"/>
      <c r="BP206" s="723"/>
      <c r="BQ206" s="723"/>
      <c r="BR206" s="723"/>
      <c r="BS206" s="723"/>
      <c r="BT206" s="723"/>
      <c r="BU206" s="723"/>
      <c r="BV206" s="723"/>
      <c r="BW206" s="723"/>
      <c r="BX206" s="723"/>
      <c r="BY206" s="723"/>
      <c r="BZ206" s="723"/>
      <c r="CA206" s="723"/>
      <c r="CB206" s="723"/>
      <c r="CC206" s="723"/>
      <c r="CE206" s="723"/>
    </row>
    <row r="207" spans="2:83" hidden="1" x14ac:dyDescent="0.2">
      <c r="B207" s="722">
        <v>67</v>
      </c>
      <c r="D207" s="722" t="str">
        <f t="shared" ref="D207:D213" si="104">$D$206</f>
        <v>B3</v>
      </c>
      <c r="E207" s="722" t="str">
        <f t="shared" ref="E207:E216" si="105">$E$206</f>
        <v>B3</v>
      </c>
      <c r="F207" s="722" t="s">
        <v>339</v>
      </c>
      <c r="L207" s="726">
        <f>'[18]Fully Fitted Pricelist'!$L$141</f>
        <v>1000000</v>
      </c>
      <c r="W207" s="726">
        <f t="shared" si="103"/>
        <v>1000000</v>
      </c>
      <c r="X207" s="726">
        <f t="shared" si="92"/>
        <v>65000</v>
      </c>
      <c r="Y207" s="726">
        <f t="shared" si="93"/>
        <v>35000</v>
      </c>
      <c r="Z207" s="726">
        <f t="shared" si="94"/>
        <v>120000</v>
      </c>
      <c r="AA207" s="726">
        <f t="shared" si="100"/>
        <v>1220000</v>
      </c>
      <c r="AB207" s="726"/>
      <c r="AD207" s="726">
        <f t="shared" si="95"/>
        <v>305000</v>
      </c>
      <c r="AE207" s="723">
        <f t="shared" si="98"/>
        <v>30000</v>
      </c>
      <c r="AF207" s="726">
        <f t="shared" si="96"/>
        <v>7236.8421052631575</v>
      </c>
      <c r="AG207" s="725">
        <v>38</v>
      </c>
      <c r="AH207" s="726">
        <f>'[18]Fully Fitted Pricelist'!AA207-'[18]Fully Fitted Pricelist'!AD207</f>
        <v>915000</v>
      </c>
      <c r="AI207" s="723">
        <f>SUM(AL207:ES207)</f>
        <v>0</v>
      </c>
      <c r="AJ207" s="726">
        <f t="shared" si="97"/>
        <v>1220000</v>
      </c>
      <c r="AK207" s="721"/>
      <c r="AO207" s="723"/>
      <c r="AP207" s="723"/>
      <c r="AQ207" s="723"/>
      <c r="AR207" s="723"/>
      <c r="AS207" s="723"/>
      <c r="AT207" s="723"/>
      <c r="AU207" s="723"/>
      <c r="AV207" s="723"/>
      <c r="AW207" s="723"/>
      <c r="AX207" s="723"/>
      <c r="AY207" s="723"/>
      <c r="AZ207" s="723"/>
      <c r="BA207" s="723"/>
      <c r="BB207" s="723"/>
      <c r="BC207" s="723"/>
      <c r="BD207" s="723"/>
      <c r="BE207" s="723"/>
      <c r="BF207" s="723"/>
      <c r="BG207" s="723"/>
      <c r="BH207" s="723"/>
      <c r="BI207" s="723"/>
      <c r="BJ207" s="723"/>
      <c r="BK207" s="723"/>
      <c r="BL207" s="723"/>
      <c r="BM207" s="723"/>
      <c r="BN207" s="723"/>
      <c r="BO207" s="723"/>
      <c r="BP207" s="723"/>
      <c r="BQ207" s="723"/>
      <c r="BR207" s="723"/>
      <c r="BS207" s="723"/>
      <c r="BT207" s="723"/>
      <c r="BU207" s="723"/>
      <c r="BV207" s="723"/>
      <c r="BW207" s="723"/>
      <c r="BX207" s="723"/>
      <c r="BY207" s="723"/>
      <c r="BZ207" s="723"/>
      <c r="CA207" s="723"/>
      <c r="CB207" s="723"/>
      <c r="CC207" s="723"/>
      <c r="CE207" s="723"/>
    </row>
    <row r="208" spans="2:83" hidden="1" x14ac:dyDescent="0.2">
      <c r="B208" s="722">
        <v>68</v>
      </c>
      <c r="D208" s="722" t="str">
        <f t="shared" si="104"/>
        <v>B3</v>
      </c>
      <c r="E208" s="722" t="str">
        <f t="shared" si="105"/>
        <v>B3</v>
      </c>
      <c r="F208" s="722" t="s">
        <v>340</v>
      </c>
      <c r="L208" s="726">
        <f>'[18]Fully Fitted Pricelist'!$L$141</f>
        <v>1000000</v>
      </c>
      <c r="W208" s="726">
        <f t="shared" si="103"/>
        <v>1000000</v>
      </c>
      <c r="X208" s="726">
        <f t="shared" si="92"/>
        <v>65000</v>
      </c>
      <c r="Y208" s="726">
        <f t="shared" si="93"/>
        <v>35000</v>
      </c>
      <c r="Z208" s="726">
        <f t="shared" si="94"/>
        <v>120000</v>
      </c>
      <c r="AA208" s="726">
        <f t="shared" si="100"/>
        <v>1220000</v>
      </c>
      <c r="AB208" s="726"/>
      <c r="AD208" s="726">
        <f t="shared" si="95"/>
        <v>305000</v>
      </c>
      <c r="AE208" s="723">
        <f t="shared" si="98"/>
        <v>30000</v>
      </c>
      <c r="AF208" s="726">
        <f t="shared" si="96"/>
        <v>7236.8421052631575</v>
      </c>
      <c r="AG208" s="725">
        <v>38</v>
      </c>
      <c r="AH208" s="726">
        <f>'[18]Fully Fitted Pricelist'!AA208-'[18]Fully Fitted Pricelist'!AD208</f>
        <v>915000</v>
      </c>
      <c r="AI208" s="723">
        <f t="shared" si="99"/>
        <v>0</v>
      </c>
      <c r="AJ208" s="726">
        <f t="shared" si="97"/>
        <v>1220000</v>
      </c>
      <c r="AN208" s="721"/>
      <c r="AS208" s="723"/>
    </row>
    <row r="209" spans="2:45" hidden="1" x14ac:dyDescent="0.2">
      <c r="B209" s="722">
        <v>69</v>
      </c>
      <c r="D209" s="722" t="str">
        <f t="shared" si="104"/>
        <v>B3</v>
      </c>
      <c r="E209" s="722" t="str">
        <f t="shared" si="105"/>
        <v>B3</v>
      </c>
      <c r="F209" s="722" t="s">
        <v>341</v>
      </c>
      <c r="L209" s="726">
        <f>'[18]Fully Fitted Pricelist'!$L$141</f>
        <v>1000000</v>
      </c>
      <c r="W209" s="726">
        <f t="shared" si="103"/>
        <v>1000000</v>
      </c>
      <c r="X209" s="726">
        <f t="shared" si="92"/>
        <v>65000</v>
      </c>
      <c r="Y209" s="726">
        <f t="shared" si="93"/>
        <v>35000</v>
      </c>
      <c r="Z209" s="726">
        <f t="shared" si="94"/>
        <v>120000</v>
      </c>
      <c r="AA209" s="726">
        <f t="shared" si="100"/>
        <v>1220000</v>
      </c>
      <c r="AB209" s="726"/>
      <c r="AD209" s="726">
        <f t="shared" si="95"/>
        <v>305000</v>
      </c>
      <c r="AE209" s="723">
        <f t="shared" si="98"/>
        <v>30000</v>
      </c>
      <c r="AF209" s="726">
        <f t="shared" si="96"/>
        <v>7236.8421052631575</v>
      </c>
      <c r="AG209" s="725">
        <v>38</v>
      </c>
      <c r="AH209" s="726">
        <f>'[18]Fully Fitted Pricelist'!AA209-'[18]Fully Fitted Pricelist'!AD209</f>
        <v>915000</v>
      </c>
      <c r="AI209" s="723">
        <f t="shared" si="99"/>
        <v>0</v>
      </c>
      <c r="AJ209" s="726">
        <f t="shared" si="97"/>
        <v>1220000</v>
      </c>
      <c r="AN209" s="721"/>
      <c r="AS209" s="723"/>
    </row>
    <row r="210" spans="2:45" hidden="1" x14ac:dyDescent="0.2">
      <c r="B210" s="722">
        <v>70</v>
      </c>
      <c r="D210" s="722" t="str">
        <f t="shared" si="104"/>
        <v>B3</v>
      </c>
      <c r="E210" s="722" t="str">
        <f t="shared" si="105"/>
        <v>B3</v>
      </c>
      <c r="F210" s="722" t="s">
        <v>342</v>
      </c>
      <c r="L210" s="726">
        <f>'[18]Fully Fitted Pricelist'!$L$141</f>
        <v>1000000</v>
      </c>
      <c r="W210" s="726">
        <f t="shared" si="103"/>
        <v>1000000</v>
      </c>
      <c r="X210" s="726">
        <f t="shared" si="92"/>
        <v>65000</v>
      </c>
      <c r="Y210" s="726">
        <f t="shared" si="93"/>
        <v>35000</v>
      </c>
      <c r="Z210" s="726">
        <f t="shared" si="94"/>
        <v>120000</v>
      </c>
      <c r="AA210" s="726">
        <f t="shared" si="100"/>
        <v>1220000</v>
      </c>
      <c r="AB210" s="726"/>
      <c r="AD210" s="726">
        <f t="shared" si="95"/>
        <v>305000</v>
      </c>
      <c r="AE210" s="723">
        <f t="shared" si="98"/>
        <v>30000</v>
      </c>
      <c r="AF210" s="726">
        <f t="shared" si="96"/>
        <v>7236.8421052631575</v>
      </c>
      <c r="AG210" s="725">
        <v>38</v>
      </c>
      <c r="AH210" s="726">
        <f>'[18]Fully Fitted Pricelist'!AA210-'[18]Fully Fitted Pricelist'!AD210</f>
        <v>915000</v>
      </c>
      <c r="AI210" s="723">
        <f t="shared" si="99"/>
        <v>0</v>
      </c>
      <c r="AJ210" s="726">
        <f t="shared" si="97"/>
        <v>1220000</v>
      </c>
      <c r="AN210" s="721"/>
      <c r="AO210" s="721"/>
      <c r="AS210" s="723"/>
    </row>
    <row r="211" spans="2:45" hidden="1" x14ac:dyDescent="0.2">
      <c r="B211" s="722">
        <v>71</v>
      </c>
      <c r="D211" s="722" t="str">
        <f t="shared" si="104"/>
        <v>B3</v>
      </c>
      <c r="E211" s="722" t="str">
        <f t="shared" si="105"/>
        <v>B3</v>
      </c>
      <c r="F211" s="722" t="s">
        <v>343</v>
      </c>
      <c r="L211" s="726">
        <f>'[18]Fully Fitted Pricelist'!$L$141</f>
        <v>1000000</v>
      </c>
      <c r="W211" s="726">
        <f t="shared" si="103"/>
        <v>1000000</v>
      </c>
      <c r="X211" s="726">
        <f t="shared" si="92"/>
        <v>65000</v>
      </c>
      <c r="Y211" s="726">
        <f t="shared" si="93"/>
        <v>35000</v>
      </c>
      <c r="Z211" s="726">
        <f t="shared" si="94"/>
        <v>120000</v>
      </c>
      <c r="AA211" s="726">
        <f t="shared" si="100"/>
        <v>1220000</v>
      </c>
      <c r="AB211" s="726"/>
      <c r="AD211" s="726">
        <f t="shared" si="95"/>
        <v>305000</v>
      </c>
      <c r="AE211" s="723">
        <f t="shared" si="98"/>
        <v>30000</v>
      </c>
      <c r="AF211" s="726">
        <f t="shared" si="96"/>
        <v>7236.8421052631575</v>
      </c>
      <c r="AG211" s="725">
        <v>38</v>
      </c>
      <c r="AH211" s="726">
        <f>'[18]Fully Fitted Pricelist'!AA211-'[18]Fully Fitted Pricelist'!AD211</f>
        <v>915000</v>
      </c>
      <c r="AI211" s="723">
        <f t="shared" si="99"/>
        <v>0</v>
      </c>
      <c r="AJ211" s="726">
        <f t="shared" si="97"/>
        <v>1220000</v>
      </c>
      <c r="AN211" s="721"/>
      <c r="AO211" s="721"/>
      <c r="AS211" s="723"/>
    </row>
    <row r="212" spans="2:45" hidden="1" x14ac:dyDescent="0.2">
      <c r="B212" s="722">
        <v>72</v>
      </c>
      <c r="D212" s="722" t="str">
        <f t="shared" si="104"/>
        <v>B3</v>
      </c>
      <c r="E212" s="722" t="str">
        <f t="shared" si="105"/>
        <v>B3</v>
      </c>
      <c r="F212" s="722" t="s">
        <v>344</v>
      </c>
      <c r="L212" s="726">
        <f>'[18]Fully Fitted Pricelist'!$L$141</f>
        <v>1000000</v>
      </c>
      <c r="W212" s="726">
        <f t="shared" si="103"/>
        <v>1000000</v>
      </c>
      <c r="X212" s="726">
        <f t="shared" si="92"/>
        <v>65000</v>
      </c>
      <c r="Y212" s="726">
        <f t="shared" si="93"/>
        <v>35000</v>
      </c>
      <c r="Z212" s="726">
        <f t="shared" si="94"/>
        <v>120000</v>
      </c>
      <c r="AA212" s="726">
        <f t="shared" si="100"/>
        <v>1220000</v>
      </c>
      <c r="AB212" s="726"/>
      <c r="AD212" s="726">
        <f t="shared" si="95"/>
        <v>305000</v>
      </c>
      <c r="AE212" s="723">
        <f t="shared" si="98"/>
        <v>30000</v>
      </c>
      <c r="AF212" s="726">
        <f t="shared" si="96"/>
        <v>7236.8421052631575</v>
      </c>
      <c r="AG212" s="725">
        <v>38</v>
      </c>
      <c r="AH212" s="726">
        <f>'[18]Fully Fitted Pricelist'!AA212-'[18]Fully Fitted Pricelist'!AD212</f>
        <v>915000</v>
      </c>
      <c r="AI212" s="723">
        <f t="shared" si="99"/>
        <v>0</v>
      </c>
      <c r="AJ212" s="726">
        <f t="shared" si="97"/>
        <v>1220000</v>
      </c>
      <c r="AN212" s="721"/>
      <c r="AS212" s="723"/>
    </row>
    <row r="213" spans="2:45" hidden="1" x14ac:dyDescent="0.2">
      <c r="B213" s="722">
        <v>73</v>
      </c>
      <c r="D213" s="722" t="str">
        <f t="shared" si="104"/>
        <v>B3</v>
      </c>
      <c r="E213" s="722" t="str">
        <f t="shared" si="105"/>
        <v>B3</v>
      </c>
      <c r="F213" s="722" t="s">
        <v>345</v>
      </c>
      <c r="L213" s="726">
        <f>'[18]Fully Fitted Pricelist'!$L$141</f>
        <v>1000000</v>
      </c>
      <c r="W213" s="726">
        <f t="shared" si="103"/>
        <v>1000000</v>
      </c>
      <c r="X213" s="726">
        <f t="shared" si="92"/>
        <v>65000</v>
      </c>
      <c r="Y213" s="726">
        <f t="shared" si="93"/>
        <v>35000</v>
      </c>
      <c r="Z213" s="726">
        <f t="shared" si="94"/>
        <v>120000</v>
      </c>
      <c r="AA213" s="726">
        <f t="shared" si="100"/>
        <v>1220000</v>
      </c>
      <c r="AB213" s="726"/>
      <c r="AD213" s="726">
        <f t="shared" si="95"/>
        <v>305000</v>
      </c>
      <c r="AE213" s="723">
        <f t="shared" si="98"/>
        <v>30000</v>
      </c>
      <c r="AF213" s="726">
        <f t="shared" si="96"/>
        <v>7236.8421052631575</v>
      </c>
      <c r="AG213" s="725">
        <v>38</v>
      </c>
      <c r="AH213" s="726">
        <f>'[18]Fully Fitted Pricelist'!AA213-'[18]Fully Fitted Pricelist'!AD213</f>
        <v>915000</v>
      </c>
      <c r="AI213" s="723">
        <f t="shared" si="99"/>
        <v>0</v>
      </c>
      <c r="AJ213" s="726">
        <f t="shared" si="97"/>
        <v>1220000</v>
      </c>
      <c r="AN213" s="721"/>
      <c r="AS213" s="723"/>
    </row>
    <row r="214" spans="2:45" hidden="1" x14ac:dyDescent="0.2">
      <c r="B214" s="722">
        <v>74</v>
      </c>
      <c r="D214" s="722" t="s">
        <v>337</v>
      </c>
      <c r="E214" s="722" t="str">
        <f t="shared" si="105"/>
        <v>B3</v>
      </c>
      <c r="F214" s="722" t="s">
        <v>346</v>
      </c>
      <c r="L214" s="726">
        <f>'[18]Fully Fitted Pricelist'!$L$141</f>
        <v>1000000</v>
      </c>
      <c r="W214" s="726">
        <f t="shared" si="103"/>
        <v>1000000</v>
      </c>
      <c r="X214" s="726">
        <f t="shared" si="92"/>
        <v>65000</v>
      </c>
      <c r="Y214" s="726">
        <f t="shared" si="93"/>
        <v>35000</v>
      </c>
      <c r="Z214" s="726">
        <f t="shared" si="94"/>
        <v>120000</v>
      </c>
      <c r="AA214" s="726">
        <f t="shared" si="100"/>
        <v>1220000</v>
      </c>
      <c r="AB214" s="726"/>
      <c r="AD214" s="726">
        <f t="shared" si="95"/>
        <v>305000</v>
      </c>
      <c r="AE214" s="723">
        <f t="shared" si="98"/>
        <v>30000</v>
      </c>
      <c r="AF214" s="726">
        <f t="shared" si="96"/>
        <v>7236.8421052631575</v>
      </c>
      <c r="AG214" s="725">
        <v>38</v>
      </c>
      <c r="AH214" s="726">
        <f>'[18]Fully Fitted Pricelist'!AA214-'[18]Fully Fitted Pricelist'!AD214</f>
        <v>915000</v>
      </c>
      <c r="AI214" s="723">
        <f t="shared" si="99"/>
        <v>0</v>
      </c>
      <c r="AJ214" s="726">
        <f t="shared" si="97"/>
        <v>1220000</v>
      </c>
      <c r="AO214" s="721"/>
      <c r="AS214" s="723"/>
    </row>
    <row r="215" spans="2:45" hidden="1" x14ac:dyDescent="0.2">
      <c r="B215" s="722">
        <v>75</v>
      </c>
      <c r="D215" s="722" t="s">
        <v>337</v>
      </c>
      <c r="E215" s="722" t="str">
        <f t="shared" si="105"/>
        <v>B3</v>
      </c>
      <c r="F215" s="722" t="s">
        <v>347</v>
      </c>
      <c r="L215" s="726">
        <f>'[18]Fully Fitted Pricelist'!$L$141</f>
        <v>1000000</v>
      </c>
      <c r="W215" s="726">
        <f t="shared" si="103"/>
        <v>1000000</v>
      </c>
      <c r="X215" s="726">
        <f t="shared" si="92"/>
        <v>65000</v>
      </c>
      <c r="Y215" s="726">
        <f t="shared" si="93"/>
        <v>35000</v>
      </c>
      <c r="Z215" s="726">
        <f t="shared" si="94"/>
        <v>120000</v>
      </c>
      <c r="AA215" s="726">
        <f t="shared" si="100"/>
        <v>1220000</v>
      </c>
      <c r="AB215" s="726"/>
      <c r="AD215" s="726">
        <f t="shared" si="95"/>
        <v>305000</v>
      </c>
      <c r="AE215" s="723">
        <f t="shared" si="98"/>
        <v>30000</v>
      </c>
      <c r="AF215" s="726">
        <f t="shared" si="96"/>
        <v>7236.8421052631575</v>
      </c>
      <c r="AG215" s="725">
        <v>38</v>
      </c>
      <c r="AH215" s="726">
        <f>'[18]Fully Fitted Pricelist'!AA215-'[18]Fully Fitted Pricelist'!AD215</f>
        <v>915000</v>
      </c>
      <c r="AI215" s="723">
        <f t="shared" si="99"/>
        <v>0</v>
      </c>
      <c r="AJ215" s="726">
        <f t="shared" si="97"/>
        <v>1220000</v>
      </c>
      <c r="AO215" s="721"/>
      <c r="AS215" s="723"/>
    </row>
    <row r="216" spans="2:45" hidden="1" x14ac:dyDescent="0.2">
      <c r="B216" s="722">
        <v>76</v>
      </c>
      <c r="D216" s="722" t="s">
        <v>337</v>
      </c>
      <c r="E216" s="722" t="str">
        <f t="shared" si="105"/>
        <v>B3</v>
      </c>
      <c r="F216" s="722" t="s">
        <v>348</v>
      </c>
      <c r="L216" s="726">
        <f>'[18]Fully Fitted Pricelist'!$L$141</f>
        <v>1000000</v>
      </c>
      <c r="W216" s="726">
        <f t="shared" si="103"/>
        <v>1000000</v>
      </c>
      <c r="X216" s="726">
        <f t="shared" si="92"/>
        <v>65000</v>
      </c>
      <c r="Y216" s="726">
        <f t="shared" si="93"/>
        <v>35000</v>
      </c>
      <c r="Z216" s="726">
        <f t="shared" si="94"/>
        <v>120000</v>
      </c>
      <c r="AA216" s="726">
        <f t="shared" si="100"/>
        <v>1220000</v>
      </c>
      <c r="AB216" s="726"/>
      <c r="AD216" s="726">
        <f t="shared" si="95"/>
        <v>305000</v>
      </c>
      <c r="AE216" s="723">
        <f t="shared" si="98"/>
        <v>30000</v>
      </c>
      <c r="AF216" s="726">
        <f t="shared" si="96"/>
        <v>7236.8421052631575</v>
      </c>
      <c r="AG216" s="725">
        <v>38</v>
      </c>
      <c r="AH216" s="726">
        <f>'[18]Fully Fitted Pricelist'!AA216-'[18]Fully Fitted Pricelist'!AD216</f>
        <v>915000</v>
      </c>
      <c r="AI216" s="723">
        <f t="shared" si="99"/>
        <v>0</v>
      </c>
      <c r="AJ216" s="726">
        <f t="shared" si="97"/>
        <v>1220000</v>
      </c>
      <c r="AO216" s="721"/>
      <c r="AS216" s="723"/>
    </row>
    <row r="217" spans="2:45" hidden="1" x14ac:dyDescent="0.2">
      <c r="B217" s="722">
        <v>77</v>
      </c>
      <c r="D217" s="722" t="s">
        <v>337</v>
      </c>
      <c r="E217" s="722" t="s">
        <v>337</v>
      </c>
      <c r="F217" s="722" t="s">
        <v>349</v>
      </c>
      <c r="L217" s="726">
        <f>'[18]Fully Fitted Pricelist'!$L$141</f>
        <v>1000000</v>
      </c>
      <c r="W217" s="726">
        <f t="shared" si="103"/>
        <v>1000000</v>
      </c>
      <c r="X217" s="726">
        <f t="shared" si="92"/>
        <v>65000</v>
      </c>
      <c r="Y217" s="726">
        <f t="shared" si="93"/>
        <v>35000</v>
      </c>
      <c r="Z217" s="726">
        <f t="shared" si="94"/>
        <v>120000</v>
      </c>
      <c r="AA217" s="726">
        <f t="shared" si="100"/>
        <v>1220000</v>
      </c>
      <c r="AB217" s="726"/>
      <c r="AD217" s="726">
        <f t="shared" si="95"/>
        <v>305000</v>
      </c>
      <c r="AE217" s="723">
        <f t="shared" si="98"/>
        <v>30000</v>
      </c>
      <c r="AF217" s="726">
        <f t="shared" si="96"/>
        <v>7236.8421052631575</v>
      </c>
      <c r="AG217" s="725">
        <v>38</v>
      </c>
      <c r="AH217" s="726">
        <f>'[18]Fully Fitted Pricelist'!AA217-'[18]Fully Fitted Pricelist'!AD217</f>
        <v>915000</v>
      </c>
      <c r="AI217" s="723">
        <f t="shared" si="99"/>
        <v>0</v>
      </c>
      <c r="AJ217" s="726">
        <f t="shared" si="97"/>
        <v>1220000</v>
      </c>
      <c r="AO217" s="721"/>
      <c r="AS217" s="723"/>
    </row>
    <row r="218" spans="2:45" hidden="1" x14ac:dyDescent="0.2">
      <c r="B218" s="722">
        <v>78</v>
      </c>
      <c r="D218" s="722" t="s">
        <v>337</v>
      </c>
      <c r="E218" s="722" t="s">
        <v>337</v>
      </c>
      <c r="F218" s="722" t="s">
        <v>350</v>
      </c>
      <c r="L218" s="726">
        <f>'[18]Fully Fitted Pricelist'!$L$141</f>
        <v>1000000</v>
      </c>
      <c r="W218" s="726">
        <f t="shared" si="103"/>
        <v>1000000</v>
      </c>
      <c r="X218" s="726">
        <f t="shared" si="92"/>
        <v>65000</v>
      </c>
      <c r="Y218" s="726">
        <f t="shared" si="93"/>
        <v>35000</v>
      </c>
      <c r="Z218" s="726">
        <f t="shared" si="94"/>
        <v>120000</v>
      </c>
      <c r="AA218" s="726">
        <f t="shared" si="100"/>
        <v>1220000</v>
      </c>
      <c r="AB218" s="726"/>
      <c r="AD218" s="726">
        <f t="shared" si="95"/>
        <v>305000</v>
      </c>
      <c r="AE218" s="723">
        <f t="shared" si="98"/>
        <v>30000</v>
      </c>
      <c r="AF218" s="726">
        <f t="shared" si="96"/>
        <v>7432.4324324324325</v>
      </c>
      <c r="AG218" s="725">
        <v>37</v>
      </c>
      <c r="AH218" s="726">
        <f>'[18]Fully Fitted Pricelist'!AA218-'[18]Fully Fitted Pricelist'!AD218</f>
        <v>915000</v>
      </c>
      <c r="AI218" s="723">
        <f t="shared" si="99"/>
        <v>0</v>
      </c>
      <c r="AJ218" s="726">
        <f t="shared" si="97"/>
        <v>1220000</v>
      </c>
      <c r="AQ218" s="721"/>
    </row>
    <row r="219" spans="2:45" hidden="1" x14ac:dyDescent="0.2">
      <c r="B219" s="722">
        <v>79</v>
      </c>
      <c r="D219" s="722" t="s">
        <v>337</v>
      </c>
      <c r="E219" s="722" t="str">
        <f t="shared" ref="E219:E225" si="106">$D$219</f>
        <v>B3</v>
      </c>
      <c r="F219" s="722" t="s">
        <v>351</v>
      </c>
      <c r="L219" s="726">
        <f>'[18]Fully Fitted Pricelist'!$L$141</f>
        <v>1000000</v>
      </c>
      <c r="W219" s="726">
        <f t="shared" si="103"/>
        <v>1000000</v>
      </c>
      <c r="X219" s="726">
        <f t="shared" si="92"/>
        <v>65000</v>
      </c>
      <c r="Y219" s="726">
        <f t="shared" si="93"/>
        <v>35000</v>
      </c>
      <c r="Z219" s="726">
        <f t="shared" si="94"/>
        <v>120000</v>
      </c>
      <c r="AA219" s="726">
        <f t="shared" si="100"/>
        <v>1220000</v>
      </c>
      <c r="AB219" s="726"/>
      <c r="AD219" s="726">
        <f t="shared" si="95"/>
        <v>305000</v>
      </c>
      <c r="AE219" s="723">
        <f t="shared" si="98"/>
        <v>30000</v>
      </c>
      <c r="AF219" s="726">
        <f t="shared" si="96"/>
        <v>7432.4324324324325</v>
      </c>
      <c r="AG219" s="725">
        <v>37</v>
      </c>
      <c r="AH219" s="726">
        <f>'[18]Fully Fitted Pricelist'!AA219-'[18]Fully Fitted Pricelist'!AD219</f>
        <v>915000</v>
      </c>
      <c r="AI219" s="723">
        <f t="shared" si="99"/>
        <v>0</v>
      </c>
      <c r="AJ219" s="726">
        <f t="shared" si="97"/>
        <v>1220000</v>
      </c>
      <c r="AQ219" s="721"/>
    </row>
    <row r="220" spans="2:45" hidden="1" x14ac:dyDescent="0.2">
      <c r="B220" s="722">
        <v>80</v>
      </c>
      <c r="D220" s="722" t="s">
        <v>337</v>
      </c>
      <c r="E220" s="722" t="str">
        <f t="shared" si="106"/>
        <v>B3</v>
      </c>
      <c r="F220" s="722" t="s">
        <v>352</v>
      </c>
      <c r="L220" s="726">
        <f>'[18]Fully Fitted Pricelist'!$L$141</f>
        <v>1000000</v>
      </c>
      <c r="W220" s="726">
        <f t="shared" si="103"/>
        <v>1000000</v>
      </c>
      <c r="X220" s="726">
        <f t="shared" si="92"/>
        <v>65000</v>
      </c>
      <c r="Y220" s="726">
        <f t="shared" si="93"/>
        <v>35000</v>
      </c>
      <c r="Z220" s="726">
        <f t="shared" si="94"/>
        <v>120000</v>
      </c>
      <c r="AA220" s="726">
        <f t="shared" si="100"/>
        <v>1220000</v>
      </c>
      <c r="AB220" s="726"/>
      <c r="AD220" s="726">
        <f t="shared" si="95"/>
        <v>305000</v>
      </c>
      <c r="AE220" s="723">
        <f t="shared" ref="AE220:AE246" si="107">AE219</f>
        <v>30000</v>
      </c>
      <c r="AF220" s="726">
        <f t="shared" si="96"/>
        <v>7432.4324324324325</v>
      </c>
      <c r="AG220" s="725">
        <v>37</v>
      </c>
      <c r="AH220" s="726">
        <f>'[18]Fully Fitted Pricelist'!AA220-'[18]Fully Fitted Pricelist'!AD220</f>
        <v>915000</v>
      </c>
      <c r="AI220" s="723">
        <f t="shared" si="99"/>
        <v>0</v>
      </c>
      <c r="AJ220" s="726">
        <f t="shared" si="97"/>
        <v>1220000</v>
      </c>
      <c r="AQ220" s="721"/>
    </row>
    <row r="221" spans="2:45" hidden="1" x14ac:dyDescent="0.2">
      <c r="B221" s="722">
        <v>81</v>
      </c>
      <c r="D221" s="722" t="s">
        <v>337</v>
      </c>
      <c r="E221" s="722" t="str">
        <f t="shared" si="106"/>
        <v>B3</v>
      </c>
      <c r="F221" s="722" t="s">
        <v>353</v>
      </c>
      <c r="L221" s="726">
        <f>'[18]Fully Fitted Pricelist'!$L$141</f>
        <v>1000000</v>
      </c>
      <c r="W221" s="726">
        <f t="shared" si="103"/>
        <v>1000000</v>
      </c>
      <c r="X221" s="726">
        <f t="shared" si="92"/>
        <v>65000</v>
      </c>
      <c r="Y221" s="726">
        <f t="shared" si="93"/>
        <v>35000</v>
      </c>
      <c r="Z221" s="726">
        <f t="shared" si="94"/>
        <v>120000</v>
      </c>
      <c r="AA221" s="726">
        <f t="shared" si="100"/>
        <v>1220000</v>
      </c>
      <c r="AB221" s="726"/>
      <c r="AD221" s="726">
        <f t="shared" si="95"/>
        <v>305000</v>
      </c>
      <c r="AE221" s="723">
        <f t="shared" si="107"/>
        <v>30000</v>
      </c>
      <c r="AF221" s="726">
        <f t="shared" si="96"/>
        <v>7432.4324324324325</v>
      </c>
      <c r="AG221" s="725">
        <v>37</v>
      </c>
      <c r="AH221" s="726">
        <f>'[18]Fully Fitted Pricelist'!AA221-'[18]Fully Fitted Pricelist'!AD221</f>
        <v>915000</v>
      </c>
      <c r="AI221" s="723">
        <f t="shared" si="99"/>
        <v>0</v>
      </c>
      <c r="AJ221" s="726">
        <f t="shared" si="97"/>
        <v>1220000</v>
      </c>
      <c r="AQ221" s="721"/>
    </row>
    <row r="222" spans="2:45" hidden="1" x14ac:dyDescent="0.2">
      <c r="B222" s="722">
        <v>82</v>
      </c>
      <c r="D222" s="722" t="s">
        <v>337</v>
      </c>
      <c r="E222" s="722" t="str">
        <f t="shared" si="106"/>
        <v>B3</v>
      </c>
      <c r="F222" s="722" t="s">
        <v>354</v>
      </c>
      <c r="L222" s="726">
        <f>'[18]Fully Fitted Pricelist'!$L$141</f>
        <v>1000000</v>
      </c>
      <c r="W222" s="726">
        <f t="shared" si="103"/>
        <v>1000000</v>
      </c>
      <c r="X222" s="726">
        <f t="shared" si="92"/>
        <v>65000</v>
      </c>
      <c r="Y222" s="726">
        <f t="shared" si="93"/>
        <v>35000</v>
      </c>
      <c r="Z222" s="726">
        <f t="shared" si="94"/>
        <v>120000</v>
      </c>
      <c r="AA222" s="726">
        <f t="shared" si="100"/>
        <v>1220000</v>
      </c>
      <c r="AB222" s="726"/>
      <c r="AD222" s="726">
        <f t="shared" si="95"/>
        <v>305000</v>
      </c>
      <c r="AE222" s="723">
        <f t="shared" si="107"/>
        <v>30000</v>
      </c>
      <c r="AF222" s="726">
        <f t="shared" si="96"/>
        <v>7432.4324324324325</v>
      </c>
      <c r="AG222" s="725">
        <v>37</v>
      </c>
      <c r="AH222" s="726">
        <f>'[18]Fully Fitted Pricelist'!AA222-'[18]Fully Fitted Pricelist'!AD222</f>
        <v>915000</v>
      </c>
      <c r="AI222" s="723">
        <f t="shared" si="99"/>
        <v>0</v>
      </c>
      <c r="AJ222" s="726">
        <f t="shared" si="97"/>
        <v>1220000</v>
      </c>
      <c r="AQ222" s="721"/>
    </row>
    <row r="223" spans="2:45" hidden="1" x14ac:dyDescent="0.2">
      <c r="B223" s="722">
        <v>83</v>
      </c>
      <c r="D223" s="722" t="s">
        <v>337</v>
      </c>
      <c r="E223" s="722" t="str">
        <f t="shared" si="106"/>
        <v>B3</v>
      </c>
      <c r="F223" s="722" t="s">
        <v>355</v>
      </c>
      <c r="L223" s="726">
        <f>'[18]Fully Fitted Pricelist'!$L$141</f>
        <v>1000000</v>
      </c>
      <c r="W223" s="726">
        <f t="shared" si="103"/>
        <v>1000000</v>
      </c>
      <c r="X223" s="726">
        <f t="shared" si="92"/>
        <v>65000</v>
      </c>
      <c r="Y223" s="726">
        <f t="shared" si="93"/>
        <v>35000</v>
      </c>
      <c r="Z223" s="726">
        <f t="shared" si="94"/>
        <v>120000</v>
      </c>
      <c r="AA223" s="726">
        <f t="shared" si="100"/>
        <v>1220000</v>
      </c>
      <c r="AB223" s="726"/>
      <c r="AD223" s="726">
        <f t="shared" si="95"/>
        <v>305000</v>
      </c>
      <c r="AE223" s="723">
        <f t="shared" si="107"/>
        <v>30000</v>
      </c>
      <c r="AF223" s="726">
        <f t="shared" si="96"/>
        <v>7432.4324324324325</v>
      </c>
      <c r="AG223" s="725">
        <v>37</v>
      </c>
      <c r="AH223" s="726">
        <f>'[18]Fully Fitted Pricelist'!AA223-'[18]Fully Fitted Pricelist'!AD223</f>
        <v>915000</v>
      </c>
      <c r="AI223" s="723">
        <f t="shared" si="99"/>
        <v>0</v>
      </c>
      <c r="AJ223" s="726">
        <f t="shared" si="97"/>
        <v>1220000</v>
      </c>
      <c r="AQ223" s="721"/>
    </row>
    <row r="224" spans="2:45" hidden="1" x14ac:dyDescent="0.2">
      <c r="B224" s="722">
        <v>84</v>
      </c>
      <c r="D224" s="722" t="s">
        <v>337</v>
      </c>
      <c r="E224" s="722" t="str">
        <f t="shared" si="106"/>
        <v>B3</v>
      </c>
      <c r="F224" s="722" t="s">
        <v>356</v>
      </c>
      <c r="L224" s="726">
        <f>'[18]Fully Fitted Pricelist'!$L$141</f>
        <v>1000000</v>
      </c>
      <c r="W224" s="726">
        <f t="shared" si="103"/>
        <v>1000000</v>
      </c>
      <c r="X224" s="726">
        <f t="shared" si="92"/>
        <v>65000</v>
      </c>
      <c r="Y224" s="726">
        <f t="shared" si="93"/>
        <v>35000</v>
      </c>
      <c r="Z224" s="726">
        <f t="shared" si="94"/>
        <v>120000</v>
      </c>
      <c r="AA224" s="726">
        <f t="shared" si="100"/>
        <v>1220000</v>
      </c>
      <c r="AB224" s="726"/>
      <c r="AD224" s="726">
        <f t="shared" si="95"/>
        <v>305000</v>
      </c>
      <c r="AE224" s="723">
        <f t="shared" si="107"/>
        <v>30000</v>
      </c>
      <c r="AF224" s="726">
        <f t="shared" si="96"/>
        <v>7432.4324324324325</v>
      </c>
      <c r="AG224" s="725">
        <v>37</v>
      </c>
      <c r="AH224" s="726">
        <f>'[18]Fully Fitted Pricelist'!AA224-'[18]Fully Fitted Pricelist'!AD224</f>
        <v>915000</v>
      </c>
      <c r="AI224" s="723">
        <f t="shared" si="99"/>
        <v>0</v>
      </c>
      <c r="AJ224" s="726">
        <f t="shared" si="97"/>
        <v>1220000</v>
      </c>
      <c r="AR224" s="721"/>
    </row>
    <row r="225" spans="2:45" hidden="1" x14ac:dyDescent="0.2">
      <c r="B225" s="722">
        <v>85</v>
      </c>
      <c r="D225" s="722" t="s">
        <v>337</v>
      </c>
      <c r="E225" s="722" t="str">
        <f t="shared" si="106"/>
        <v>B3</v>
      </c>
      <c r="F225" s="722" t="s">
        <v>357</v>
      </c>
      <c r="L225" s="726">
        <f>'[18]Fully Fitted Pricelist'!$L$141</f>
        <v>1000000</v>
      </c>
      <c r="W225" s="726">
        <f t="shared" si="103"/>
        <v>1000000</v>
      </c>
      <c r="X225" s="726">
        <f t="shared" si="92"/>
        <v>65000</v>
      </c>
      <c r="Y225" s="726">
        <f t="shared" si="93"/>
        <v>35000</v>
      </c>
      <c r="Z225" s="726">
        <f t="shared" si="94"/>
        <v>120000</v>
      </c>
      <c r="AA225" s="726">
        <f t="shared" si="100"/>
        <v>1220000</v>
      </c>
      <c r="AB225" s="726"/>
      <c r="AD225" s="726">
        <f t="shared" si="95"/>
        <v>305000</v>
      </c>
      <c r="AE225" s="723">
        <f t="shared" si="107"/>
        <v>30000</v>
      </c>
      <c r="AF225" s="726">
        <f t="shared" si="96"/>
        <v>7432.4324324324325</v>
      </c>
      <c r="AG225" s="725">
        <v>37</v>
      </c>
      <c r="AH225" s="726">
        <f>'[18]Fully Fitted Pricelist'!AA225-'[18]Fully Fitted Pricelist'!AD225</f>
        <v>915000</v>
      </c>
      <c r="AI225" s="723">
        <f t="shared" si="99"/>
        <v>0</v>
      </c>
      <c r="AJ225" s="726">
        <f t="shared" si="97"/>
        <v>1220000</v>
      </c>
      <c r="AR225" s="721"/>
    </row>
    <row r="226" spans="2:45" hidden="1" x14ac:dyDescent="0.2">
      <c r="B226" s="722">
        <v>86</v>
      </c>
      <c r="D226" s="722" t="str">
        <f t="shared" ref="D226:E229" si="108">$D$225</f>
        <v>B3</v>
      </c>
      <c r="E226" s="722" t="str">
        <f t="shared" si="108"/>
        <v>B3</v>
      </c>
      <c r="F226" s="722" t="s">
        <v>358</v>
      </c>
      <c r="L226" s="726">
        <f>'[18]Fully Fitted Pricelist'!$L$141</f>
        <v>1000000</v>
      </c>
      <c r="W226" s="726">
        <f t="shared" si="103"/>
        <v>1000000</v>
      </c>
      <c r="X226" s="726">
        <f t="shared" si="92"/>
        <v>65000</v>
      </c>
      <c r="Y226" s="726">
        <f t="shared" si="93"/>
        <v>35000</v>
      </c>
      <c r="Z226" s="726">
        <f t="shared" si="94"/>
        <v>120000</v>
      </c>
      <c r="AA226" s="726">
        <f t="shared" si="100"/>
        <v>1220000</v>
      </c>
      <c r="AB226" s="726"/>
      <c r="AD226" s="726">
        <f t="shared" si="95"/>
        <v>305000</v>
      </c>
      <c r="AE226" s="723">
        <f t="shared" si="107"/>
        <v>30000</v>
      </c>
      <c r="AF226" s="726">
        <f t="shared" si="96"/>
        <v>7432.4324324324325</v>
      </c>
      <c r="AG226" s="725">
        <v>37</v>
      </c>
      <c r="AH226" s="726">
        <f>'[18]Fully Fitted Pricelist'!AA226-'[18]Fully Fitted Pricelist'!AD226</f>
        <v>915000</v>
      </c>
      <c r="AI226" s="723">
        <f t="shared" si="99"/>
        <v>0</v>
      </c>
      <c r="AJ226" s="726">
        <f t="shared" si="97"/>
        <v>1220000</v>
      </c>
      <c r="AR226" s="721"/>
    </row>
    <row r="227" spans="2:45" hidden="1" x14ac:dyDescent="0.2">
      <c r="B227" s="722">
        <v>87</v>
      </c>
      <c r="D227" s="722" t="str">
        <f t="shared" si="108"/>
        <v>B3</v>
      </c>
      <c r="E227" s="722" t="str">
        <f t="shared" si="108"/>
        <v>B3</v>
      </c>
      <c r="F227" s="722" t="s">
        <v>359</v>
      </c>
      <c r="L227" s="726">
        <f>'[18]Fully Fitted Pricelist'!$L$141</f>
        <v>1000000</v>
      </c>
      <c r="W227" s="726">
        <f t="shared" si="103"/>
        <v>1000000</v>
      </c>
      <c r="X227" s="726">
        <f t="shared" si="92"/>
        <v>65000</v>
      </c>
      <c r="Y227" s="726">
        <f t="shared" si="93"/>
        <v>35000</v>
      </c>
      <c r="Z227" s="726">
        <f t="shared" si="94"/>
        <v>120000</v>
      </c>
      <c r="AA227" s="726">
        <f t="shared" si="100"/>
        <v>1220000</v>
      </c>
      <c r="AB227" s="726"/>
      <c r="AD227" s="726">
        <f t="shared" si="95"/>
        <v>305000</v>
      </c>
      <c r="AE227" s="723">
        <f t="shared" si="107"/>
        <v>30000</v>
      </c>
      <c r="AF227" s="726">
        <f t="shared" si="96"/>
        <v>7432.4324324324325</v>
      </c>
      <c r="AG227" s="725">
        <v>37</v>
      </c>
      <c r="AH227" s="726">
        <f>'[18]Fully Fitted Pricelist'!AA227-'[18]Fully Fitted Pricelist'!AD227</f>
        <v>915000</v>
      </c>
      <c r="AI227" s="723">
        <f t="shared" si="99"/>
        <v>0</v>
      </c>
      <c r="AJ227" s="726">
        <f t="shared" si="97"/>
        <v>1220000</v>
      </c>
      <c r="AP227" s="721"/>
      <c r="AR227" s="721"/>
    </row>
    <row r="228" spans="2:45" hidden="1" x14ac:dyDescent="0.2">
      <c r="B228" s="722">
        <v>88</v>
      </c>
      <c r="D228" s="722" t="str">
        <f t="shared" si="108"/>
        <v>B3</v>
      </c>
      <c r="E228" s="722" t="str">
        <f t="shared" si="108"/>
        <v>B3</v>
      </c>
      <c r="F228" s="722" t="s">
        <v>360</v>
      </c>
      <c r="L228" s="726">
        <f>'[18]Fully Fitted Pricelist'!$L$141</f>
        <v>1000000</v>
      </c>
      <c r="W228" s="726">
        <f t="shared" si="103"/>
        <v>1000000</v>
      </c>
      <c r="X228" s="726">
        <f t="shared" si="92"/>
        <v>65000</v>
      </c>
      <c r="Y228" s="726">
        <f t="shared" si="93"/>
        <v>35000</v>
      </c>
      <c r="Z228" s="726">
        <f t="shared" si="94"/>
        <v>120000</v>
      </c>
      <c r="AA228" s="726">
        <f t="shared" si="100"/>
        <v>1220000</v>
      </c>
      <c r="AB228" s="726"/>
      <c r="AD228" s="726">
        <f t="shared" si="95"/>
        <v>305000</v>
      </c>
      <c r="AE228" s="723">
        <f t="shared" si="107"/>
        <v>30000</v>
      </c>
      <c r="AF228" s="726">
        <f t="shared" si="96"/>
        <v>7432.4324324324325</v>
      </c>
      <c r="AG228" s="725">
        <v>37</v>
      </c>
      <c r="AH228" s="726">
        <f>'[18]Fully Fitted Pricelist'!AA228-'[18]Fully Fitted Pricelist'!AD228</f>
        <v>915000</v>
      </c>
      <c r="AI228" s="723">
        <f t="shared" si="99"/>
        <v>0</v>
      </c>
      <c r="AJ228" s="726">
        <f t="shared" si="97"/>
        <v>1220000</v>
      </c>
      <c r="AP228" s="721"/>
      <c r="AR228" s="721"/>
    </row>
    <row r="229" spans="2:45" hidden="1" x14ac:dyDescent="0.2">
      <c r="B229" s="722">
        <v>89</v>
      </c>
      <c r="D229" s="722" t="str">
        <f t="shared" si="108"/>
        <v>B3</v>
      </c>
      <c r="E229" s="722" t="str">
        <f t="shared" si="108"/>
        <v>B3</v>
      </c>
      <c r="F229" s="722" t="s">
        <v>361</v>
      </c>
      <c r="L229" s="726">
        <f>'[18]Fully Fitted Pricelist'!$L$141</f>
        <v>1000000</v>
      </c>
      <c r="W229" s="726">
        <f t="shared" si="103"/>
        <v>1000000</v>
      </c>
      <c r="X229" s="726">
        <f t="shared" si="92"/>
        <v>65000</v>
      </c>
      <c r="Y229" s="726">
        <f t="shared" si="93"/>
        <v>35000</v>
      </c>
      <c r="Z229" s="726">
        <f t="shared" si="94"/>
        <v>120000</v>
      </c>
      <c r="AA229" s="726">
        <f t="shared" si="100"/>
        <v>1220000</v>
      </c>
      <c r="AB229" s="726"/>
      <c r="AD229" s="726">
        <f t="shared" si="95"/>
        <v>305000</v>
      </c>
      <c r="AE229" s="723">
        <f t="shared" si="107"/>
        <v>30000</v>
      </c>
      <c r="AF229" s="726">
        <f t="shared" si="96"/>
        <v>7638.8888888888887</v>
      </c>
      <c r="AG229" s="725">
        <v>36</v>
      </c>
      <c r="AH229" s="726">
        <f>'[18]Fully Fitted Pricelist'!AA229-'[18]Fully Fitted Pricelist'!AD229</f>
        <v>915000</v>
      </c>
      <c r="AI229" s="723">
        <f t="shared" si="99"/>
        <v>0</v>
      </c>
      <c r="AJ229" s="726">
        <f t="shared" si="97"/>
        <v>1220000</v>
      </c>
      <c r="AP229" s="721"/>
      <c r="AR229" s="721"/>
    </row>
    <row r="230" spans="2:45" hidden="1" x14ac:dyDescent="0.2">
      <c r="B230" s="722">
        <v>90</v>
      </c>
      <c r="D230" s="722" t="str">
        <f>$D$229</f>
        <v>B3</v>
      </c>
      <c r="E230" s="722" t="str">
        <f>$D$229</f>
        <v>B3</v>
      </c>
      <c r="F230" s="722" t="s">
        <v>362</v>
      </c>
      <c r="L230" s="726">
        <f>'[18]Fully Fitted Pricelist'!$L$141</f>
        <v>1000000</v>
      </c>
      <c r="W230" s="726">
        <f t="shared" si="103"/>
        <v>1000000</v>
      </c>
      <c r="X230" s="726">
        <f t="shared" si="92"/>
        <v>65000</v>
      </c>
      <c r="Y230" s="726">
        <f t="shared" si="93"/>
        <v>35000</v>
      </c>
      <c r="Z230" s="726">
        <f t="shared" si="94"/>
        <v>120000</v>
      </c>
      <c r="AA230" s="726">
        <f t="shared" si="100"/>
        <v>1220000</v>
      </c>
      <c r="AB230" s="726"/>
      <c r="AD230" s="726">
        <f t="shared" si="95"/>
        <v>305000</v>
      </c>
      <c r="AE230" s="723">
        <f t="shared" si="107"/>
        <v>30000</v>
      </c>
      <c r="AF230" s="726">
        <f t="shared" si="96"/>
        <v>7638.8888888888887</v>
      </c>
      <c r="AG230" s="725">
        <v>36</v>
      </c>
      <c r="AH230" s="726">
        <f>'[18]Fully Fitted Pricelist'!AA230-'[18]Fully Fitted Pricelist'!AD230</f>
        <v>915000</v>
      </c>
      <c r="AI230" s="723">
        <f t="shared" si="99"/>
        <v>0</v>
      </c>
      <c r="AJ230" s="726">
        <f t="shared" si="97"/>
        <v>1220000</v>
      </c>
      <c r="AP230" s="721"/>
      <c r="AQ230" s="721"/>
      <c r="AR230" s="721"/>
      <c r="AS230" s="721"/>
    </row>
    <row r="231" spans="2:45" hidden="1" x14ac:dyDescent="0.2">
      <c r="B231" s="722">
        <v>91</v>
      </c>
      <c r="D231" s="722" t="str">
        <f>$D$229</f>
        <v>B3</v>
      </c>
      <c r="E231" s="722" t="str">
        <f>$D$229</f>
        <v>B3</v>
      </c>
      <c r="F231" s="722" t="s">
        <v>363</v>
      </c>
      <c r="L231" s="726">
        <f>'[18]Fully Fitted Pricelist'!$L$141</f>
        <v>1000000</v>
      </c>
      <c r="W231" s="726">
        <f t="shared" si="103"/>
        <v>1000000</v>
      </c>
      <c r="X231" s="726">
        <f t="shared" si="92"/>
        <v>65000</v>
      </c>
      <c r="Y231" s="726">
        <f t="shared" si="93"/>
        <v>35000</v>
      </c>
      <c r="Z231" s="726">
        <f t="shared" si="94"/>
        <v>120000</v>
      </c>
      <c r="AA231" s="726">
        <f t="shared" si="100"/>
        <v>1220000</v>
      </c>
      <c r="AB231" s="726"/>
      <c r="AD231" s="726">
        <f t="shared" si="95"/>
        <v>305000</v>
      </c>
      <c r="AE231" s="723">
        <f t="shared" si="107"/>
        <v>30000</v>
      </c>
      <c r="AF231" s="726">
        <f t="shared" si="96"/>
        <v>7638.8888888888887</v>
      </c>
      <c r="AG231" s="725">
        <v>36</v>
      </c>
      <c r="AH231" s="726">
        <f>'[18]Fully Fitted Pricelist'!AA231-'[18]Fully Fitted Pricelist'!AD231</f>
        <v>915000</v>
      </c>
      <c r="AI231" s="723">
        <f t="shared" si="99"/>
        <v>0</v>
      </c>
      <c r="AJ231" s="726">
        <f t="shared" si="97"/>
        <v>1220000</v>
      </c>
      <c r="AS231" s="721"/>
    </row>
    <row r="232" spans="2:45" hidden="1" x14ac:dyDescent="0.2">
      <c r="B232" s="722">
        <v>92</v>
      </c>
      <c r="D232" s="722" t="str">
        <f t="shared" ref="D232:E237" si="109">$D$229</f>
        <v>B3</v>
      </c>
      <c r="E232" s="722" t="str">
        <f t="shared" si="109"/>
        <v>B3</v>
      </c>
      <c r="F232" s="722" t="s">
        <v>364</v>
      </c>
      <c r="L232" s="726">
        <f>'[18]Fully Fitted Pricelist'!$L$141</f>
        <v>1000000</v>
      </c>
      <c r="W232" s="726">
        <f t="shared" si="103"/>
        <v>1000000</v>
      </c>
      <c r="X232" s="726">
        <f t="shared" si="92"/>
        <v>65000</v>
      </c>
      <c r="Y232" s="726">
        <f t="shared" si="93"/>
        <v>35000</v>
      </c>
      <c r="Z232" s="726">
        <f t="shared" si="94"/>
        <v>120000</v>
      </c>
      <c r="AA232" s="726">
        <f t="shared" si="100"/>
        <v>1220000</v>
      </c>
      <c r="AB232" s="726"/>
      <c r="AD232" s="726">
        <f t="shared" si="95"/>
        <v>305000</v>
      </c>
      <c r="AE232" s="723">
        <f t="shared" si="107"/>
        <v>30000</v>
      </c>
      <c r="AF232" s="726">
        <f t="shared" si="96"/>
        <v>7638.8888888888887</v>
      </c>
      <c r="AG232" s="725">
        <v>36</v>
      </c>
      <c r="AH232" s="726">
        <f>'[18]Fully Fitted Pricelist'!AA232-'[18]Fully Fitted Pricelist'!AD232</f>
        <v>915000</v>
      </c>
      <c r="AI232" s="723">
        <f t="shared" si="99"/>
        <v>0</v>
      </c>
      <c r="AJ232" s="726">
        <f t="shared" si="97"/>
        <v>1220000</v>
      </c>
    </row>
    <row r="233" spans="2:45" hidden="1" x14ac:dyDescent="0.2">
      <c r="B233" s="722">
        <v>93</v>
      </c>
      <c r="D233" s="722" t="str">
        <f t="shared" si="109"/>
        <v>B3</v>
      </c>
      <c r="E233" s="722" t="str">
        <f t="shared" si="109"/>
        <v>B3</v>
      </c>
      <c r="F233" s="722" t="s">
        <v>365</v>
      </c>
      <c r="L233" s="726">
        <f>'[18]Fully Fitted Pricelist'!$L$141</f>
        <v>1000000</v>
      </c>
      <c r="W233" s="726">
        <f t="shared" si="103"/>
        <v>1000000</v>
      </c>
      <c r="X233" s="726">
        <f t="shared" si="92"/>
        <v>65000</v>
      </c>
      <c r="Y233" s="726">
        <f t="shared" si="93"/>
        <v>35000</v>
      </c>
      <c r="Z233" s="726">
        <f t="shared" si="94"/>
        <v>120000</v>
      </c>
      <c r="AA233" s="726">
        <f t="shared" si="100"/>
        <v>1220000</v>
      </c>
      <c r="AB233" s="726"/>
      <c r="AD233" s="726">
        <f t="shared" si="95"/>
        <v>305000</v>
      </c>
      <c r="AE233" s="723">
        <f t="shared" si="107"/>
        <v>30000</v>
      </c>
      <c r="AF233" s="726">
        <f t="shared" si="96"/>
        <v>7638.8888888888887</v>
      </c>
      <c r="AG233" s="725">
        <v>36</v>
      </c>
      <c r="AH233" s="726">
        <f>'[18]Fully Fitted Pricelist'!AA233-'[18]Fully Fitted Pricelist'!AD233</f>
        <v>915000</v>
      </c>
      <c r="AI233" s="723">
        <f t="shared" si="99"/>
        <v>0</v>
      </c>
      <c r="AJ233" s="726">
        <f t="shared" si="97"/>
        <v>1220000</v>
      </c>
    </row>
    <row r="234" spans="2:45" hidden="1" x14ac:dyDescent="0.2">
      <c r="B234" s="722">
        <v>94</v>
      </c>
      <c r="D234" s="722" t="str">
        <f t="shared" si="109"/>
        <v>B3</v>
      </c>
      <c r="E234" s="722" t="str">
        <f t="shared" si="109"/>
        <v>B3</v>
      </c>
      <c r="F234" s="722" t="s">
        <v>366</v>
      </c>
      <c r="L234" s="726">
        <f>'[18]Fully Fitted Pricelist'!$L$141</f>
        <v>1000000</v>
      </c>
      <c r="W234" s="726">
        <f t="shared" si="103"/>
        <v>1000000</v>
      </c>
      <c r="X234" s="726">
        <f t="shared" si="92"/>
        <v>65000</v>
      </c>
      <c r="Y234" s="726">
        <f t="shared" si="93"/>
        <v>35000</v>
      </c>
      <c r="Z234" s="726">
        <f t="shared" si="94"/>
        <v>120000</v>
      </c>
      <c r="AA234" s="726">
        <f t="shared" si="100"/>
        <v>1220000</v>
      </c>
      <c r="AB234" s="726"/>
      <c r="AD234" s="726">
        <f t="shared" si="95"/>
        <v>305000</v>
      </c>
      <c r="AE234" s="723">
        <f t="shared" si="107"/>
        <v>30000</v>
      </c>
      <c r="AF234" s="726">
        <f t="shared" si="96"/>
        <v>7638.8888888888887</v>
      </c>
      <c r="AG234" s="725">
        <v>36</v>
      </c>
      <c r="AH234" s="726">
        <f>'[18]Fully Fitted Pricelist'!AA234-'[18]Fully Fitted Pricelist'!AD234</f>
        <v>915000</v>
      </c>
      <c r="AI234" s="723">
        <f t="shared" si="99"/>
        <v>0</v>
      </c>
      <c r="AJ234" s="726">
        <f t="shared" si="97"/>
        <v>1220000</v>
      </c>
    </row>
    <row r="235" spans="2:45" hidden="1" x14ac:dyDescent="0.2">
      <c r="B235" s="722">
        <v>95</v>
      </c>
      <c r="D235" s="722" t="str">
        <f t="shared" si="109"/>
        <v>B3</v>
      </c>
      <c r="E235" s="722" t="str">
        <f t="shared" si="109"/>
        <v>B3</v>
      </c>
      <c r="F235" s="722" t="s">
        <v>367</v>
      </c>
      <c r="L235" s="726">
        <f>'[18]Fully Fitted Pricelist'!$L$141</f>
        <v>1000000</v>
      </c>
      <c r="W235" s="726">
        <f t="shared" si="103"/>
        <v>1000000</v>
      </c>
      <c r="X235" s="726">
        <f t="shared" si="92"/>
        <v>65000</v>
      </c>
      <c r="Y235" s="726">
        <f t="shared" si="93"/>
        <v>35000</v>
      </c>
      <c r="Z235" s="726">
        <f t="shared" si="94"/>
        <v>120000</v>
      </c>
      <c r="AA235" s="726">
        <f t="shared" si="100"/>
        <v>1220000</v>
      </c>
      <c r="AB235" s="726"/>
      <c r="AD235" s="726">
        <f t="shared" si="95"/>
        <v>305000</v>
      </c>
      <c r="AE235" s="723">
        <f t="shared" si="107"/>
        <v>30000</v>
      </c>
      <c r="AF235" s="726">
        <f t="shared" si="96"/>
        <v>7638.8888888888887</v>
      </c>
      <c r="AG235" s="725">
        <v>36</v>
      </c>
      <c r="AH235" s="726">
        <f>'[18]Fully Fitted Pricelist'!AA235-'[18]Fully Fitted Pricelist'!AD235</f>
        <v>915000</v>
      </c>
      <c r="AI235" s="723">
        <f t="shared" si="99"/>
        <v>0</v>
      </c>
      <c r="AJ235" s="726">
        <f t="shared" si="97"/>
        <v>1220000</v>
      </c>
    </row>
    <row r="236" spans="2:45" hidden="1" x14ac:dyDescent="0.2">
      <c r="B236" s="722">
        <v>96</v>
      </c>
      <c r="D236" s="722" t="str">
        <f t="shared" si="109"/>
        <v>B3</v>
      </c>
      <c r="E236" s="722" t="str">
        <f t="shared" si="109"/>
        <v>B3</v>
      </c>
      <c r="F236" s="722" t="s">
        <v>368</v>
      </c>
      <c r="L236" s="726">
        <f>'[18]Fully Fitted Pricelist'!$L$141</f>
        <v>1000000</v>
      </c>
      <c r="W236" s="726">
        <f t="shared" si="103"/>
        <v>1000000</v>
      </c>
      <c r="X236" s="726">
        <f t="shared" si="92"/>
        <v>65000</v>
      </c>
      <c r="Y236" s="726">
        <f t="shared" si="93"/>
        <v>35000</v>
      </c>
      <c r="Z236" s="726">
        <f t="shared" si="94"/>
        <v>120000</v>
      </c>
      <c r="AA236" s="726">
        <f t="shared" si="100"/>
        <v>1220000</v>
      </c>
      <c r="AB236" s="726"/>
      <c r="AD236" s="726">
        <f t="shared" si="95"/>
        <v>305000</v>
      </c>
      <c r="AE236" s="723">
        <f t="shared" si="107"/>
        <v>30000</v>
      </c>
      <c r="AF236" s="726">
        <f t="shared" si="96"/>
        <v>7638.8888888888887</v>
      </c>
      <c r="AG236" s="725">
        <v>36</v>
      </c>
      <c r="AH236" s="726">
        <f>'[18]Fully Fitted Pricelist'!AA236-'[18]Fully Fitted Pricelist'!AD236</f>
        <v>915000</v>
      </c>
      <c r="AI236" s="723">
        <f t="shared" si="99"/>
        <v>0</v>
      </c>
      <c r="AJ236" s="726">
        <f t="shared" si="97"/>
        <v>1220000</v>
      </c>
    </row>
    <row r="237" spans="2:45" hidden="1" x14ac:dyDescent="0.2">
      <c r="B237" s="722">
        <v>97</v>
      </c>
      <c r="D237" s="722" t="str">
        <f t="shared" si="109"/>
        <v>B3</v>
      </c>
      <c r="E237" s="722" t="str">
        <f t="shared" si="109"/>
        <v>B3</v>
      </c>
      <c r="F237" s="722" t="s">
        <v>369</v>
      </c>
      <c r="L237" s="726">
        <f>'[18]Fully Fitted Pricelist'!$L$141</f>
        <v>1000000</v>
      </c>
      <c r="W237" s="726">
        <f t="shared" si="103"/>
        <v>1000000</v>
      </c>
      <c r="X237" s="726">
        <f t="shared" si="92"/>
        <v>65000</v>
      </c>
      <c r="Y237" s="726">
        <f t="shared" si="93"/>
        <v>35000</v>
      </c>
      <c r="Z237" s="726">
        <f t="shared" si="94"/>
        <v>120000</v>
      </c>
      <c r="AA237" s="726">
        <f t="shared" ref="AA237:AA295" si="110">SUM(W237:Z237)</f>
        <v>1220000</v>
      </c>
      <c r="AB237" s="726"/>
      <c r="AD237" s="726">
        <f t="shared" si="95"/>
        <v>305000</v>
      </c>
      <c r="AE237" s="723">
        <f t="shared" si="107"/>
        <v>30000</v>
      </c>
      <c r="AF237" s="726">
        <f t="shared" si="96"/>
        <v>7638.8888888888887</v>
      </c>
      <c r="AG237" s="725">
        <v>36</v>
      </c>
      <c r="AH237" s="726">
        <f>'[18]Fully Fitted Pricelist'!AA237-'[18]Fully Fitted Pricelist'!AD237</f>
        <v>915000</v>
      </c>
      <c r="AI237" s="723">
        <f t="shared" si="99"/>
        <v>0</v>
      </c>
      <c r="AJ237" s="726">
        <f t="shared" si="97"/>
        <v>1220000</v>
      </c>
    </row>
    <row r="238" spans="2:45" hidden="1" x14ac:dyDescent="0.2">
      <c r="B238" s="722">
        <v>98</v>
      </c>
      <c r="D238" s="722" t="s">
        <v>370</v>
      </c>
      <c r="E238" s="722" t="str">
        <f t="shared" ref="E238:E249" si="111">$D$238</f>
        <v>B2</v>
      </c>
      <c r="F238" s="722" t="s">
        <v>371</v>
      </c>
      <c r="L238" s="726">
        <f>'[18]Fully Fitted Pricelist'!$L$141</f>
        <v>1000000</v>
      </c>
      <c r="W238" s="726">
        <f t="shared" si="103"/>
        <v>1000000</v>
      </c>
      <c r="X238" s="726">
        <f t="shared" si="92"/>
        <v>65000</v>
      </c>
      <c r="Y238" s="726">
        <f t="shared" si="93"/>
        <v>35000</v>
      </c>
      <c r="Z238" s="726">
        <f t="shared" si="94"/>
        <v>120000</v>
      </c>
      <c r="AA238" s="726">
        <f t="shared" si="110"/>
        <v>1220000</v>
      </c>
      <c r="AB238" s="726"/>
      <c r="AD238" s="726">
        <f t="shared" si="95"/>
        <v>305000</v>
      </c>
      <c r="AE238" s="723">
        <f t="shared" si="107"/>
        <v>30000</v>
      </c>
      <c r="AF238" s="726">
        <f t="shared" si="96"/>
        <v>7638.8888888888887</v>
      </c>
      <c r="AG238" s="725">
        <v>36</v>
      </c>
      <c r="AH238" s="726">
        <f>'[18]Fully Fitted Pricelist'!AA238-'[18]Fully Fitted Pricelist'!AD238</f>
        <v>915000</v>
      </c>
      <c r="AI238" s="723">
        <f t="shared" si="99"/>
        <v>0</v>
      </c>
      <c r="AJ238" s="726">
        <f t="shared" si="97"/>
        <v>1220000</v>
      </c>
      <c r="AP238" s="721"/>
    </row>
    <row r="239" spans="2:45" hidden="1" x14ac:dyDescent="0.2">
      <c r="B239" s="722">
        <v>99</v>
      </c>
      <c r="D239" s="722" t="str">
        <f t="shared" ref="D239:D250" si="112">$D$238</f>
        <v>B2</v>
      </c>
      <c r="E239" s="722" t="str">
        <f t="shared" si="111"/>
        <v>B2</v>
      </c>
      <c r="F239" s="722" t="s">
        <v>372</v>
      </c>
      <c r="L239" s="726">
        <f>'[18]Fully Fitted Pricelist'!$L$141</f>
        <v>1000000</v>
      </c>
      <c r="W239" s="726">
        <f t="shared" si="103"/>
        <v>1000000</v>
      </c>
      <c r="X239" s="726">
        <f t="shared" si="92"/>
        <v>65000</v>
      </c>
      <c r="Y239" s="726">
        <f t="shared" si="93"/>
        <v>35000</v>
      </c>
      <c r="Z239" s="726">
        <f t="shared" si="94"/>
        <v>120000</v>
      </c>
      <c r="AA239" s="726">
        <f t="shared" si="110"/>
        <v>1220000</v>
      </c>
      <c r="AB239" s="726"/>
      <c r="AD239" s="726">
        <f t="shared" si="95"/>
        <v>305000</v>
      </c>
      <c r="AE239" s="723">
        <f t="shared" si="107"/>
        <v>30000</v>
      </c>
      <c r="AF239" s="726">
        <f t="shared" si="96"/>
        <v>7638.8888888888887</v>
      </c>
      <c r="AG239" s="725">
        <v>36</v>
      </c>
      <c r="AH239" s="726">
        <f>'[18]Fully Fitted Pricelist'!AA239-'[18]Fully Fitted Pricelist'!AD239</f>
        <v>915000</v>
      </c>
      <c r="AI239" s="723">
        <f t="shared" si="99"/>
        <v>0</v>
      </c>
      <c r="AJ239" s="726">
        <f t="shared" si="97"/>
        <v>1220000</v>
      </c>
      <c r="AP239" s="721"/>
    </row>
    <row r="240" spans="2:45" hidden="1" x14ac:dyDescent="0.2">
      <c r="B240" s="722">
        <v>100</v>
      </c>
      <c r="D240" s="722" t="str">
        <f t="shared" si="112"/>
        <v>B2</v>
      </c>
      <c r="E240" s="722" t="str">
        <f t="shared" si="111"/>
        <v>B2</v>
      </c>
      <c r="F240" s="722" t="s">
        <v>373</v>
      </c>
      <c r="L240" s="726">
        <f>'[18]Fully Fitted Pricelist'!$L$141</f>
        <v>1000000</v>
      </c>
      <c r="W240" s="726">
        <f t="shared" si="103"/>
        <v>1000000</v>
      </c>
      <c r="X240" s="726">
        <f t="shared" si="92"/>
        <v>65000</v>
      </c>
      <c r="Y240" s="726">
        <f t="shared" si="93"/>
        <v>35000</v>
      </c>
      <c r="Z240" s="726">
        <f t="shared" si="94"/>
        <v>120000</v>
      </c>
      <c r="AA240" s="726">
        <f t="shared" si="110"/>
        <v>1220000</v>
      </c>
      <c r="AB240" s="726"/>
      <c r="AD240" s="726">
        <f t="shared" si="95"/>
        <v>305000</v>
      </c>
      <c r="AE240" s="723">
        <f t="shared" si="107"/>
        <v>30000</v>
      </c>
      <c r="AF240" s="726">
        <f t="shared" si="96"/>
        <v>7857.1428571428569</v>
      </c>
      <c r="AG240" s="725">
        <v>35</v>
      </c>
      <c r="AH240" s="726">
        <f>'[18]Fully Fitted Pricelist'!AA240-'[18]Fully Fitted Pricelist'!AD240</f>
        <v>915000</v>
      </c>
      <c r="AI240" s="723">
        <f t="shared" si="99"/>
        <v>0</v>
      </c>
      <c r="AJ240" s="726">
        <f t="shared" si="97"/>
        <v>1220000</v>
      </c>
      <c r="AP240" s="721"/>
    </row>
    <row r="241" spans="2:47" hidden="1" x14ac:dyDescent="0.2">
      <c r="B241" s="722">
        <v>101</v>
      </c>
      <c r="D241" s="722" t="str">
        <f t="shared" si="112"/>
        <v>B2</v>
      </c>
      <c r="E241" s="722" t="str">
        <f t="shared" si="111"/>
        <v>B2</v>
      </c>
      <c r="F241" s="722" t="s">
        <v>374</v>
      </c>
      <c r="L241" s="726">
        <f>'[18]Fully Fitted Pricelist'!$L$141</f>
        <v>1000000</v>
      </c>
      <c r="W241" s="726">
        <f t="shared" si="103"/>
        <v>1000000</v>
      </c>
      <c r="X241" s="726">
        <f t="shared" si="92"/>
        <v>65000</v>
      </c>
      <c r="Y241" s="726">
        <f t="shared" si="93"/>
        <v>35000</v>
      </c>
      <c r="Z241" s="726">
        <f t="shared" si="94"/>
        <v>120000</v>
      </c>
      <c r="AA241" s="726">
        <f t="shared" si="110"/>
        <v>1220000</v>
      </c>
      <c r="AB241" s="726"/>
      <c r="AD241" s="726">
        <f t="shared" si="95"/>
        <v>305000</v>
      </c>
      <c r="AE241" s="723">
        <f t="shared" si="107"/>
        <v>30000</v>
      </c>
      <c r="AF241" s="726">
        <f t="shared" si="96"/>
        <v>7857.1428571428569</v>
      </c>
      <c r="AG241" s="725">
        <v>35</v>
      </c>
      <c r="AH241" s="726">
        <f>'[18]Fully Fitted Pricelist'!AA241-'[18]Fully Fitted Pricelist'!AD241</f>
        <v>915000</v>
      </c>
      <c r="AI241" s="723">
        <f t="shared" si="99"/>
        <v>0</v>
      </c>
      <c r="AJ241" s="726">
        <f t="shared" si="97"/>
        <v>1220000</v>
      </c>
      <c r="AP241" s="721"/>
    </row>
    <row r="242" spans="2:47" hidden="1" x14ac:dyDescent="0.2">
      <c r="B242" s="722">
        <v>102</v>
      </c>
      <c r="D242" s="722" t="str">
        <f t="shared" si="112"/>
        <v>B2</v>
      </c>
      <c r="E242" s="722" t="str">
        <f t="shared" si="111"/>
        <v>B2</v>
      </c>
      <c r="F242" s="722" t="s">
        <v>375</v>
      </c>
      <c r="L242" s="726">
        <f>'[18]Fully Fitted Pricelist'!$L$141</f>
        <v>1000000</v>
      </c>
      <c r="W242" s="726">
        <f t="shared" si="103"/>
        <v>1000000</v>
      </c>
      <c r="X242" s="726">
        <f t="shared" si="92"/>
        <v>65000</v>
      </c>
      <c r="Y242" s="726">
        <f t="shared" si="93"/>
        <v>35000</v>
      </c>
      <c r="Z242" s="726">
        <f t="shared" si="94"/>
        <v>120000</v>
      </c>
      <c r="AA242" s="726">
        <f t="shared" si="110"/>
        <v>1220000</v>
      </c>
      <c r="AB242" s="726"/>
      <c r="AD242" s="726">
        <f t="shared" si="95"/>
        <v>305000</v>
      </c>
      <c r="AE242" s="723">
        <f t="shared" si="107"/>
        <v>30000</v>
      </c>
      <c r="AF242" s="726">
        <f t="shared" si="96"/>
        <v>7857.1428571428569</v>
      </c>
      <c r="AG242" s="725">
        <v>35</v>
      </c>
      <c r="AH242" s="726">
        <f>'[18]Fully Fitted Pricelist'!AA242-'[18]Fully Fitted Pricelist'!AD242</f>
        <v>915000</v>
      </c>
      <c r="AI242" s="723">
        <f t="shared" si="99"/>
        <v>0</v>
      </c>
      <c r="AJ242" s="726">
        <f t="shared" si="97"/>
        <v>1220000</v>
      </c>
    </row>
    <row r="243" spans="2:47" hidden="1" x14ac:dyDescent="0.2">
      <c r="B243" s="722">
        <v>103</v>
      </c>
      <c r="D243" s="722" t="str">
        <f t="shared" si="112"/>
        <v>B2</v>
      </c>
      <c r="E243" s="722" t="str">
        <f t="shared" si="111"/>
        <v>B2</v>
      </c>
      <c r="F243" s="722" t="s">
        <v>376</v>
      </c>
      <c r="L243" s="726">
        <f>'[18]Fully Fitted Pricelist'!$L$141</f>
        <v>1000000</v>
      </c>
      <c r="W243" s="726">
        <f t="shared" si="103"/>
        <v>1000000</v>
      </c>
      <c r="X243" s="726">
        <f t="shared" si="92"/>
        <v>65000</v>
      </c>
      <c r="Y243" s="726">
        <f t="shared" si="93"/>
        <v>35000</v>
      </c>
      <c r="Z243" s="726">
        <f t="shared" si="94"/>
        <v>120000</v>
      </c>
      <c r="AA243" s="726">
        <f t="shared" si="110"/>
        <v>1220000</v>
      </c>
      <c r="AB243" s="726"/>
      <c r="AD243" s="726">
        <f t="shared" si="95"/>
        <v>305000</v>
      </c>
      <c r="AE243" s="723">
        <f t="shared" si="107"/>
        <v>30000</v>
      </c>
      <c r="AF243" s="726">
        <f t="shared" si="96"/>
        <v>7857.1428571428569</v>
      </c>
      <c r="AG243" s="725">
        <v>35</v>
      </c>
      <c r="AH243" s="726">
        <f>'[18]Fully Fitted Pricelist'!AA243-'[18]Fully Fitted Pricelist'!AD243</f>
        <v>915000</v>
      </c>
      <c r="AI243" s="723">
        <f t="shared" si="99"/>
        <v>0</v>
      </c>
      <c r="AJ243" s="726">
        <f t="shared" si="97"/>
        <v>1220000</v>
      </c>
    </row>
    <row r="244" spans="2:47" hidden="1" x14ac:dyDescent="0.2">
      <c r="B244" s="722">
        <v>104</v>
      </c>
      <c r="D244" s="722" t="str">
        <f t="shared" si="112"/>
        <v>B2</v>
      </c>
      <c r="E244" s="722" t="str">
        <f t="shared" si="111"/>
        <v>B2</v>
      </c>
      <c r="F244" s="722" t="s">
        <v>377</v>
      </c>
      <c r="L244" s="726">
        <f>'[18]Fully Fitted Pricelist'!$L$141</f>
        <v>1000000</v>
      </c>
      <c r="W244" s="726">
        <f t="shared" si="103"/>
        <v>1000000</v>
      </c>
      <c r="X244" s="726">
        <f t="shared" si="92"/>
        <v>65000</v>
      </c>
      <c r="Y244" s="726">
        <f t="shared" si="93"/>
        <v>35000</v>
      </c>
      <c r="Z244" s="726">
        <f t="shared" si="94"/>
        <v>120000</v>
      </c>
      <c r="AA244" s="726">
        <f t="shared" si="110"/>
        <v>1220000</v>
      </c>
      <c r="AB244" s="726"/>
      <c r="AD244" s="726">
        <f t="shared" si="95"/>
        <v>305000</v>
      </c>
      <c r="AE244" s="723">
        <f t="shared" si="107"/>
        <v>30000</v>
      </c>
      <c r="AF244" s="726">
        <f t="shared" si="96"/>
        <v>7857.1428571428569</v>
      </c>
      <c r="AG244" s="725">
        <v>35</v>
      </c>
      <c r="AH244" s="726">
        <f>'[18]Fully Fitted Pricelist'!AA244-'[18]Fully Fitted Pricelist'!AD244</f>
        <v>915000</v>
      </c>
      <c r="AI244" s="723">
        <f t="shared" si="99"/>
        <v>0</v>
      </c>
      <c r="AJ244" s="726">
        <f t="shared" si="97"/>
        <v>1220000</v>
      </c>
    </row>
    <row r="245" spans="2:47" hidden="1" x14ac:dyDescent="0.2">
      <c r="B245" s="722">
        <v>105</v>
      </c>
      <c r="D245" s="722" t="str">
        <f t="shared" si="112"/>
        <v>B2</v>
      </c>
      <c r="E245" s="722" t="str">
        <f t="shared" si="111"/>
        <v>B2</v>
      </c>
      <c r="F245" s="722" t="s">
        <v>378</v>
      </c>
      <c r="L245" s="726">
        <f>'[18]Fully Fitted Pricelist'!$L$141</f>
        <v>1000000</v>
      </c>
      <c r="W245" s="726">
        <f t="shared" si="103"/>
        <v>1000000</v>
      </c>
      <c r="X245" s="726">
        <f t="shared" si="92"/>
        <v>65000</v>
      </c>
      <c r="Y245" s="726">
        <f t="shared" si="93"/>
        <v>35000</v>
      </c>
      <c r="Z245" s="726">
        <f t="shared" si="94"/>
        <v>120000</v>
      </c>
      <c r="AA245" s="726">
        <f t="shared" si="110"/>
        <v>1220000</v>
      </c>
      <c r="AB245" s="726"/>
      <c r="AD245" s="726">
        <f t="shared" si="95"/>
        <v>305000</v>
      </c>
      <c r="AE245" s="723">
        <f t="shared" si="107"/>
        <v>30000</v>
      </c>
      <c r="AF245" s="726">
        <f t="shared" si="96"/>
        <v>7857.1428571428569</v>
      </c>
      <c r="AG245" s="725">
        <v>35</v>
      </c>
      <c r="AH245" s="726">
        <f>'[18]Fully Fitted Pricelist'!AA245-'[18]Fully Fitted Pricelist'!AD245</f>
        <v>915000</v>
      </c>
      <c r="AI245" s="723">
        <f t="shared" si="99"/>
        <v>0</v>
      </c>
      <c r="AJ245" s="726">
        <f t="shared" si="97"/>
        <v>1220000</v>
      </c>
      <c r="AQ245" s="721"/>
    </row>
    <row r="246" spans="2:47" hidden="1" x14ac:dyDescent="0.2">
      <c r="B246" s="722">
        <v>106</v>
      </c>
      <c r="D246" s="722" t="str">
        <f t="shared" si="112"/>
        <v>B2</v>
      </c>
      <c r="E246" s="722" t="str">
        <f t="shared" si="111"/>
        <v>B2</v>
      </c>
      <c r="F246" s="722" t="s">
        <v>379</v>
      </c>
      <c r="L246" s="726">
        <f>'[18]Fully Fitted Pricelist'!$L$141</f>
        <v>1000000</v>
      </c>
      <c r="W246" s="726">
        <f t="shared" si="103"/>
        <v>1000000</v>
      </c>
      <c r="X246" s="726">
        <f t="shared" si="92"/>
        <v>65000</v>
      </c>
      <c r="Y246" s="726">
        <f t="shared" si="93"/>
        <v>35000</v>
      </c>
      <c r="Z246" s="726">
        <f t="shared" si="94"/>
        <v>120000</v>
      </c>
      <c r="AA246" s="726">
        <f t="shared" si="110"/>
        <v>1220000</v>
      </c>
      <c r="AB246" s="726"/>
      <c r="AD246" s="726">
        <f t="shared" si="95"/>
        <v>305000</v>
      </c>
      <c r="AE246" s="723">
        <f t="shared" si="107"/>
        <v>30000</v>
      </c>
      <c r="AF246" s="726">
        <f t="shared" si="96"/>
        <v>7857.1428571428569</v>
      </c>
      <c r="AG246" s="725">
        <v>35</v>
      </c>
      <c r="AH246" s="726">
        <f>'[18]Fully Fitted Pricelist'!AA246-'[18]Fully Fitted Pricelist'!AD246</f>
        <v>915000</v>
      </c>
      <c r="AI246" s="723">
        <f t="shared" si="99"/>
        <v>0</v>
      </c>
      <c r="AJ246" s="726">
        <f t="shared" si="97"/>
        <v>1220000</v>
      </c>
      <c r="AQ246" s="721"/>
    </row>
    <row r="247" spans="2:47" hidden="1" x14ac:dyDescent="0.2">
      <c r="B247" s="722">
        <v>107</v>
      </c>
      <c r="D247" s="722" t="str">
        <f t="shared" si="112"/>
        <v>B2</v>
      </c>
      <c r="E247" s="722" t="str">
        <f t="shared" si="111"/>
        <v>B2</v>
      </c>
      <c r="F247" s="722" t="s">
        <v>380</v>
      </c>
      <c r="L247" s="726">
        <f>'[18]Fully Fitted Pricelist'!$L$141</f>
        <v>1000000</v>
      </c>
      <c r="W247" s="726">
        <f t="shared" si="103"/>
        <v>1000000</v>
      </c>
      <c r="X247" s="726">
        <f t="shared" si="92"/>
        <v>65000</v>
      </c>
      <c r="Y247" s="726">
        <f t="shared" si="93"/>
        <v>35000</v>
      </c>
      <c r="Z247" s="726">
        <f t="shared" si="94"/>
        <v>120000</v>
      </c>
      <c r="AA247" s="726">
        <f t="shared" si="110"/>
        <v>1220000</v>
      </c>
      <c r="AB247" s="726"/>
      <c r="AD247" s="726">
        <f t="shared" si="95"/>
        <v>305000</v>
      </c>
      <c r="AE247" s="723">
        <v>30000</v>
      </c>
      <c r="AF247" s="726">
        <f t="shared" si="96"/>
        <v>7857.1428571428569</v>
      </c>
      <c r="AG247" s="725">
        <v>35</v>
      </c>
      <c r="AH247" s="726">
        <f>'[18]Fully Fitted Pricelist'!AA247-'[18]Fully Fitted Pricelist'!AD247</f>
        <v>915000</v>
      </c>
      <c r="AI247" s="723">
        <f t="shared" si="99"/>
        <v>0</v>
      </c>
      <c r="AJ247" s="726">
        <f t="shared" si="97"/>
        <v>1220000</v>
      </c>
      <c r="AQ247" s="721"/>
    </row>
    <row r="248" spans="2:47" hidden="1" x14ac:dyDescent="0.2">
      <c r="B248" s="722">
        <v>108</v>
      </c>
      <c r="D248" s="722" t="str">
        <f t="shared" si="112"/>
        <v>B2</v>
      </c>
      <c r="E248" s="722" t="str">
        <f t="shared" si="111"/>
        <v>B2</v>
      </c>
      <c r="F248" s="722" t="s">
        <v>381</v>
      </c>
      <c r="L248" s="726">
        <f>'[18]Fully Fitted Pricelist'!$L$141</f>
        <v>1000000</v>
      </c>
      <c r="W248" s="726">
        <f t="shared" si="103"/>
        <v>1000000</v>
      </c>
      <c r="X248" s="726">
        <f t="shared" si="92"/>
        <v>65000</v>
      </c>
      <c r="Y248" s="726">
        <f t="shared" si="93"/>
        <v>35000</v>
      </c>
      <c r="Z248" s="726">
        <f t="shared" si="94"/>
        <v>120000</v>
      </c>
      <c r="AA248" s="726">
        <f t="shared" si="110"/>
        <v>1220000</v>
      </c>
      <c r="AB248" s="726"/>
      <c r="AD248" s="726">
        <f t="shared" si="95"/>
        <v>305000</v>
      </c>
      <c r="AE248" s="723">
        <f t="shared" ref="AE248:AE295" si="113">AE247</f>
        <v>30000</v>
      </c>
      <c r="AF248" s="726">
        <f t="shared" si="96"/>
        <v>7857.1428571428569</v>
      </c>
      <c r="AG248" s="725">
        <v>35</v>
      </c>
      <c r="AH248" s="726">
        <f>'[18]Fully Fitted Pricelist'!AA248-'[18]Fully Fitted Pricelist'!AD248</f>
        <v>915000</v>
      </c>
      <c r="AI248" s="723">
        <f t="shared" si="99"/>
        <v>0</v>
      </c>
      <c r="AJ248" s="726">
        <f t="shared" si="97"/>
        <v>1220000</v>
      </c>
    </row>
    <row r="249" spans="2:47" hidden="1" x14ac:dyDescent="0.2">
      <c r="B249" s="722">
        <v>109</v>
      </c>
      <c r="D249" s="722" t="str">
        <f t="shared" si="112"/>
        <v>B2</v>
      </c>
      <c r="E249" s="722" t="str">
        <f t="shared" si="111"/>
        <v>B2</v>
      </c>
      <c r="F249" s="722" t="s">
        <v>382</v>
      </c>
      <c r="L249" s="726">
        <f>'[18]Fully Fitted Pricelist'!$L$141</f>
        <v>1000000</v>
      </c>
      <c r="W249" s="726">
        <f t="shared" si="103"/>
        <v>1000000</v>
      </c>
      <c r="X249" s="726">
        <f t="shared" si="92"/>
        <v>65000</v>
      </c>
      <c r="Y249" s="726">
        <f t="shared" si="93"/>
        <v>35000</v>
      </c>
      <c r="Z249" s="726">
        <f t="shared" si="94"/>
        <v>120000</v>
      </c>
      <c r="AA249" s="726">
        <f t="shared" si="110"/>
        <v>1220000</v>
      </c>
      <c r="AB249" s="726"/>
      <c r="AD249" s="726">
        <f t="shared" si="95"/>
        <v>305000</v>
      </c>
      <c r="AE249" s="723">
        <f t="shared" si="113"/>
        <v>30000</v>
      </c>
      <c r="AF249" s="726">
        <f t="shared" si="96"/>
        <v>7857.1428571428569</v>
      </c>
      <c r="AG249" s="725">
        <v>35</v>
      </c>
      <c r="AH249" s="726">
        <f>'[18]Fully Fitted Pricelist'!AA249-'[18]Fully Fitted Pricelist'!AD249</f>
        <v>915000</v>
      </c>
      <c r="AI249" s="723">
        <f t="shared" si="99"/>
        <v>0</v>
      </c>
      <c r="AJ249" s="726">
        <f t="shared" si="97"/>
        <v>1220000</v>
      </c>
    </row>
    <row r="250" spans="2:47" hidden="1" x14ac:dyDescent="0.2">
      <c r="B250" s="722">
        <v>110</v>
      </c>
      <c r="D250" s="722" t="str">
        <f t="shared" si="112"/>
        <v>B2</v>
      </c>
      <c r="E250" s="722" t="str">
        <f t="shared" ref="E250:E262" si="114">$D$250</f>
        <v>B2</v>
      </c>
      <c r="F250" s="722" t="s">
        <v>383</v>
      </c>
      <c r="L250" s="726">
        <f>'[18]Fully Fitted Pricelist'!$L$141</f>
        <v>1000000</v>
      </c>
      <c r="W250" s="726">
        <f t="shared" si="103"/>
        <v>1000000</v>
      </c>
      <c r="X250" s="726">
        <f t="shared" si="92"/>
        <v>65000</v>
      </c>
      <c r="Y250" s="726">
        <f t="shared" si="93"/>
        <v>35000</v>
      </c>
      <c r="Z250" s="726">
        <f t="shared" si="94"/>
        <v>120000</v>
      </c>
      <c r="AA250" s="726">
        <f t="shared" si="110"/>
        <v>1220000</v>
      </c>
      <c r="AB250" s="726"/>
      <c r="AD250" s="726">
        <f t="shared" si="95"/>
        <v>305000</v>
      </c>
      <c r="AE250" s="723">
        <f t="shared" si="113"/>
        <v>30000</v>
      </c>
      <c r="AF250" s="726">
        <f t="shared" si="96"/>
        <v>7857.1428571428569</v>
      </c>
      <c r="AG250" s="725">
        <v>35</v>
      </c>
      <c r="AH250" s="726">
        <f>'[18]Fully Fitted Pricelist'!AA250-'[18]Fully Fitted Pricelist'!AD250</f>
        <v>915000</v>
      </c>
      <c r="AI250" s="723">
        <f t="shared" si="99"/>
        <v>0</v>
      </c>
      <c r="AJ250" s="726">
        <f t="shared" si="97"/>
        <v>1220000</v>
      </c>
    </row>
    <row r="251" spans="2:47" hidden="1" x14ac:dyDescent="0.2">
      <c r="B251" s="722">
        <v>111</v>
      </c>
      <c r="D251" s="722" t="str">
        <f t="shared" ref="D251:D262" si="115">$D$250</f>
        <v>B2</v>
      </c>
      <c r="E251" s="722" t="str">
        <f t="shared" si="114"/>
        <v>B2</v>
      </c>
      <c r="F251" s="722" t="s">
        <v>384</v>
      </c>
      <c r="L251" s="726">
        <f>'[18]Fully Fitted Pricelist'!$L$141</f>
        <v>1000000</v>
      </c>
      <c r="W251" s="726">
        <f t="shared" si="103"/>
        <v>1000000</v>
      </c>
      <c r="X251" s="726">
        <f t="shared" si="92"/>
        <v>65000</v>
      </c>
      <c r="Y251" s="726">
        <f t="shared" si="93"/>
        <v>35000</v>
      </c>
      <c r="Z251" s="726">
        <f t="shared" si="94"/>
        <v>120000</v>
      </c>
      <c r="AA251" s="726">
        <f t="shared" si="110"/>
        <v>1220000</v>
      </c>
      <c r="AB251" s="726"/>
      <c r="AD251" s="726">
        <f t="shared" si="95"/>
        <v>305000</v>
      </c>
      <c r="AE251" s="723">
        <f t="shared" si="113"/>
        <v>30000</v>
      </c>
      <c r="AF251" s="726">
        <f t="shared" si="96"/>
        <v>8088.2352941176468</v>
      </c>
      <c r="AG251" s="725">
        <v>34</v>
      </c>
      <c r="AH251" s="726">
        <f>'[18]Fully Fitted Pricelist'!AA251-'[18]Fully Fitted Pricelist'!AD251</f>
        <v>915000</v>
      </c>
      <c r="AI251" s="723">
        <f t="shared" si="99"/>
        <v>0</v>
      </c>
      <c r="AJ251" s="726">
        <f t="shared" si="97"/>
        <v>1220000</v>
      </c>
      <c r="AT251" s="721"/>
    </row>
    <row r="252" spans="2:47" hidden="1" x14ac:dyDescent="0.2">
      <c r="B252" s="722">
        <v>112</v>
      </c>
      <c r="D252" s="722" t="str">
        <f t="shared" si="115"/>
        <v>B2</v>
      </c>
      <c r="E252" s="722" t="str">
        <f t="shared" si="114"/>
        <v>B2</v>
      </c>
      <c r="F252" s="722" t="s">
        <v>385</v>
      </c>
      <c r="L252" s="726">
        <f>'[18]Fully Fitted Pricelist'!$L$141</f>
        <v>1000000</v>
      </c>
      <c r="W252" s="726">
        <f t="shared" si="103"/>
        <v>1000000</v>
      </c>
      <c r="X252" s="726">
        <f t="shared" si="92"/>
        <v>65000</v>
      </c>
      <c r="Y252" s="726">
        <f t="shared" si="93"/>
        <v>35000</v>
      </c>
      <c r="Z252" s="726">
        <f t="shared" si="94"/>
        <v>120000</v>
      </c>
      <c r="AA252" s="726">
        <f t="shared" si="110"/>
        <v>1220000</v>
      </c>
      <c r="AB252" s="726"/>
      <c r="AD252" s="726">
        <f t="shared" si="95"/>
        <v>305000</v>
      </c>
      <c r="AE252" s="723">
        <f t="shared" si="113"/>
        <v>30000</v>
      </c>
      <c r="AF252" s="726">
        <f t="shared" si="96"/>
        <v>8088.2352941176468</v>
      </c>
      <c r="AG252" s="725">
        <v>34</v>
      </c>
      <c r="AH252" s="726">
        <f>'[18]Fully Fitted Pricelist'!AA252-'[18]Fully Fitted Pricelist'!AD252</f>
        <v>915000</v>
      </c>
      <c r="AI252" s="723">
        <f t="shared" si="99"/>
        <v>0</v>
      </c>
      <c r="AJ252" s="726">
        <f t="shared" si="97"/>
        <v>1220000</v>
      </c>
      <c r="AT252" s="721"/>
    </row>
    <row r="253" spans="2:47" hidden="1" x14ac:dyDescent="0.2">
      <c r="B253" s="722">
        <v>113</v>
      </c>
      <c r="D253" s="722" t="str">
        <f t="shared" si="115"/>
        <v>B2</v>
      </c>
      <c r="E253" s="722" t="str">
        <f t="shared" si="114"/>
        <v>B2</v>
      </c>
      <c r="F253" s="722" t="s">
        <v>386</v>
      </c>
      <c r="L253" s="726">
        <f>'[18]Fully Fitted Pricelist'!$L$141</f>
        <v>1000000</v>
      </c>
      <c r="W253" s="726">
        <f t="shared" si="103"/>
        <v>1000000</v>
      </c>
      <c r="X253" s="726">
        <f t="shared" ref="X253:X295" si="116">W253*6.5%</f>
        <v>65000</v>
      </c>
      <c r="Y253" s="726">
        <f t="shared" ref="Y253:Y295" si="117">W253*3.5%</f>
        <v>35000</v>
      </c>
      <c r="Z253" s="726">
        <f t="shared" ref="Z253:Z295" si="118">W253*12%</f>
        <v>120000</v>
      </c>
      <c r="AA253" s="726">
        <f t="shared" si="110"/>
        <v>1220000</v>
      </c>
      <c r="AB253" s="726"/>
      <c r="AD253" s="726">
        <f t="shared" ref="AD253:AD295" si="119">AA253*25%</f>
        <v>305000</v>
      </c>
      <c r="AE253" s="723">
        <f t="shared" si="113"/>
        <v>30000</v>
      </c>
      <c r="AF253" s="726">
        <f t="shared" ref="AF253:AF295" si="120">(AD253-AE253)/(AG253)</f>
        <v>8088.2352941176468</v>
      </c>
      <c r="AG253" s="725">
        <v>34</v>
      </c>
      <c r="AH253" s="726">
        <f>'[18]Fully Fitted Pricelist'!AA253-'[18]Fully Fitted Pricelist'!AD253</f>
        <v>915000</v>
      </c>
      <c r="AI253" s="723">
        <f t="shared" ref="AI253:AI295" si="121">SUM(AK253:ES253)</f>
        <v>0</v>
      </c>
      <c r="AJ253" s="726">
        <f t="shared" ref="AJ253:AJ295" si="122">AA253-AI253</f>
        <v>1220000</v>
      </c>
      <c r="AT253" s="721"/>
    </row>
    <row r="254" spans="2:47" hidden="1" x14ac:dyDescent="0.2">
      <c r="B254" s="722">
        <v>114</v>
      </c>
      <c r="D254" s="722" t="str">
        <f t="shared" si="115"/>
        <v>B2</v>
      </c>
      <c r="E254" s="722" t="str">
        <f t="shared" si="114"/>
        <v>B2</v>
      </c>
      <c r="F254" s="722" t="s">
        <v>387</v>
      </c>
      <c r="L254" s="726">
        <f>'[18]Fully Fitted Pricelist'!$L$141</f>
        <v>1000000</v>
      </c>
      <c r="W254" s="726">
        <f t="shared" si="103"/>
        <v>1000000</v>
      </c>
      <c r="X254" s="726">
        <f t="shared" si="116"/>
        <v>65000</v>
      </c>
      <c r="Y254" s="726">
        <f t="shared" si="117"/>
        <v>35000</v>
      </c>
      <c r="Z254" s="726">
        <f t="shared" si="118"/>
        <v>120000</v>
      </c>
      <c r="AA254" s="726">
        <f t="shared" si="110"/>
        <v>1220000</v>
      </c>
      <c r="AB254" s="726"/>
      <c r="AD254" s="726">
        <f t="shared" si="119"/>
        <v>305000</v>
      </c>
      <c r="AE254" s="723">
        <f t="shared" si="113"/>
        <v>30000</v>
      </c>
      <c r="AF254" s="726">
        <f t="shared" si="120"/>
        <v>8088.2352941176468</v>
      </c>
      <c r="AG254" s="725">
        <v>34</v>
      </c>
      <c r="AH254" s="726">
        <f>'[18]Fully Fitted Pricelist'!AA254-'[18]Fully Fitted Pricelist'!AD254</f>
        <v>915000</v>
      </c>
      <c r="AI254" s="723">
        <f t="shared" si="121"/>
        <v>0</v>
      </c>
      <c r="AJ254" s="726">
        <f t="shared" si="122"/>
        <v>1220000</v>
      </c>
      <c r="AQ254" s="721"/>
      <c r="AT254" s="721"/>
    </row>
    <row r="255" spans="2:47" hidden="1" x14ac:dyDescent="0.2">
      <c r="B255" s="722">
        <v>115</v>
      </c>
      <c r="D255" s="722" t="str">
        <f t="shared" si="115"/>
        <v>B2</v>
      </c>
      <c r="E255" s="722" t="str">
        <f t="shared" si="114"/>
        <v>B2</v>
      </c>
      <c r="F255" s="722" t="s">
        <v>388</v>
      </c>
      <c r="L255" s="726">
        <f>'[18]Fully Fitted Pricelist'!$L$141</f>
        <v>1000000</v>
      </c>
      <c r="W255" s="726">
        <f t="shared" si="103"/>
        <v>1000000</v>
      </c>
      <c r="X255" s="726">
        <f t="shared" si="116"/>
        <v>65000</v>
      </c>
      <c r="Y255" s="726">
        <f t="shared" si="117"/>
        <v>35000</v>
      </c>
      <c r="Z255" s="726">
        <f t="shared" si="118"/>
        <v>120000</v>
      </c>
      <c r="AA255" s="726">
        <f t="shared" si="110"/>
        <v>1220000</v>
      </c>
      <c r="AB255" s="726"/>
      <c r="AD255" s="726">
        <f t="shared" si="119"/>
        <v>305000</v>
      </c>
      <c r="AE255" s="723">
        <f t="shared" si="113"/>
        <v>30000</v>
      </c>
      <c r="AF255" s="726">
        <f t="shared" si="120"/>
        <v>8088.2352941176468</v>
      </c>
      <c r="AG255" s="725">
        <v>34</v>
      </c>
      <c r="AH255" s="726">
        <f>'[18]Fully Fitted Pricelist'!AA255-'[18]Fully Fitted Pricelist'!AD255</f>
        <v>915000</v>
      </c>
      <c r="AI255" s="723">
        <f t="shared" si="121"/>
        <v>0</v>
      </c>
      <c r="AJ255" s="726">
        <f t="shared" si="122"/>
        <v>1220000</v>
      </c>
      <c r="AQ255" s="721"/>
      <c r="AT255" s="721"/>
    </row>
    <row r="256" spans="2:47" hidden="1" x14ac:dyDescent="0.2">
      <c r="B256" s="722">
        <v>116</v>
      </c>
      <c r="D256" s="722" t="str">
        <f t="shared" si="115"/>
        <v>B2</v>
      </c>
      <c r="E256" s="722" t="str">
        <f t="shared" si="114"/>
        <v>B2</v>
      </c>
      <c r="F256" s="722" t="s">
        <v>389</v>
      </c>
      <c r="L256" s="726">
        <f>'[18]Fully Fitted Pricelist'!$L$141</f>
        <v>1000000</v>
      </c>
      <c r="W256" s="726">
        <f t="shared" si="103"/>
        <v>1000000</v>
      </c>
      <c r="X256" s="726">
        <f t="shared" si="116"/>
        <v>65000</v>
      </c>
      <c r="Y256" s="726">
        <f t="shared" si="117"/>
        <v>35000</v>
      </c>
      <c r="Z256" s="726">
        <f t="shared" si="118"/>
        <v>120000</v>
      </c>
      <c r="AA256" s="726">
        <f t="shared" si="110"/>
        <v>1220000</v>
      </c>
      <c r="AB256" s="726"/>
      <c r="AD256" s="726">
        <f t="shared" si="119"/>
        <v>305000</v>
      </c>
      <c r="AE256" s="723">
        <f t="shared" si="113"/>
        <v>30000</v>
      </c>
      <c r="AF256" s="726">
        <f t="shared" si="120"/>
        <v>8088.2352941176468</v>
      </c>
      <c r="AG256" s="725">
        <v>34</v>
      </c>
      <c r="AH256" s="726">
        <f>'[18]Fully Fitted Pricelist'!AA256-'[18]Fully Fitted Pricelist'!AD256</f>
        <v>915000</v>
      </c>
      <c r="AI256" s="723">
        <f t="shared" si="121"/>
        <v>0</v>
      </c>
      <c r="AJ256" s="726">
        <f t="shared" si="122"/>
        <v>1220000</v>
      </c>
      <c r="AU256" s="721"/>
    </row>
    <row r="257" spans="2:49" hidden="1" x14ac:dyDescent="0.2">
      <c r="B257" s="722">
        <v>117</v>
      </c>
      <c r="D257" s="722" t="str">
        <f t="shared" si="115"/>
        <v>B2</v>
      </c>
      <c r="E257" s="722" t="str">
        <f t="shared" si="114"/>
        <v>B2</v>
      </c>
      <c r="F257" s="722" t="s">
        <v>390</v>
      </c>
      <c r="L257" s="726">
        <f>'[18]Fully Fitted Pricelist'!$L$141</f>
        <v>1000000</v>
      </c>
      <c r="W257" s="726">
        <f t="shared" si="103"/>
        <v>1000000</v>
      </c>
      <c r="X257" s="726">
        <f t="shared" si="116"/>
        <v>65000</v>
      </c>
      <c r="Y257" s="726">
        <f t="shared" si="117"/>
        <v>35000</v>
      </c>
      <c r="Z257" s="726">
        <f t="shared" si="118"/>
        <v>120000</v>
      </c>
      <c r="AA257" s="726">
        <f t="shared" si="110"/>
        <v>1220000</v>
      </c>
      <c r="AB257" s="726"/>
      <c r="AD257" s="726">
        <f t="shared" si="119"/>
        <v>305000</v>
      </c>
      <c r="AE257" s="723">
        <f t="shared" si="113"/>
        <v>30000</v>
      </c>
      <c r="AF257" s="726">
        <f t="shared" si="120"/>
        <v>8088.2352941176468</v>
      </c>
      <c r="AG257" s="725">
        <v>34</v>
      </c>
      <c r="AH257" s="726">
        <f>'[18]Fully Fitted Pricelist'!AA257-'[18]Fully Fitted Pricelist'!AD257</f>
        <v>915000</v>
      </c>
      <c r="AI257" s="723">
        <f t="shared" si="121"/>
        <v>0</v>
      </c>
      <c r="AJ257" s="726">
        <f t="shared" si="122"/>
        <v>1220000</v>
      </c>
      <c r="AU257" s="721"/>
    </row>
    <row r="258" spans="2:49" hidden="1" x14ac:dyDescent="0.2">
      <c r="B258" s="722">
        <v>118</v>
      </c>
      <c r="D258" s="722" t="str">
        <f t="shared" si="115"/>
        <v>B2</v>
      </c>
      <c r="E258" s="722" t="str">
        <f t="shared" si="114"/>
        <v>B2</v>
      </c>
      <c r="F258" s="722" t="s">
        <v>391</v>
      </c>
      <c r="L258" s="726">
        <f>'[18]Fully Fitted Pricelist'!$L$141</f>
        <v>1000000</v>
      </c>
      <c r="W258" s="726">
        <f t="shared" si="103"/>
        <v>1000000</v>
      </c>
      <c r="X258" s="726">
        <f t="shared" si="116"/>
        <v>65000</v>
      </c>
      <c r="Y258" s="726">
        <f t="shared" si="117"/>
        <v>35000</v>
      </c>
      <c r="Z258" s="726">
        <f t="shared" si="118"/>
        <v>120000</v>
      </c>
      <c r="AA258" s="726">
        <f t="shared" si="110"/>
        <v>1220000</v>
      </c>
      <c r="AB258" s="726"/>
      <c r="AD258" s="726">
        <f t="shared" si="119"/>
        <v>305000</v>
      </c>
      <c r="AE258" s="723">
        <f t="shared" si="113"/>
        <v>30000</v>
      </c>
      <c r="AF258" s="726">
        <f t="shared" si="120"/>
        <v>8088.2352941176468</v>
      </c>
      <c r="AG258" s="725">
        <v>34</v>
      </c>
      <c r="AH258" s="726">
        <f>'[18]Fully Fitted Pricelist'!AA258-'[18]Fully Fitted Pricelist'!AD258</f>
        <v>915000</v>
      </c>
      <c r="AI258" s="723">
        <f t="shared" si="121"/>
        <v>0</v>
      </c>
      <c r="AJ258" s="726">
        <f t="shared" si="122"/>
        <v>1220000</v>
      </c>
      <c r="AU258" s="721"/>
    </row>
    <row r="259" spans="2:49" hidden="1" x14ac:dyDescent="0.2">
      <c r="B259" s="722">
        <v>119</v>
      </c>
      <c r="D259" s="722" t="str">
        <f t="shared" si="115"/>
        <v>B2</v>
      </c>
      <c r="E259" s="722" t="str">
        <f t="shared" si="114"/>
        <v>B2</v>
      </c>
      <c r="F259" s="722" t="s">
        <v>392</v>
      </c>
      <c r="L259" s="726">
        <f>'[18]Fully Fitted Pricelist'!$L$141</f>
        <v>1000000</v>
      </c>
      <c r="W259" s="726">
        <f t="shared" si="103"/>
        <v>1000000</v>
      </c>
      <c r="X259" s="726">
        <f t="shared" si="116"/>
        <v>65000</v>
      </c>
      <c r="Y259" s="726">
        <f t="shared" si="117"/>
        <v>35000</v>
      </c>
      <c r="Z259" s="726">
        <f t="shared" si="118"/>
        <v>120000</v>
      </c>
      <c r="AA259" s="726">
        <f t="shared" si="110"/>
        <v>1220000</v>
      </c>
      <c r="AB259" s="726"/>
      <c r="AD259" s="726">
        <f t="shared" si="119"/>
        <v>305000</v>
      </c>
      <c r="AE259" s="723">
        <f t="shared" si="113"/>
        <v>30000</v>
      </c>
      <c r="AF259" s="726">
        <f t="shared" si="120"/>
        <v>8088.2352941176468</v>
      </c>
      <c r="AG259" s="725">
        <v>34</v>
      </c>
      <c r="AH259" s="726">
        <f>'[18]Fully Fitted Pricelist'!AA259-'[18]Fully Fitted Pricelist'!AD259</f>
        <v>915000</v>
      </c>
      <c r="AI259" s="723">
        <f t="shared" si="121"/>
        <v>0</v>
      </c>
      <c r="AJ259" s="726">
        <f t="shared" si="122"/>
        <v>1220000</v>
      </c>
      <c r="AU259" s="721"/>
    </row>
    <row r="260" spans="2:49" hidden="1" x14ac:dyDescent="0.2">
      <c r="B260" s="722">
        <v>120</v>
      </c>
      <c r="D260" s="722" t="str">
        <f t="shared" si="115"/>
        <v>B2</v>
      </c>
      <c r="E260" s="722" t="str">
        <f t="shared" si="114"/>
        <v>B2</v>
      </c>
      <c r="F260" s="722" t="s">
        <v>393</v>
      </c>
      <c r="L260" s="726">
        <f>'[18]Fully Fitted Pricelist'!$L$141</f>
        <v>1000000</v>
      </c>
      <c r="W260" s="726">
        <f t="shared" si="103"/>
        <v>1000000</v>
      </c>
      <c r="X260" s="726">
        <f t="shared" si="116"/>
        <v>65000</v>
      </c>
      <c r="Y260" s="726">
        <f t="shared" si="117"/>
        <v>35000</v>
      </c>
      <c r="Z260" s="726">
        <f t="shared" si="118"/>
        <v>120000</v>
      </c>
      <c r="AA260" s="726">
        <f t="shared" si="110"/>
        <v>1220000</v>
      </c>
      <c r="AB260" s="726"/>
      <c r="AD260" s="726">
        <f t="shared" si="119"/>
        <v>305000</v>
      </c>
      <c r="AE260" s="723">
        <f t="shared" si="113"/>
        <v>30000</v>
      </c>
      <c r="AF260" s="726">
        <f t="shared" si="120"/>
        <v>8088.2352941176468</v>
      </c>
      <c r="AG260" s="725">
        <v>34</v>
      </c>
      <c r="AH260" s="726">
        <f>'[18]Fully Fitted Pricelist'!AA260-'[18]Fully Fitted Pricelist'!AD260</f>
        <v>915000</v>
      </c>
      <c r="AI260" s="723">
        <f t="shared" si="121"/>
        <v>0</v>
      </c>
      <c r="AJ260" s="726">
        <f t="shared" si="122"/>
        <v>1220000</v>
      </c>
      <c r="AR260" s="721"/>
      <c r="AU260" s="721"/>
    </row>
    <row r="261" spans="2:49" hidden="1" x14ac:dyDescent="0.2">
      <c r="B261" s="722">
        <v>121</v>
      </c>
      <c r="D261" s="722" t="str">
        <f t="shared" si="115"/>
        <v>B2</v>
      </c>
      <c r="E261" s="722" t="str">
        <f t="shared" si="114"/>
        <v>B2</v>
      </c>
      <c r="F261" s="722" t="s">
        <v>394</v>
      </c>
      <c r="L261" s="726">
        <f>'[18]Fully Fitted Pricelist'!$L$141</f>
        <v>1000000</v>
      </c>
      <c r="W261" s="726">
        <f t="shared" si="103"/>
        <v>1000000</v>
      </c>
      <c r="X261" s="726">
        <f t="shared" si="116"/>
        <v>65000</v>
      </c>
      <c r="Y261" s="726">
        <f t="shared" si="117"/>
        <v>35000</v>
      </c>
      <c r="Z261" s="726">
        <f t="shared" si="118"/>
        <v>120000</v>
      </c>
      <c r="AA261" s="726">
        <f t="shared" si="110"/>
        <v>1220000</v>
      </c>
      <c r="AB261" s="726"/>
      <c r="AD261" s="726">
        <f t="shared" si="119"/>
        <v>305000</v>
      </c>
      <c r="AE261" s="723">
        <f t="shared" si="113"/>
        <v>30000</v>
      </c>
      <c r="AF261" s="726">
        <f t="shared" si="120"/>
        <v>8088.2352941176468</v>
      </c>
      <c r="AG261" s="725">
        <v>34</v>
      </c>
      <c r="AH261" s="726">
        <f>'[18]Fully Fitted Pricelist'!AA261-'[18]Fully Fitted Pricelist'!AD261</f>
        <v>915000</v>
      </c>
      <c r="AI261" s="723">
        <f t="shared" si="121"/>
        <v>0</v>
      </c>
      <c r="AJ261" s="726">
        <f t="shared" si="122"/>
        <v>1220000</v>
      </c>
      <c r="AR261" s="721"/>
      <c r="AU261" s="721"/>
    </row>
    <row r="262" spans="2:49" hidden="1" x14ac:dyDescent="0.2">
      <c r="B262" s="722">
        <v>122</v>
      </c>
      <c r="D262" s="722" t="str">
        <f t="shared" si="115"/>
        <v>B2</v>
      </c>
      <c r="E262" s="722" t="str">
        <f t="shared" si="114"/>
        <v>B2</v>
      </c>
      <c r="F262" s="722" t="s">
        <v>395</v>
      </c>
      <c r="L262" s="726">
        <f>'[18]Fully Fitted Pricelist'!$L$141</f>
        <v>1000000</v>
      </c>
      <c r="W262" s="726">
        <f t="shared" si="103"/>
        <v>1000000</v>
      </c>
      <c r="X262" s="726">
        <f t="shared" si="116"/>
        <v>65000</v>
      </c>
      <c r="Y262" s="726">
        <f t="shared" si="117"/>
        <v>35000</v>
      </c>
      <c r="Z262" s="726">
        <f t="shared" si="118"/>
        <v>120000</v>
      </c>
      <c r="AA262" s="726">
        <f t="shared" si="110"/>
        <v>1220000</v>
      </c>
      <c r="AB262" s="726"/>
      <c r="AD262" s="726">
        <f t="shared" si="119"/>
        <v>305000</v>
      </c>
      <c r="AE262" s="723">
        <f t="shared" si="113"/>
        <v>30000</v>
      </c>
      <c r="AF262" s="726">
        <f t="shared" si="120"/>
        <v>8333.3333333333339</v>
      </c>
      <c r="AG262" s="725">
        <v>33</v>
      </c>
      <c r="AH262" s="726">
        <f>'[18]Fully Fitted Pricelist'!AA262-'[18]Fully Fitted Pricelist'!AD262</f>
        <v>915000</v>
      </c>
      <c r="AI262" s="723">
        <f t="shared" si="121"/>
        <v>0</v>
      </c>
      <c r="AJ262" s="726">
        <f t="shared" si="122"/>
        <v>1220000</v>
      </c>
      <c r="AR262" s="721"/>
      <c r="AV262" s="721"/>
    </row>
    <row r="263" spans="2:49" hidden="1" x14ac:dyDescent="0.2">
      <c r="B263" s="722">
        <v>123</v>
      </c>
      <c r="D263" s="722" t="s">
        <v>370</v>
      </c>
      <c r="E263" s="722" t="s">
        <v>370</v>
      </c>
      <c r="F263" s="722" t="s">
        <v>396</v>
      </c>
      <c r="L263" s="726">
        <f>'[18]Fully Fitted Pricelist'!$L$141</f>
        <v>1000000</v>
      </c>
      <c r="W263" s="726">
        <f t="shared" si="103"/>
        <v>1000000</v>
      </c>
      <c r="X263" s="726">
        <f t="shared" si="116"/>
        <v>65000</v>
      </c>
      <c r="Y263" s="726">
        <f t="shared" si="117"/>
        <v>35000</v>
      </c>
      <c r="Z263" s="726">
        <f t="shared" si="118"/>
        <v>120000</v>
      </c>
      <c r="AA263" s="726">
        <f t="shared" si="110"/>
        <v>1220000</v>
      </c>
      <c r="AB263" s="726"/>
      <c r="AD263" s="726">
        <f t="shared" si="119"/>
        <v>305000</v>
      </c>
      <c r="AE263" s="723">
        <f t="shared" si="113"/>
        <v>30000</v>
      </c>
      <c r="AF263" s="726">
        <f t="shared" si="120"/>
        <v>8333.3333333333339</v>
      </c>
      <c r="AG263" s="725">
        <v>33</v>
      </c>
      <c r="AH263" s="726">
        <f>'[18]Fully Fitted Pricelist'!AA263-'[18]Fully Fitted Pricelist'!AD263</f>
        <v>915000</v>
      </c>
      <c r="AI263" s="723">
        <f t="shared" si="121"/>
        <v>0</v>
      </c>
      <c r="AJ263" s="726">
        <f t="shared" si="122"/>
        <v>1220000</v>
      </c>
      <c r="AR263" s="721"/>
      <c r="AV263" s="721"/>
    </row>
    <row r="264" spans="2:49" hidden="1" x14ac:dyDescent="0.2">
      <c r="B264" s="722">
        <v>124</v>
      </c>
      <c r="D264" s="722" t="s">
        <v>370</v>
      </c>
      <c r="E264" s="722" t="s">
        <v>370</v>
      </c>
      <c r="F264" s="722" t="s">
        <v>397</v>
      </c>
      <c r="L264" s="726">
        <f>'[18]Fully Fitted Pricelist'!$L$141</f>
        <v>1000000</v>
      </c>
      <c r="W264" s="726">
        <f t="shared" si="103"/>
        <v>1000000</v>
      </c>
      <c r="X264" s="726">
        <f t="shared" si="116"/>
        <v>65000</v>
      </c>
      <c r="Y264" s="726">
        <f t="shared" si="117"/>
        <v>35000</v>
      </c>
      <c r="Z264" s="726">
        <f t="shared" si="118"/>
        <v>120000</v>
      </c>
      <c r="AA264" s="726">
        <f t="shared" si="110"/>
        <v>1220000</v>
      </c>
      <c r="AB264" s="726"/>
      <c r="AD264" s="726">
        <f t="shared" si="119"/>
        <v>305000</v>
      </c>
      <c r="AE264" s="723">
        <f t="shared" si="113"/>
        <v>30000</v>
      </c>
      <c r="AF264" s="726">
        <f t="shared" si="120"/>
        <v>8333.3333333333339</v>
      </c>
      <c r="AG264" s="725">
        <v>33</v>
      </c>
      <c r="AH264" s="726">
        <f>'[18]Fully Fitted Pricelist'!AA264-'[18]Fully Fitted Pricelist'!AD264</f>
        <v>915000</v>
      </c>
      <c r="AI264" s="723">
        <f t="shared" si="121"/>
        <v>0</v>
      </c>
      <c r="AJ264" s="726">
        <f t="shared" si="122"/>
        <v>1220000</v>
      </c>
      <c r="AR264" s="721"/>
    </row>
    <row r="265" spans="2:49" hidden="1" x14ac:dyDescent="0.2">
      <c r="B265" s="722">
        <v>125</v>
      </c>
      <c r="D265" s="722" t="s">
        <v>370</v>
      </c>
      <c r="E265" s="722" t="s">
        <v>370</v>
      </c>
      <c r="F265" s="722" t="s">
        <v>398</v>
      </c>
      <c r="L265" s="726">
        <f>'[18]Fully Fitted Pricelist'!$L$141</f>
        <v>1000000</v>
      </c>
      <c r="W265" s="726">
        <f t="shared" si="103"/>
        <v>1000000</v>
      </c>
      <c r="X265" s="726">
        <f t="shared" si="116"/>
        <v>65000</v>
      </c>
      <c r="Y265" s="726">
        <f t="shared" si="117"/>
        <v>35000</v>
      </c>
      <c r="Z265" s="726">
        <f t="shared" si="118"/>
        <v>120000</v>
      </c>
      <c r="AA265" s="726">
        <f t="shared" si="110"/>
        <v>1220000</v>
      </c>
      <c r="AB265" s="726"/>
      <c r="AD265" s="726">
        <f t="shared" si="119"/>
        <v>305000</v>
      </c>
      <c r="AE265" s="723">
        <f t="shared" si="113"/>
        <v>30000</v>
      </c>
      <c r="AF265" s="726">
        <f t="shared" si="120"/>
        <v>8333.3333333333339</v>
      </c>
      <c r="AG265" s="725">
        <v>33</v>
      </c>
      <c r="AH265" s="726">
        <f>'[18]Fully Fitted Pricelist'!AA265-'[18]Fully Fitted Pricelist'!AD265</f>
        <v>915000</v>
      </c>
      <c r="AI265" s="723">
        <f t="shared" si="121"/>
        <v>0</v>
      </c>
      <c r="AJ265" s="726">
        <f t="shared" si="122"/>
        <v>1220000</v>
      </c>
      <c r="AR265" s="721"/>
    </row>
    <row r="266" spans="2:49" hidden="1" x14ac:dyDescent="0.2">
      <c r="B266" s="722">
        <v>126</v>
      </c>
      <c r="D266" s="722" t="s">
        <v>370</v>
      </c>
      <c r="E266" s="722" t="s">
        <v>370</v>
      </c>
      <c r="F266" s="722" t="s">
        <v>399</v>
      </c>
      <c r="L266" s="726">
        <f>'[18]Fully Fitted Pricelist'!$L$141</f>
        <v>1000000</v>
      </c>
      <c r="W266" s="726">
        <f t="shared" si="103"/>
        <v>1000000</v>
      </c>
      <c r="X266" s="726">
        <f t="shared" si="116"/>
        <v>65000</v>
      </c>
      <c r="Y266" s="726">
        <f t="shared" si="117"/>
        <v>35000</v>
      </c>
      <c r="Z266" s="726">
        <f t="shared" si="118"/>
        <v>120000</v>
      </c>
      <c r="AA266" s="726">
        <f t="shared" si="110"/>
        <v>1220000</v>
      </c>
      <c r="AB266" s="726"/>
      <c r="AD266" s="726">
        <f t="shared" si="119"/>
        <v>305000</v>
      </c>
      <c r="AE266" s="723">
        <f t="shared" si="113"/>
        <v>30000</v>
      </c>
      <c r="AF266" s="726">
        <f t="shared" si="120"/>
        <v>8333.3333333333339</v>
      </c>
      <c r="AG266" s="725">
        <v>33</v>
      </c>
      <c r="AH266" s="726">
        <f>'[18]Fully Fitted Pricelist'!AA266-'[18]Fully Fitted Pricelist'!AD266</f>
        <v>915000</v>
      </c>
      <c r="AI266" s="723">
        <f t="shared" si="121"/>
        <v>0</v>
      </c>
      <c r="AJ266" s="726">
        <f t="shared" si="122"/>
        <v>1220000</v>
      </c>
      <c r="AR266" s="721"/>
    </row>
    <row r="267" spans="2:49" hidden="1" x14ac:dyDescent="0.2">
      <c r="B267" s="722">
        <v>127</v>
      </c>
      <c r="D267" s="722" t="s">
        <v>370</v>
      </c>
      <c r="E267" s="722" t="s">
        <v>370</v>
      </c>
      <c r="F267" s="722" t="s">
        <v>400</v>
      </c>
      <c r="L267" s="726">
        <f>'[18]Fully Fitted Pricelist'!$L$141</f>
        <v>1000000</v>
      </c>
      <c r="W267" s="726">
        <f t="shared" si="103"/>
        <v>1000000</v>
      </c>
      <c r="X267" s="726">
        <f t="shared" si="116"/>
        <v>65000</v>
      </c>
      <c r="Y267" s="726">
        <f t="shared" si="117"/>
        <v>35000</v>
      </c>
      <c r="Z267" s="726">
        <f t="shared" si="118"/>
        <v>120000</v>
      </c>
      <c r="AA267" s="726">
        <f t="shared" si="110"/>
        <v>1220000</v>
      </c>
      <c r="AB267" s="726"/>
      <c r="AD267" s="726">
        <f t="shared" si="119"/>
        <v>305000</v>
      </c>
      <c r="AE267" s="723">
        <f t="shared" si="113"/>
        <v>30000</v>
      </c>
      <c r="AF267" s="726">
        <f t="shared" si="120"/>
        <v>8333.3333333333339</v>
      </c>
      <c r="AG267" s="725">
        <v>33</v>
      </c>
      <c r="AH267" s="726">
        <f>'[18]Fully Fitted Pricelist'!AA267-'[18]Fully Fitted Pricelist'!AD267</f>
        <v>915000</v>
      </c>
      <c r="AI267" s="723">
        <f t="shared" si="121"/>
        <v>0</v>
      </c>
      <c r="AJ267" s="726">
        <f t="shared" si="122"/>
        <v>1220000</v>
      </c>
      <c r="AR267" s="721"/>
    </row>
    <row r="268" spans="2:49" hidden="1" x14ac:dyDescent="0.2">
      <c r="B268" s="722">
        <v>128</v>
      </c>
      <c r="D268" s="722" t="s">
        <v>370</v>
      </c>
      <c r="E268" s="722" t="s">
        <v>370</v>
      </c>
      <c r="F268" s="722" t="s">
        <v>401</v>
      </c>
      <c r="L268" s="726">
        <f>'[18]Fully Fitted Pricelist'!$L$141</f>
        <v>1000000</v>
      </c>
      <c r="W268" s="726">
        <f t="shared" si="103"/>
        <v>1000000</v>
      </c>
      <c r="X268" s="726">
        <f t="shared" si="116"/>
        <v>65000</v>
      </c>
      <c r="Y268" s="726">
        <f t="shared" si="117"/>
        <v>35000</v>
      </c>
      <c r="Z268" s="726">
        <f t="shared" si="118"/>
        <v>120000</v>
      </c>
      <c r="AA268" s="726">
        <f t="shared" si="110"/>
        <v>1220000</v>
      </c>
      <c r="AB268" s="726"/>
      <c r="AD268" s="726">
        <f t="shared" si="119"/>
        <v>305000</v>
      </c>
      <c r="AE268" s="723">
        <f t="shared" si="113"/>
        <v>30000</v>
      </c>
      <c r="AF268" s="726">
        <f t="shared" si="120"/>
        <v>8333.3333333333339</v>
      </c>
      <c r="AG268" s="725">
        <v>33</v>
      </c>
      <c r="AH268" s="726">
        <f>'[18]Fully Fitted Pricelist'!AA268-'[18]Fully Fitted Pricelist'!AD268</f>
        <v>915000</v>
      </c>
      <c r="AI268" s="723">
        <f t="shared" si="121"/>
        <v>0</v>
      </c>
      <c r="AJ268" s="726">
        <f t="shared" si="122"/>
        <v>1220000</v>
      </c>
      <c r="AR268" s="721"/>
    </row>
    <row r="269" spans="2:49" hidden="1" x14ac:dyDescent="0.2">
      <c r="B269" s="722">
        <v>129</v>
      </c>
      <c r="D269" s="722" t="s">
        <v>370</v>
      </c>
      <c r="E269" s="722" t="s">
        <v>370</v>
      </c>
      <c r="F269" s="722" t="s">
        <v>402</v>
      </c>
      <c r="L269" s="726">
        <f>'[18]Fully Fitted Pricelist'!$L$141</f>
        <v>1000000</v>
      </c>
      <c r="W269" s="726">
        <f t="shared" ref="W269:W295" si="123">L269-M269</f>
        <v>1000000</v>
      </c>
      <c r="X269" s="726">
        <f t="shared" si="116"/>
        <v>65000</v>
      </c>
      <c r="Y269" s="726">
        <f t="shared" si="117"/>
        <v>35000</v>
      </c>
      <c r="Z269" s="726">
        <f t="shared" si="118"/>
        <v>120000</v>
      </c>
      <c r="AA269" s="726">
        <f t="shared" si="110"/>
        <v>1220000</v>
      </c>
      <c r="AB269" s="726"/>
      <c r="AD269" s="726">
        <f t="shared" si="119"/>
        <v>305000</v>
      </c>
      <c r="AE269" s="723">
        <f t="shared" si="113"/>
        <v>30000</v>
      </c>
      <c r="AF269" s="726">
        <f t="shared" si="120"/>
        <v>8333.3333333333339</v>
      </c>
      <c r="AG269" s="725">
        <v>33</v>
      </c>
      <c r="AH269" s="726">
        <f>'[18]Fully Fitted Pricelist'!AA269-'[18]Fully Fitted Pricelist'!AD269</f>
        <v>915000</v>
      </c>
      <c r="AI269" s="723">
        <f t="shared" si="121"/>
        <v>0</v>
      </c>
      <c r="AJ269" s="726">
        <f t="shared" si="122"/>
        <v>1220000</v>
      </c>
      <c r="AR269" s="721"/>
    </row>
    <row r="270" spans="2:49" hidden="1" x14ac:dyDescent="0.2">
      <c r="B270" s="722">
        <v>130</v>
      </c>
      <c r="D270" s="722" t="s">
        <v>403</v>
      </c>
      <c r="E270" s="722" t="s">
        <v>403</v>
      </c>
      <c r="F270" s="722" t="s">
        <v>404</v>
      </c>
      <c r="L270" s="726">
        <f>'[18]Fully Fitted Pricelist'!$L$141</f>
        <v>1000000</v>
      </c>
      <c r="W270" s="726">
        <f t="shared" si="123"/>
        <v>1000000</v>
      </c>
      <c r="X270" s="726">
        <f t="shared" si="116"/>
        <v>65000</v>
      </c>
      <c r="Y270" s="726">
        <f t="shared" si="117"/>
        <v>35000</v>
      </c>
      <c r="Z270" s="726">
        <f t="shared" si="118"/>
        <v>120000</v>
      </c>
      <c r="AA270" s="726">
        <f t="shared" si="110"/>
        <v>1220000</v>
      </c>
      <c r="AB270" s="726"/>
      <c r="AD270" s="726">
        <f t="shared" si="119"/>
        <v>305000</v>
      </c>
      <c r="AE270" s="723">
        <f>'[19]Package Breakdown'!U27</f>
        <v>30000</v>
      </c>
      <c r="AF270" s="726">
        <f t="shared" si="120"/>
        <v>8333.3333333333339</v>
      </c>
      <c r="AG270" s="725">
        <v>33</v>
      </c>
      <c r="AH270" s="726">
        <f>'[18]Fully Fitted Pricelist'!AA270-'[18]Fully Fitted Pricelist'!AD270</f>
        <v>915000</v>
      </c>
      <c r="AI270" s="723">
        <f t="shared" si="121"/>
        <v>0</v>
      </c>
      <c r="AJ270" s="726">
        <f t="shared" si="122"/>
        <v>1220000</v>
      </c>
      <c r="AV270" s="721"/>
    </row>
    <row r="271" spans="2:49" hidden="1" x14ac:dyDescent="0.2">
      <c r="B271" s="722">
        <v>131</v>
      </c>
      <c r="D271" s="722" t="s">
        <v>403</v>
      </c>
      <c r="E271" s="722" t="s">
        <v>403</v>
      </c>
      <c r="F271" s="722" t="s">
        <v>405</v>
      </c>
      <c r="L271" s="726">
        <f>'[18]Fully Fitted Pricelist'!$L$141</f>
        <v>1000000</v>
      </c>
      <c r="W271" s="726">
        <f t="shared" si="123"/>
        <v>1000000</v>
      </c>
      <c r="X271" s="726">
        <f t="shared" si="116"/>
        <v>65000</v>
      </c>
      <c r="Y271" s="726">
        <f t="shared" si="117"/>
        <v>35000</v>
      </c>
      <c r="Z271" s="726">
        <f t="shared" si="118"/>
        <v>120000</v>
      </c>
      <c r="AA271" s="726">
        <f t="shared" si="110"/>
        <v>1220000</v>
      </c>
      <c r="AB271" s="726"/>
      <c r="AD271" s="726">
        <f t="shared" si="119"/>
        <v>305000</v>
      </c>
      <c r="AE271" s="723">
        <f t="shared" si="113"/>
        <v>30000</v>
      </c>
      <c r="AF271" s="726">
        <f t="shared" si="120"/>
        <v>8333.3333333333339</v>
      </c>
      <c r="AG271" s="725">
        <v>33</v>
      </c>
      <c r="AH271" s="726">
        <f>'[18]Fully Fitted Pricelist'!AA271-'[18]Fully Fitted Pricelist'!AD271</f>
        <v>915000</v>
      </c>
      <c r="AI271" s="723">
        <f t="shared" si="121"/>
        <v>0</v>
      </c>
      <c r="AJ271" s="726">
        <f t="shared" si="122"/>
        <v>1220000</v>
      </c>
      <c r="AV271" s="721"/>
    </row>
    <row r="272" spans="2:49" hidden="1" x14ac:dyDescent="0.2">
      <c r="B272" s="722">
        <v>132</v>
      </c>
      <c r="D272" s="722" t="s">
        <v>403</v>
      </c>
      <c r="E272" s="722" t="s">
        <v>403</v>
      </c>
      <c r="F272" s="722" t="s">
        <v>406</v>
      </c>
      <c r="L272" s="726">
        <f>'[18]Fully Fitted Pricelist'!$L$141</f>
        <v>1000000</v>
      </c>
      <c r="W272" s="726">
        <f t="shared" si="123"/>
        <v>1000000</v>
      </c>
      <c r="X272" s="726">
        <f t="shared" si="116"/>
        <v>65000</v>
      </c>
      <c r="Y272" s="726">
        <f t="shared" si="117"/>
        <v>35000</v>
      </c>
      <c r="Z272" s="726">
        <f t="shared" si="118"/>
        <v>120000</v>
      </c>
      <c r="AA272" s="726">
        <f t="shared" si="110"/>
        <v>1220000</v>
      </c>
      <c r="AB272" s="726"/>
      <c r="AD272" s="726">
        <f t="shared" si="119"/>
        <v>305000</v>
      </c>
      <c r="AE272" s="723">
        <f t="shared" si="113"/>
        <v>30000</v>
      </c>
      <c r="AF272" s="726">
        <f t="shared" si="120"/>
        <v>8593.75</v>
      </c>
      <c r="AG272" s="725">
        <v>32</v>
      </c>
      <c r="AH272" s="726">
        <f>'[18]Fully Fitted Pricelist'!AA272-'[18]Fully Fitted Pricelist'!AD272</f>
        <v>915000</v>
      </c>
      <c r="AI272" s="723">
        <f t="shared" si="121"/>
        <v>0</v>
      </c>
      <c r="AJ272" s="726">
        <f t="shared" si="122"/>
        <v>1220000</v>
      </c>
      <c r="AU272" s="729"/>
      <c r="AV272" s="721"/>
      <c r="AW272" s="721"/>
    </row>
    <row r="273" spans="2:50" hidden="1" x14ac:dyDescent="0.2">
      <c r="B273" s="722">
        <v>133</v>
      </c>
      <c r="D273" s="722" t="s">
        <v>403</v>
      </c>
      <c r="E273" s="722" t="s">
        <v>403</v>
      </c>
      <c r="F273" s="722" t="s">
        <v>407</v>
      </c>
      <c r="L273" s="726">
        <f>'[18]Fully Fitted Pricelist'!$L$141</f>
        <v>1000000</v>
      </c>
      <c r="W273" s="726">
        <f t="shared" si="123"/>
        <v>1000000</v>
      </c>
      <c r="X273" s="726">
        <f t="shared" si="116"/>
        <v>65000</v>
      </c>
      <c r="Y273" s="726">
        <f t="shared" si="117"/>
        <v>35000</v>
      </c>
      <c r="Z273" s="726">
        <f t="shared" si="118"/>
        <v>120000</v>
      </c>
      <c r="AA273" s="726">
        <f t="shared" si="110"/>
        <v>1220000</v>
      </c>
      <c r="AB273" s="726"/>
      <c r="AD273" s="726">
        <f t="shared" si="119"/>
        <v>305000</v>
      </c>
      <c r="AE273" s="723">
        <f t="shared" si="113"/>
        <v>30000</v>
      </c>
      <c r="AF273" s="726">
        <f t="shared" si="120"/>
        <v>8593.75</v>
      </c>
      <c r="AG273" s="725">
        <v>32</v>
      </c>
      <c r="AH273" s="726">
        <f>'[18]Fully Fitted Pricelist'!AA273-'[18]Fully Fitted Pricelist'!AD273</f>
        <v>915000</v>
      </c>
      <c r="AI273" s="723">
        <f t="shared" si="121"/>
        <v>0</v>
      </c>
      <c r="AJ273" s="726">
        <f t="shared" si="122"/>
        <v>1220000</v>
      </c>
      <c r="AU273" s="729"/>
      <c r="AV273" s="721"/>
    </row>
    <row r="274" spans="2:50" hidden="1" x14ac:dyDescent="0.2">
      <c r="B274" s="722">
        <v>134</v>
      </c>
      <c r="D274" s="722" t="s">
        <v>403</v>
      </c>
      <c r="E274" s="722" t="s">
        <v>403</v>
      </c>
      <c r="F274" s="722" t="s">
        <v>408</v>
      </c>
      <c r="L274" s="726">
        <f>'[18]Fully Fitted Pricelist'!$L$141</f>
        <v>1000000</v>
      </c>
      <c r="W274" s="726">
        <f t="shared" si="123"/>
        <v>1000000</v>
      </c>
      <c r="X274" s="726">
        <f t="shared" si="116"/>
        <v>65000</v>
      </c>
      <c r="Y274" s="726">
        <f t="shared" si="117"/>
        <v>35000</v>
      </c>
      <c r="Z274" s="726">
        <f t="shared" si="118"/>
        <v>120000</v>
      </c>
      <c r="AA274" s="726">
        <f t="shared" si="110"/>
        <v>1220000</v>
      </c>
      <c r="AB274" s="726"/>
      <c r="AD274" s="726">
        <f t="shared" si="119"/>
        <v>305000</v>
      </c>
      <c r="AE274" s="723">
        <f t="shared" si="113"/>
        <v>30000</v>
      </c>
      <c r="AF274" s="726">
        <f t="shared" si="120"/>
        <v>8593.75</v>
      </c>
      <c r="AG274" s="725">
        <v>32</v>
      </c>
      <c r="AH274" s="726">
        <f>'[18]Fully Fitted Pricelist'!AA274-'[18]Fully Fitted Pricelist'!AD274</f>
        <v>915000</v>
      </c>
      <c r="AI274" s="723">
        <f t="shared" si="121"/>
        <v>0</v>
      </c>
      <c r="AJ274" s="726">
        <f t="shared" si="122"/>
        <v>1220000</v>
      </c>
      <c r="AU274" s="729"/>
      <c r="AV274" s="721"/>
    </row>
    <row r="275" spans="2:50" hidden="1" x14ac:dyDescent="0.2">
      <c r="B275" s="722">
        <v>135</v>
      </c>
      <c r="D275" s="722" t="s">
        <v>403</v>
      </c>
      <c r="E275" s="722" t="s">
        <v>403</v>
      </c>
      <c r="F275" s="722" t="s">
        <v>409</v>
      </c>
      <c r="L275" s="726">
        <f>'[18]Fully Fitted Pricelist'!$L$141</f>
        <v>1000000</v>
      </c>
      <c r="W275" s="726">
        <f t="shared" si="123"/>
        <v>1000000</v>
      </c>
      <c r="X275" s="726">
        <f t="shared" si="116"/>
        <v>65000</v>
      </c>
      <c r="Y275" s="726">
        <f t="shared" si="117"/>
        <v>35000</v>
      </c>
      <c r="Z275" s="726">
        <f t="shared" si="118"/>
        <v>120000</v>
      </c>
      <c r="AA275" s="726">
        <f t="shared" si="110"/>
        <v>1220000</v>
      </c>
      <c r="AB275" s="726"/>
      <c r="AD275" s="726">
        <f t="shared" si="119"/>
        <v>305000</v>
      </c>
      <c r="AE275" s="723">
        <f t="shared" si="113"/>
        <v>30000</v>
      </c>
      <c r="AF275" s="726">
        <f t="shared" si="120"/>
        <v>8593.75</v>
      </c>
      <c r="AG275" s="725">
        <v>32</v>
      </c>
      <c r="AH275" s="726">
        <f>'[18]Fully Fitted Pricelist'!AA275-'[18]Fully Fitted Pricelist'!AD275</f>
        <v>915000</v>
      </c>
      <c r="AI275" s="723">
        <f t="shared" si="121"/>
        <v>0</v>
      </c>
      <c r="AJ275" s="726">
        <f t="shared" si="122"/>
        <v>1220000</v>
      </c>
      <c r="AU275" s="729"/>
      <c r="AV275" s="721"/>
    </row>
    <row r="276" spans="2:50" hidden="1" x14ac:dyDescent="0.2">
      <c r="B276" s="722">
        <v>136</v>
      </c>
      <c r="D276" s="722" t="s">
        <v>403</v>
      </c>
      <c r="E276" s="722" t="s">
        <v>403</v>
      </c>
      <c r="F276" s="722" t="s">
        <v>410</v>
      </c>
      <c r="L276" s="726">
        <f>'[18]Fully Fitted Pricelist'!$L$141</f>
        <v>1000000</v>
      </c>
      <c r="W276" s="726">
        <f t="shared" si="123"/>
        <v>1000000</v>
      </c>
      <c r="X276" s="726">
        <f t="shared" si="116"/>
        <v>65000</v>
      </c>
      <c r="Y276" s="726">
        <f t="shared" si="117"/>
        <v>35000</v>
      </c>
      <c r="Z276" s="726">
        <f t="shared" si="118"/>
        <v>120000</v>
      </c>
      <c r="AA276" s="726">
        <f t="shared" si="110"/>
        <v>1220000</v>
      </c>
      <c r="AB276" s="726"/>
      <c r="AD276" s="726">
        <f t="shared" si="119"/>
        <v>305000</v>
      </c>
      <c r="AE276" s="723">
        <f t="shared" si="113"/>
        <v>30000</v>
      </c>
      <c r="AF276" s="726">
        <f t="shared" si="120"/>
        <v>8593.75</v>
      </c>
      <c r="AG276" s="725">
        <v>32</v>
      </c>
      <c r="AH276" s="726">
        <f>'[18]Fully Fitted Pricelist'!AA276-'[18]Fully Fitted Pricelist'!AD276</f>
        <v>915000</v>
      </c>
      <c r="AI276" s="723">
        <f t="shared" si="121"/>
        <v>0</v>
      </c>
      <c r="AJ276" s="726">
        <f t="shared" si="122"/>
        <v>1220000</v>
      </c>
      <c r="AU276" s="729"/>
      <c r="AW276" s="721"/>
    </row>
    <row r="277" spans="2:50" hidden="1" x14ac:dyDescent="0.2">
      <c r="B277" s="722">
        <v>137</v>
      </c>
      <c r="D277" s="722" t="s">
        <v>403</v>
      </c>
      <c r="E277" s="722" t="s">
        <v>403</v>
      </c>
      <c r="F277" s="722" t="s">
        <v>411</v>
      </c>
      <c r="L277" s="726">
        <f>'[18]Fully Fitted Pricelist'!$L$141</f>
        <v>1000000</v>
      </c>
      <c r="W277" s="726">
        <f t="shared" si="123"/>
        <v>1000000</v>
      </c>
      <c r="X277" s="726">
        <f t="shared" si="116"/>
        <v>65000</v>
      </c>
      <c r="Y277" s="726">
        <f t="shared" si="117"/>
        <v>35000</v>
      </c>
      <c r="Z277" s="726">
        <f t="shared" si="118"/>
        <v>120000</v>
      </c>
      <c r="AA277" s="726">
        <f t="shared" si="110"/>
        <v>1220000</v>
      </c>
      <c r="AB277" s="726"/>
      <c r="AD277" s="726">
        <f t="shared" si="119"/>
        <v>305000</v>
      </c>
      <c r="AE277" s="723">
        <f t="shared" si="113"/>
        <v>30000</v>
      </c>
      <c r="AF277" s="726">
        <f t="shared" si="120"/>
        <v>8593.75</v>
      </c>
      <c r="AG277" s="725">
        <v>32</v>
      </c>
      <c r="AH277" s="726">
        <f>'[18]Fully Fitted Pricelist'!AA277-'[18]Fully Fitted Pricelist'!AD277</f>
        <v>915000</v>
      </c>
      <c r="AI277" s="723">
        <f t="shared" si="121"/>
        <v>0</v>
      </c>
      <c r="AJ277" s="726">
        <f t="shared" si="122"/>
        <v>1220000</v>
      </c>
      <c r="AU277" s="729"/>
      <c r="AW277" s="721"/>
    </row>
    <row r="278" spans="2:50" hidden="1" x14ac:dyDescent="0.2">
      <c r="B278" s="722">
        <v>138</v>
      </c>
      <c r="D278" s="722" t="s">
        <v>403</v>
      </c>
      <c r="E278" s="722" t="s">
        <v>403</v>
      </c>
      <c r="F278" s="722" t="s">
        <v>412</v>
      </c>
      <c r="L278" s="726">
        <f>'[18]Fully Fitted Pricelist'!$L$141</f>
        <v>1000000</v>
      </c>
      <c r="W278" s="726">
        <f t="shared" si="123"/>
        <v>1000000</v>
      </c>
      <c r="X278" s="726">
        <f t="shared" si="116"/>
        <v>65000</v>
      </c>
      <c r="Y278" s="726">
        <f t="shared" si="117"/>
        <v>35000</v>
      </c>
      <c r="Z278" s="726">
        <f t="shared" si="118"/>
        <v>120000</v>
      </c>
      <c r="AA278" s="726">
        <f t="shared" si="110"/>
        <v>1220000</v>
      </c>
      <c r="AB278" s="726"/>
      <c r="AD278" s="726">
        <f t="shared" si="119"/>
        <v>305000</v>
      </c>
      <c r="AE278" s="723">
        <f t="shared" si="113"/>
        <v>30000</v>
      </c>
      <c r="AF278" s="726">
        <f t="shared" si="120"/>
        <v>8593.75</v>
      </c>
      <c r="AG278" s="725">
        <v>32</v>
      </c>
      <c r="AH278" s="726">
        <f>'[18]Fully Fitted Pricelist'!AA278-'[18]Fully Fitted Pricelist'!AD278</f>
        <v>915000</v>
      </c>
      <c r="AI278" s="723">
        <f t="shared" si="121"/>
        <v>0</v>
      </c>
      <c r="AJ278" s="726">
        <f t="shared" si="122"/>
        <v>1220000</v>
      </c>
      <c r="AW278" s="721"/>
    </row>
    <row r="279" spans="2:50" hidden="1" x14ac:dyDescent="0.2">
      <c r="B279" s="722">
        <v>139</v>
      </c>
      <c r="D279" s="722" t="s">
        <v>403</v>
      </c>
      <c r="E279" s="722" t="s">
        <v>403</v>
      </c>
      <c r="F279" s="722" t="s">
        <v>413</v>
      </c>
      <c r="L279" s="726">
        <f>'[18]Fully Fitted Pricelist'!$L$141</f>
        <v>1000000</v>
      </c>
      <c r="W279" s="726">
        <f t="shared" si="123"/>
        <v>1000000</v>
      </c>
      <c r="X279" s="726">
        <f t="shared" si="116"/>
        <v>65000</v>
      </c>
      <c r="Y279" s="726">
        <f t="shared" si="117"/>
        <v>35000</v>
      </c>
      <c r="Z279" s="726">
        <f t="shared" si="118"/>
        <v>120000</v>
      </c>
      <c r="AA279" s="726">
        <f t="shared" si="110"/>
        <v>1220000</v>
      </c>
      <c r="AB279" s="726"/>
      <c r="AD279" s="726">
        <f t="shared" si="119"/>
        <v>305000</v>
      </c>
      <c r="AE279" s="723">
        <f t="shared" si="113"/>
        <v>30000</v>
      </c>
      <c r="AF279" s="726">
        <f t="shared" si="120"/>
        <v>8593.75</v>
      </c>
      <c r="AG279" s="725">
        <v>32</v>
      </c>
      <c r="AH279" s="726">
        <f>'[18]Fully Fitted Pricelist'!AA279-'[18]Fully Fitted Pricelist'!AD279</f>
        <v>915000</v>
      </c>
      <c r="AI279" s="723">
        <f t="shared" si="121"/>
        <v>0</v>
      </c>
      <c r="AJ279" s="726">
        <f t="shared" si="122"/>
        <v>1220000</v>
      </c>
      <c r="AW279" s="721"/>
    </row>
    <row r="280" spans="2:50" hidden="1" x14ac:dyDescent="0.2">
      <c r="B280" s="722">
        <v>140</v>
      </c>
      <c r="D280" s="722" t="s">
        <v>403</v>
      </c>
      <c r="E280" s="722" t="s">
        <v>403</v>
      </c>
      <c r="F280" s="722" t="s">
        <v>414</v>
      </c>
      <c r="L280" s="726">
        <f>'[18]Fully Fitted Pricelist'!$L$141</f>
        <v>1000000</v>
      </c>
      <c r="W280" s="726">
        <f t="shared" si="123"/>
        <v>1000000</v>
      </c>
      <c r="X280" s="726">
        <f t="shared" si="116"/>
        <v>65000</v>
      </c>
      <c r="Y280" s="726">
        <f t="shared" si="117"/>
        <v>35000</v>
      </c>
      <c r="Z280" s="726">
        <f t="shared" si="118"/>
        <v>120000</v>
      </c>
      <c r="AA280" s="726">
        <f t="shared" si="110"/>
        <v>1220000</v>
      </c>
      <c r="AB280" s="726"/>
      <c r="AD280" s="726">
        <f t="shared" si="119"/>
        <v>305000</v>
      </c>
      <c r="AE280" s="723">
        <f t="shared" si="113"/>
        <v>30000</v>
      </c>
      <c r="AF280" s="726">
        <f t="shared" si="120"/>
        <v>8593.75</v>
      </c>
      <c r="AG280" s="725">
        <v>32</v>
      </c>
      <c r="AH280" s="726">
        <f>'[18]Fully Fitted Pricelist'!AA280-'[18]Fully Fitted Pricelist'!AD280</f>
        <v>915000</v>
      </c>
      <c r="AI280" s="723">
        <f t="shared" si="121"/>
        <v>0</v>
      </c>
      <c r="AJ280" s="726">
        <f t="shared" si="122"/>
        <v>1220000</v>
      </c>
      <c r="AW280" s="721"/>
    </row>
    <row r="281" spans="2:50" hidden="1" x14ac:dyDescent="0.2">
      <c r="B281" s="722">
        <v>141</v>
      </c>
      <c r="D281" s="722" t="s">
        <v>403</v>
      </c>
      <c r="E281" s="722" t="s">
        <v>403</v>
      </c>
      <c r="F281" s="722" t="s">
        <v>415</v>
      </c>
      <c r="L281" s="726">
        <f>'[18]Fully Fitted Pricelist'!$L$141</f>
        <v>1000000</v>
      </c>
      <c r="W281" s="726">
        <f t="shared" si="123"/>
        <v>1000000</v>
      </c>
      <c r="X281" s="726">
        <f t="shared" si="116"/>
        <v>65000</v>
      </c>
      <c r="Y281" s="726">
        <f t="shared" si="117"/>
        <v>35000</v>
      </c>
      <c r="Z281" s="726">
        <f t="shared" si="118"/>
        <v>120000</v>
      </c>
      <c r="AA281" s="726">
        <f t="shared" si="110"/>
        <v>1220000</v>
      </c>
      <c r="AB281" s="726"/>
      <c r="AD281" s="726">
        <f t="shared" si="119"/>
        <v>305000</v>
      </c>
      <c r="AE281" s="723">
        <f t="shared" si="113"/>
        <v>30000</v>
      </c>
      <c r="AF281" s="726">
        <f t="shared" si="120"/>
        <v>8870.967741935483</v>
      </c>
      <c r="AG281" s="725">
        <v>31</v>
      </c>
      <c r="AH281" s="726">
        <f>'[18]Fully Fitted Pricelist'!AA281-'[18]Fully Fitted Pricelist'!AD281</f>
        <v>915000</v>
      </c>
      <c r="AI281" s="723">
        <f t="shared" si="121"/>
        <v>0</v>
      </c>
      <c r="AJ281" s="726">
        <f t="shared" si="122"/>
        <v>1220000</v>
      </c>
      <c r="AW281" s="721"/>
      <c r="AX281" s="721"/>
    </row>
    <row r="282" spans="2:50" hidden="1" x14ac:dyDescent="0.2">
      <c r="B282" s="722">
        <v>142</v>
      </c>
      <c r="D282" s="722" t="s">
        <v>403</v>
      </c>
      <c r="E282" s="722" t="s">
        <v>403</v>
      </c>
      <c r="F282" s="722" t="s">
        <v>416</v>
      </c>
      <c r="L282" s="726">
        <f>'[18]Fully Fitted Pricelist'!$L$141</f>
        <v>1000000</v>
      </c>
      <c r="W282" s="726">
        <f t="shared" si="123"/>
        <v>1000000</v>
      </c>
      <c r="X282" s="726">
        <f t="shared" si="116"/>
        <v>65000</v>
      </c>
      <c r="Y282" s="726">
        <f t="shared" si="117"/>
        <v>35000</v>
      </c>
      <c r="Z282" s="726">
        <f t="shared" si="118"/>
        <v>120000</v>
      </c>
      <c r="AA282" s="726">
        <f t="shared" si="110"/>
        <v>1220000</v>
      </c>
      <c r="AB282" s="726"/>
      <c r="AD282" s="726">
        <f t="shared" si="119"/>
        <v>305000</v>
      </c>
      <c r="AE282" s="723">
        <f>'[19]Package Breakdown'!U27</f>
        <v>30000</v>
      </c>
      <c r="AF282" s="726">
        <f t="shared" si="120"/>
        <v>8870.967741935483</v>
      </c>
      <c r="AG282" s="725">
        <v>31</v>
      </c>
      <c r="AH282" s="726">
        <f>'[18]Fully Fitted Pricelist'!AA282-'[18]Fully Fitted Pricelist'!AD282</f>
        <v>915000</v>
      </c>
      <c r="AI282" s="723">
        <f t="shared" si="121"/>
        <v>0</v>
      </c>
      <c r="AJ282" s="726">
        <f t="shared" si="122"/>
        <v>1220000</v>
      </c>
      <c r="AW282" s="721"/>
      <c r="AX282" s="721"/>
    </row>
    <row r="283" spans="2:50" hidden="1" x14ac:dyDescent="0.2">
      <c r="B283" s="722">
        <v>143</v>
      </c>
      <c r="D283" s="722" t="s">
        <v>403</v>
      </c>
      <c r="E283" s="722" t="s">
        <v>403</v>
      </c>
      <c r="F283" s="722" t="s">
        <v>417</v>
      </c>
      <c r="L283" s="726">
        <f>'[18]Fully Fitted Pricelist'!$L$141</f>
        <v>1000000</v>
      </c>
      <c r="W283" s="726">
        <f t="shared" si="123"/>
        <v>1000000</v>
      </c>
      <c r="X283" s="726">
        <f t="shared" si="116"/>
        <v>65000</v>
      </c>
      <c r="Y283" s="726">
        <f t="shared" si="117"/>
        <v>35000</v>
      </c>
      <c r="Z283" s="726">
        <f t="shared" si="118"/>
        <v>120000</v>
      </c>
      <c r="AA283" s="726">
        <f t="shared" si="110"/>
        <v>1220000</v>
      </c>
      <c r="AB283" s="726"/>
      <c r="AD283" s="726">
        <f t="shared" si="119"/>
        <v>305000</v>
      </c>
      <c r="AE283" s="723">
        <v>30000</v>
      </c>
      <c r="AF283" s="726">
        <f t="shared" si="120"/>
        <v>8870.967741935483</v>
      </c>
      <c r="AG283" s="725">
        <v>31</v>
      </c>
      <c r="AH283" s="726">
        <f>'[18]Fully Fitted Pricelist'!AA283-'[18]Fully Fitted Pricelist'!AD283</f>
        <v>915000</v>
      </c>
      <c r="AI283" s="723">
        <f t="shared" si="121"/>
        <v>0</v>
      </c>
      <c r="AJ283" s="726">
        <f t="shared" si="122"/>
        <v>1220000</v>
      </c>
      <c r="AX283" s="721"/>
    </row>
    <row r="284" spans="2:50" hidden="1" x14ac:dyDescent="0.2">
      <c r="B284" s="722">
        <v>144</v>
      </c>
      <c r="D284" s="722" t="s">
        <v>403</v>
      </c>
      <c r="E284" s="722" t="s">
        <v>403</v>
      </c>
      <c r="F284" s="722" t="s">
        <v>418</v>
      </c>
      <c r="L284" s="726">
        <f>'[18]Fully Fitted Pricelist'!$L$141</f>
        <v>1000000</v>
      </c>
      <c r="W284" s="726">
        <f t="shared" si="123"/>
        <v>1000000</v>
      </c>
      <c r="X284" s="726">
        <f t="shared" si="116"/>
        <v>65000</v>
      </c>
      <c r="Y284" s="726">
        <f t="shared" si="117"/>
        <v>35000</v>
      </c>
      <c r="Z284" s="726">
        <f t="shared" si="118"/>
        <v>120000</v>
      </c>
      <c r="AA284" s="726">
        <f t="shared" si="110"/>
        <v>1220000</v>
      </c>
      <c r="AB284" s="726"/>
      <c r="AD284" s="726">
        <f t="shared" si="119"/>
        <v>305000</v>
      </c>
      <c r="AE284" s="723">
        <v>30000</v>
      </c>
      <c r="AF284" s="726">
        <f t="shared" si="120"/>
        <v>8870.967741935483</v>
      </c>
      <c r="AG284" s="725">
        <v>31</v>
      </c>
      <c r="AH284" s="726">
        <f>'[18]Fully Fitted Pricelist'!AA284-'[18]Fully Fitted Pricelist'!AD284</f>
        <v>915000</v>
      </c>
      <c r="AI284" s="723">
        <f t="shared" si="121"/>
        <v>0</v>
      </c>
      <c r="AJ284" s="726">
        <f t="shared" si="122"/>
        <v>1220000</v>
      </c>
    </row>
    <row r="285" spans="2:50" hidden="1" x14ac:dyDescent="0.2">
      <c r="B285" s="722">
        <v>145</v>
      </c>
      <c r="D285" s="722" t="s">
        <v>403</v>
      </c>
      <c r="E285" s="722" t="s">
        <v>403</v>
      </c>
      <c r="F285" s="722" t="s">
        <v>419</v>
      </c>
      <c r="L285" s="726">
        <f>'[18]Fully Fitted Pricelist'!$L$141</f>
        <v>1000000</v>
      </c>
      <c r="W285" s="726">
        <f t="shared" si="123"/>
        <v>1000000</v>
      </c>
      <c r="X285" s="726">
        <f t="shared" si="116"/>
        <v>65000</v>
      </c>
      <c r="Y285" s="726">
        <f t="shared" si="117"/>
        <v>35000</v>
      </c>
      <c r="Z285" s="726">
        <f t="shared" si="118"/>
        <v>120000</v>
      </c>
      <c r="AA285" s="726">
        <f t="shared" si="110"/>
        <v>1220000</v>
      </c>
      <c r="AB285" s="726"/>
      <c r="AD285" s="726">
        <f t="shared" si="119"/>
        <v>305000</v>
      </c>
      <c r="AE285" s="723">
        <v>30000</v>
      </c>
      <c r="AF285" s="726">
        <f t="shared" si="120"/>
        <v>8870.967741935483</v>
      </c>
      <c r="AG285" s="725">
        <v>31</v>
      </c>
      <c r="AH285" s="726">
        <f>'[18]Fully Fitted Pricelist'!AA285-'[18]Fully Fitted Pricelist'!AD285</f>
        <v>915000</v>
      </c>
      <c r="AI285" s="723">
        <f t="shared" si="121"/>
        <v>0</v>
      </c>
      <c r="AJ285" s="726">
        <f t="shared" si="122"/>
        <v>1220000</v>
      </c>
    </row>
    <row r="286" spans="2:50" hidden="1" x14ac:dyDescent="0.2">
      <c r="B286" s="722">
        <v>146</v>
      </c>
      <c r="D286" s="722" t="s">
        <v>403</v>
      </c>
      <c r="E286" s="722" t="s">
        <v>403</v>
      </c>
      <c r="F286" s="722" t="s">
        <v>420</v>
      </c>
      <c r="L286" s="726">
        <f>'[18]Fully Fitted Pricelist'!$L$141</f>
        <v>1000000</v>
      </c>
      <c r="W286" s="726">
        <f t="shared" si="123"/>
        <v>1000000</v>
      </c>
      <c r="X286" s="726">
        <f t="shared" si="116"/>
        <v>65000</v>
      </c>
      <c r="Y286" s="726">
        <f t="shared" si="117"/>
        <v>35000</v>
      </c>
      <c r="Z286" s="726">
        <f t="shared" si="118"/>
        <v>120000</v>
      </c>
      <c r="AA286" s="726">
        <f t="shared" si="110"/>
        <v>1220000</v>
      </c>
      <c r="AB286" s="726"/>
      <c r="AD286" s="726">
        <f t="shared" si="119"/>
        <v>305000</v>
      </c>
      <c r="AE286" s="723">
        <v>30000</v>
      </c>
      <c r="AF286" s="726">
        <f t="shared" si="120"/>
        <v>8870.967741935483</v>
      </c>
      <c r="AG286" s="725">
        <v>31</v>
      </c>
      <c r="AH286" s="726">
        <f>'[18]Fully Fitted Pricelist'!AA286-'[18]Fully Fitted Pricelist'!AD286</f>
        <v>915000</v>
      </c>
      <c r="AI286" s="723">
        <f t="shared" si="121"/>
        <v>0</v>
      </c>
      <c r="AJ286" s="726">
        <f t="shared" si="122"/>
        <v>1220000</v>
      </c>
    </row>
    <row r="287" spans="2:50" hidden="1" x14ac:dyDescent="0.2">
      <c r="B287" s="722">
        <v>147</v>
      </c>
      <c r="D287" s="722" t="s">
        <v>403</v>
      </c>
      <c r="E287" s="722" t="s">
        <v>403</v>
      </c>
      <c r="F287" s="722" t="s">
        <v>421</v>
      </c>
      <c r="L287" s="726">
        <f>'[18]Fully Fitted Pricelist'!$L$141</f>
        <v>1000000</v>
      </c>
      <c r="W287" s="726">
        <f t="shared" si="123"/>
        <v>1000000</v>
      </c>
      <c r="X287" s="726">
        <f t="shared" si="116"/>
        <v>65000</v>
      </c>
      <c r="Y287" s="726">
        <f t="shared" si="117"/>
        <v>35000</v>
      </c>
      <c r="Z287" s="726">
        <f t="shared" si="118"/>
        <v>120000</v>
      </c>
      <c r="AA287" s="726">
        <f t="shared" si="110"/>
        <v>1220000</v>
      </c>
      <c r="AB287" s="726"/>
      <c r="AD287" s="726">
        <f t="shared" si="119"/>
        <v>305000</v>
      </c>
      <c r="AE287" s="723">
        <v>30000</v>
      </c>
      <c r="AF287" s="726">
        <f t="shared" si="120"/>
        <v>8870.967741935483</v>
      </c>
      <c r="AG287" s="725">
        <v>31</v>
      </c>
      <c r="AH287" s="726">
        <f>'[18]Fully Fitted Pricelist'!AA287-'[18]Fully Fitted Pricelist'!AD287</f>
        <v>915000</v>
      </c>
      <c r="AI287" s="723">
        <f t="shared" si="121"/>
        <v>0</v>
      </c>
      <c r="AJ287" s="726">
        <f t="shared" si="122"/>
        <v>1220000</v>
      </c>
    </row>
    <row r="288" spans="2:50" hidden="1" x14ac:dyDescent="0.2">
      <c r="B288" s="722">
        <v>148</v>
      </c>
      <c r="D288" s="722" t="s">
        <v>123</v>
      </c>
      <c r="E288" s="722" t="s">
        <v>123</v>
      </c>
      <c r="F288" s="722" t="s">
        <v>422</v>
      </c>
      <c r="L288" s="726">
        <f>'[19]Package Breakdown'!U17</f>
        <v>1000000</v>
      </c>
      <c r="W288" s="726">
        <f t="shared" si="123"/>
        <v>1000000</v>
      </c>
      <c r="X288" s="726">
        <f t="shared" si="116"/>
        <v>65000</v>
      </c>
      <c r="Y288" s="726">
        <f t="shared" si="117"/>
        <v>35000</v>
      </c>
      <c r="Z288" s="726">
        <f t="shared" si="118"/>
        <v>120000</v>
      </c>
      <c r="AA288" s="726">
        <f t="shared" si="110"/>
        <v>1220000</v>
      </c>
      <c r="AB288" s="726"/>
      <c r="AD288" s="726">
        <f t="shared" si="119"/>
        <v>305000</v>
      </c>
      <c r="AE288" s="723">
        <f>'[19]Package Breakdown'!U27</f>
        <v>30000</v>
      </c>
      <c r="AF288" s="726">
        <f t="shared" si="120"/>
        <v>8870.967741935483</v>
      </c>
      <c r="AG288" s="725">
        <v>31</v>
      </c>
      <c r="AH288" s="726">
        <f>'[18]Fully Fitted Pricelist'!AA288-'[18]Fully Fitted Pricelist'!AD288</f>
        <v>915000</v>
      </c>
      <c r="AI288" s="723">
        <f t="shared" si="121"/>
        <v>0</v>
      </c>
      <c r="AJ288" s="726">
        <f t="shared" si="122"/>
        <v>1220000</v>
      </c>
      <c r="AW288" s="721"/>
    </row>
    <row r="289" spans="1:149" hidden="1" x14ac:dyDescent="0.2">
      <c r="B289" s="722">
        <v>149</v>
      </c>
      <c r="D289" s="722" t="s">
        <v>123</v>
      </c>
      <c r="E289" s="722" t="s">
        <v>123</v>
      </c>
      <c r="F289" s="722" t="s">
        <v>423</v>
      </c>
      <c r="L289" s="726">
        <f t="shared" ref="L289:L295" si="124">$L$288</f>
        <v>1000000</v>
      </c>
      <c r="W289" s="726">
        <f t="shared" si="123"/>
        <v>1000000</v>
      </c>
      <c r="X289" s="726">
        <f t="shared" si="116"/>
        <v>65000</v>
      </c>
      <c r="Y289" s="726">
        <f t="shared" si="117"/>
        <v>35000</v>
      </c>
      <c r="Z289" s="726">
        <f t="shared" si="118"/>
        <v>120000</v>
      </c>
      <c r="AA289" s="726">
        <f t="shared" si="110"/>
        <v>1220000</v>
      </c>
      <c r="AB289" s="726"/>
      <c r="AD289" s="726">
        <f t="shared" si="119"/>
        <v>305000</v>
      </c>
      <c r="AE289" s="723">
        <f t="shared" si="113"/>
        <v>30000</v>
      </c>
      <c r="AF289" s="726">
        <f t="shared" si="120"/>
        <v>8593.75</v>
      </c>
      <c r="AG289" s="725">
        <v>32</v>
      </c>
      <c r="AH289" s="726">
        <f>'[18]Fully Fitted Pricelist'!AA289-'[18]Fully Fitted Pricelist'!AD289</f>
        <v>915000</v>
      </c>
      <c r="AI289" s="723">
        <f t="shared" si="121"/>
        <v>0</v>
      </c>
      <c r="AJ289" s="726">
        <f t="shared" si="122"/>
        <v>1220000</v>
      </c>
    </row>
    <row r="290" spans="1:149" hidden="1" x14ac:dyDescent="0.2">
      <c r="B290" s="722">
        <v>150</v>
      </c>
      <c r="D290" s="722" t="s">
        <v>123</v>
      </c>
      <c r="E290" s="722" t="s">
        <v>123</v>
      </c>
      <c r="F290" s="722" t="s">
        <v>424</v>
      </c>
      <c r="L290" s="726">
        <f t="shared" si="124"/>
        <v>1000000</v>
      </c>
      <c r="W290" s="726">
        <f t="shared" si="123"/>
        <v>1000000</v>
      </c>
      <c r="X290" s="726">
        <f t="shared" si="116"/>
        <v>65000</v>
      </c>
      <c r="Y290" s="726">
        <f t="shared" si="117"/>
        <v>35000</v>
      </c>
      <c r="Z290" s="726">
        <f t="shared" si="118"/>
        <v>120000</v>
      </c>
      <c r="AA290" s="726">
        <f t="shared" si="110"/>
        <v>1220000</v>
      </c>
      <c r="AB290" s="726"/>
      <c r="AD290" s="726">
        <f t="shared" si="119"/>
        <v>305000</v>
      </c>
      <c r="AE290" s="723">
        <f t="shared" si="113"/>
        <v>30000</v>
      </c>
      <c r="AF290" s="726">
        <f t="shared" si="120"/>
        <v>8593.75</v>
      </c>
      <c r="AG290" s="725">
        <v>32</v>
      </c>
      <c r="AH290" s="726">
        <f>'[18]Fully Fitted Pricelist'!AA290-'[18]Fully Fitted Pricelist'!AD290</f>
        <v>915000</v>
      </c>
      <c r="AI290" s="723">
        <f t="shared" si="121"/>
        <v>0</v>
      </c>
      <c r="AJ290" s="726">
        <f t="shared" si="122"/>
        <v>1220000</v>
      </c>
    </row>
    <row r="291" spans="1:149" hidden="1" x14ac:dyDescent="0.2">
      <c r="B291" s="722">
        <v>151</v>
      </c>
      <c r="D291" s="722" t="s">
        <v>123</v>
      </c>
      <c r="E291" s="722" t="s">
        <v>123</v>
      </c>
      <c r="F291" s="722" t="s">
        <v>425</v>
      </c>
      <c r="L291" s="726">
        <f t="shared" si="124"/>
        <v>1000000</v>
      </c>
      <c r="W291" s="726">
        <f t="shared" si="123"/>
        <v>1000000</v>
      </c>
      <c r="X291" s="726">
        <f t="shared" si="116"/>
        <v>65000</v>
      </c>
      <c r="Y291" s="726">
        <f t="shared" si="117"/>
        <v>35000</v>
      </c>
      <c r="Z291" s="726">
        <f t="shared" si="118"/>
        <v>120000</v>
      </c>
      <c r="AA291" s="726">
        <f t="shared" si="110"/>
        <v>1220000</v>
      </c>
      <c r="AB291" s="726"/>
      <c r="AD291" s="726">
        <f t="shared" si="119"/>
        <v>305000</v>
      </c>
      <c r="AE291" s="723">
        <f t="shared" si="113"/>
        <v>30000</v>
      </c>
      <c r="AF291" s="726">
        <f t="shared" si="120"/>
        <v>8593.75</v>
      </c>
      <c r="AG291" s="725">
        <v>32</v>
      </c>
      <c r="AH291" s="726">
        <f>'[18]Fully Fitted Pricelist'!AA291-'[18]Fully Fitted Pricelist'!AD291</f>
        <v>915000</v>
      </c>
      <c r="AI291" s="723">
        <f t="shared" si="121"/>
        <v>0</v>
      </c>
      <c r="AJ291" s="726">
        <f t="shared" si="122"/>
        <v>1220000</v>
      </c>
    </row>
    <row r="292" spans="1:149" hidden="1" x14ac:dyDescent="0.2">
      <c r="B292" s="722">
        <v>152</v>
      </c>
      <c r="D292" s="722" t="s">
        <v>123</v>
      </c>
      <c r="E292" s="722" t="s">
        <v>123</v>
      </c>
      <c r="F292" s="722" t="s">
        <v>426</v>
      </c>
      <c r="L292" s="726">
        <f t="shared" si="124"/>
        <v>1000000</v>
      </c>
      <c r="W292" s="726">
        <f t="shared" si="123"/>
        <v>1000000</v>
      </c>
      <c r="X292" s="726">
        <f t="shared" si="116"/>
        <v>65000</v>
      </c>
      <c r="Y292" s="726">
        <f t="shared" si="117"/>
        <v>35000</v>
      </c>
      <c r="Z292" s="726">
        <f t="shared" si="118"/>
        <v>120000</v>
      </c>
      <c r="AA292" s="726">
        <f t="shared" si="110"/>
        <v>1220000</v>
      </c>
      <c r="AB292" s="726"/>
      <c r="AD292" s="726">
        <f t="shared" si="119"/>
        <v>305000</v>
      </c>
      <c r="AE292" s="723">
        <f t="shared" si="113"/>
        <v>30000</v>
      </c>
      <c r="AF292" s="726">
        <f t="shared" si="120"/>
        <v>8593.75</v>
      </c>
      <c r="AG292" s="725">
        <v>32</v>
      </c>
      <c r="AH292" s="726">
        <f>'[18]Fully Fitted Pricelist'!AA292-'[18]Fully Fitted Pricelist'!AD292</f>
        <v>915000</v>
      </c>
      <c r="AI292" s="723">
        <f t="shared" si="121"/>
        <v>0</v>
      </c>
      <c r="AJ292" s="726">
        <f t="shared" si="122"/>
        <v>1220000</v>
      </c>
    </row>
    <row r="293" spans="1:149" hidden="1" x14ac:dyDescent="0.2">
      <c r="B293" s="722">
        <v>153</v>
      </c>
      <c r="D293" s="722" t="s">
        <v>123</v>
      </c>
      <c r="E293" s="722" t="s">
        <v>123</v>
      </c>
      <c r="F293" s="722" t="s">
        <v>427</v>
      </c>
      <c r="L293" s="726">
        <f t="shared" si="124"/>
        <v>1000000</v>
      </c>
      <c r="W293" s="726">
        <f t="shared" si="123"/>
        <v>1000000</v>
      </c>
      <c r="X293" s="726">
        <f t="shared" si="116"/>
        <v>65000</v>
      </c>
      <c r="Y293" s="726">
        <f t="shared" si="117"/>
        <v>35000</v>
      </c>
      <c r="Z293" s="726">
        <f t="shared" si="118"/>
        <v>120000</v>
      </c>
      <c r="AA293" s="726">
        <f t="shared" si="110"/>
        <v>1220000</v>
      </c>
      <c r="AB293" s="726"/>
      <c r="AD293" s="726">
        <f t="shared" si="119"/>
        <v>305000</v>
      </c>
      <c r="AE293" s="723">
        <f t="shared" si="113"/>
        <v>30000</v>
      </c>
      <c r="AF293" s="726">
        <f t="shared" si="120"/>
        <v>8593.75</v>
      </c>
      <c r="AG293" s="725">
        <v>32</v>
      </c>
      <c r="AH293" s="726">
        <f>'[18]Fully Fitted Pricelist'!AA293-'[18]Fully Fitted Pricelist'!AD293</f>
        <v>915000</v>
      </c>
      <c r="AI293" s="723">
        <f t="shared" si="121"/>
        <v>0</v>
      </c>
      <c r="AJ293" s="726">
        <f t="shared" si="122"/>
        <v>1220000</v>
      </c>
    </row>
    <row r="294" spans="1:149" hidden="1" x14ac:dyDescent="0.2">
      <c r="B294" s="722">
        <v>154</v>
      </c>
      <c r="D294" s="722" t="s">
        <v>123</v>
      </c>
      <c r="E294" s="722" t="s">
        <v>123</v>
      </c>
      <c r="F294" s="722" t="s">
        <v>428</v>
      </c>
      <c r="L294" s="726">
        <f t="shared" si="124"/>
        <v>1000000</v>
      </c>
      <c r="W294" s="726">
        <f t="shared" si="123"/>
        <v>1000000</v>
      </c>
      <c r="X294" s="726">
        <f t="shared" si="116"/>
        <v>65000</v>
      </c>
      <c r="Y294" s="726">
        <f t="shared" si="117"/>
        <v>35000</v>
      </c>
      <c r="Z294" s="726">
        <f t="shared" si="118"/>
        <v>120000</v>
      </c>
      <c r="AA294" s="726">
        <f t="shared" si="110"/>
        <v>1220000</v>
      </c>
      <c r="AB294" s="726"/>
      <c r="AD294" s="726">
        <f t="shared" si="119"/>
        <v>305000</v>
      </c>
      <c r="AE294" s="723">
        <f t="shared" si="113"/>
        <v>30000</v>
      </c>
      <c r="AF294" s="726">
        <f t="shared" si="120"/>
        <v>8593.75</v>
      </c>
      <c r="AG294" s="725">
        <v>32</v>
      </c>
      <c r="AH294" s="726">
        <f>'[18]Fully Fitted Pricelist'!AA294-'[18]Fully Fitted Pricelist'!AD294</f>
        <v>915000</v>
      </c>
      <c r="AI294" s="723">
        <f t="shared" si="121"/>
        <v>0</v>
      </c>
      <c r="AJ294" s="726">
        <f t="shared" si="122"/>
        <v>1220000</v>
      </c>
    </row>
    <row r="295" spans="1:149" hidden="1" x14ac:dyDescent="0.2">
      <c r="B295" s="722">
        <v>155</v>
      </c>
      <c r="D295" s="722" t="s">
        <v>123</v>
      </c>
      <c r="E295" s="722" t="s">
        <v>123</v>
      </c>
      <c r="F295" s="722" t="s">
        <v>429</v>
      </c>
      <c r="L295" s="726">
        <f t="shared" si="124"/>
        <v>1000000</v>
      </c>
      <c r="W295" s="726">
        <f t="shared" si="123"/>
        <v>1000000</v>
      </c>
      <c r="X295" s="726">
        <f t="shared" si="116"/>
        <v>65000</v>
      </c>
      <c r="Y295" s="726">
        <f t="shared" si="117"/>
        <v>35000</v>
      </c>
      <c r="Z295" s="726">
        <f t="shared" si="118"/>
        <v>120000</v>
      </c>
      <c r="AA295" s="726">
        <f t="shared" si="110"/>
        <v>1220000</v>
      </c>
      <c r="AB295" s="726"/>
      <c r="AD295" s="726">
        <f t="shared" si="119"/>
        <v>305000</v>
      </c>
      <c r="AE295" s="723">
        <f t="shared" si="113"/>
        <v>30000</v>
      </c>
      <c r="AF295" s="726">
        <f t="shared" si="120"/>
        <v>8593.75</v>
      </c>
      <c r="AG295" s="725">
        <v>32</v>
      </c>
      <c r="AH295" s="726">
        <f>'[18]Fully Fitted Pricelist'!AA295-'[18]Fully Fitted Pricelist'!AD295</f>
        <v>915000</v>
      </c>
      <c r="AI295" s="723">
        <f t="shared" si="121"/>
        <v>0</v>
      </c>
      <c r="AJ295" s="726">
        <f t="shared" si="122"/>
        <v>1220000</v>
      </c>
    </row>
    <row r="296" spans="1:149" hidden="1" x14ac:dyDescent="0.2">
      <c r="A296" s="721" t="s">
        <v>430</v>
      </c>
      <c r="V296" s="726">
        <f>SUM(V154:V295)</f>
        <v>0</v>
      </c>
      <c r="W296" s="726">
        <f t="shared" ref="W296:AH296" si="125">SUM(W141:W295)</f>
        <v>155000000</v>
      </c>
      <c r="X296" s="726">
        <f t="shared" si="125"/>
        <v>10075000</v>
      </c>
      <c r="Y296" s="726">
        <f t="shared" si="125"/>
        <v>5425000</v>
      </c>
      <c r="Z296" s="726">
        <f t="shared" si="125"/>
        <v>18600000</v>
      </c>
      <c r="AA296" s="726">
        <f t="shared" si="125"/>
        <v>189100000</v>
      </c>
      <c r="AB296" s="726"/>
      <c r="AD296" s="726">
        <f t="shared" si="125"/>
        <v>47275000</v>
      </c>
      <c r="AE296" s="726">
        <f t="shared" si="125"/>
        <v>4650000</v>
      </c>
      <c r="AF296" s="726">
        <f t="shared" si="125"/>
        <v>1149121.7307829442</v>
      </c>
      <c r="AG296" s="725">
        <f t="shared" si="125"/>
        <v>5820</v>
      </c>
      <c r="AH296" s="726">
        <f t="shared" si="125"/>
        <v>141825000</v>
      </c>
      <c r="AI296" s="726">
        <f>SUM(AI154:AI295)</f>
        <v>0</v>
      </c>
      <c r="AO296" s="723"/>
      <c r="AP296" s="723"/>
      <c r="AQ296" s="723"/>
      <c r="AR296" s="723"/>
      <c r="AS296" s="723"/>
      <c r="AT296" s="723"/>
      <c r="AU296" s="723"/>
      <c r="AV296" s="723"/>
      <c r="AW296" s="723"/>
      <c r="AX296" s="723"/>
      <c r="AY296" s="723"/>
      <c r="AZ296" s="723"/>
      <c r="BA296" s="723"/>
      <c r="BB296" s="723"/>
      <c r="BC296" s="723"/>
      <c r="BD296" s="723"/>
      <c r="BE296" s="723"/>
      <c r="BF296" s="723"/>
      <c r="BG296" s="723"/>
      <c r="BH296" s="723"/>
      <c r="BI296" s="723"/>
      <c r="BJ296" s="723"/>
      <c r="BK296" s="723"/>
      <c r="BL296" s="723"/>
      <c r="BM296" s="723"/>
      <c r="BN296" s="723"/>
      <c r="BO296" s="723"/>
      <c r="BP296" s="723"/>
      <c r="BQ296" s="723"/>
      <c r="BR296" s="723"/>
      <c r="BS296" s="723"/>
      <c r="BT296" s="723"/>
      <c r="BU296" s="723"/>
      <c r="BV296" s="723"/>
      <c r="BW296" s="723"/>
      <c r="BX296" s="723"/>
      <c r="BY296" s="723"/>
      <c r="BZ296" s="723"/>
      <c r="CA296" s="723"/>
      <c r="CB296" s="723"/>
      <c r="CC296" s="723"/>
      <c r="CD296" s="723"/>
      <c r="CE296" s="723"/>
    </row>
    <row r="297" spans="1:149" hidden="1" x14ac:dyDescent="0.2">
      <c r="V297" s="726"/>
      <c r="W297" s="726"/>
      <c r="X297" s="726"/>
      <c r="Y297" s="726"/>
      <c r="Z297" s="726"/>
      <c r="AA297" s="726"/>
      <c r="AB297" s="726"/>
      <c r="AD297" s="726"/>
      <c r="AE297" s="726">
        <f>AE296/30000</f>
        <v>155</v>
      </c>
      <c r="AF297" s="726"/>
      <c r="AH297" s="726"/>
      <c r="AI297" s="726">
        <f>SUM(AK297:ED297)</f>
        <v>0</v>
      </c>
      <c r="AJ297" s="726">
        <f>AI297-AE296</f>
        <v>-4650000</v>
      </c>
      <c r="AO297" s="723"/>
      <c r="AP297" s="723"/>
      <c r="AQ297" s="723"/>
      <c r="AR297" s="723"/>
      <c r="AS297" s="723"/>
      <c r="AT297" s="723"/>
      <c r="AU297" s="723"/>
      <c r="AV297" s="723"/>
      <c r="AW297" s="723"/>
      <c r="AX297" s="723"/>
      <c r="AY297" s="723"/>
      <c r="AZ297" s="723"/>
      <c r="BA297" s="723"/>
      <c r="BB297" s="723"/>
      <c r="BC297" s="723"/>
      <c r="BD297" s="723"/>
      <c r="BE297" s="723"/>
      <c r="BF297" s="723"/>
      <c r="BG297" s="723"/>
      <c r="BH297" s="723"/>
      <c r="BI297" s="723"/>
      <c r="BJ297" s="723"/>
      <c r="BK297" s="723"/>
      <c r="BL297" s="723"/>
      <c r="BM297" s="723"/>
      <c r="BN297" s="723"/>
      <c r="BO297" s="723"/>
      <c r="BP297" s="723"/>
      <c r="BQ297" s="723"/>
      <c r="BR297" s="723"/>
      <c r="BS297" s="723"/>
      <c r="BT297" s="723"/>
      <c r="BU297" s="723"/>
      <c r="BV297" s="723"/>
      <c r="BW297" s="723"/>
      <c r="BX297" s="723"/>
      <c r="BY297" s="723"/>
      <c r="BZ297" s="723"/>
      <c r="CA297" s="723"/>
      <c r="CB297" s="723"/>
      <c r="CC297" s="723"/>
      <c r="CD297" s="723"/>
      <c r="CE297" s="723"/>
    </row>
    <row r="298" spans="1:149" hidden="1" x14ac:dyDescent="0.2">
      <c r="V298" s="726"/>
      <c r="W298" s="726"/>
      <c r="X298" s="726"/>
      <c r="Y298" s="726"/>
      <c r="Z298" s="726"/>
      <c r="AA298" s="726"/>
      <c r="AB298" s="726"/>
      <c r="AD298" s="726"/>
      <c r="AE298" s="726"/>
      <c r="AF298" s="726"/>
      <c r="AH298" s="726"/>
      <c r="AI298" s="726">
        <f>SUM(AK298:ED298)</f>
        <v>0</v>
      </c>
      <c r="AJ298" s="726">
        <f>AI298-AD296</f>
        <v>-47275000</v>
      </c>
      <c r="AO298" s="723"/>
      <c r="AP298" s="723"/>
      <c r="AQ298" s="723"/>
      <c r="AR298" s="723"/>
      <c r="AS298" s="723"/>
      <c r="AT298" s="723"/>
      <c r="AU298" s="723"/>
      <c r="AV298" s="723"/>
      <c r="AW298" s="723"/>
      <c r="AX298" s="723"/>
      <c r="AY298" s="723"/>
      <c r="AZ298" s="723"/>
      <c r="BA298" s="723"/>
      <c r="BB298" s="723"/>
      <c r="BC298" s="723"/>
      <c r="BD298" s="723"/>
      <c r="BE298" s="723"/>
      <c r="BF298" s="723"/>
      <c r="BG298" s="723"/>
      <c r="BH298" s="723"/>
      <c r="BI298" s="723"/>
      <c r="BJ298" s="723"/>
      <c r="BK298" s="723"/>
      <c r="BL298" s="723"/>
      <c r="BM298" s="723"/>
      <c r="BN298" s="723"/>
      <c r="BO298" s="723"/>
      <c r="BP298" s="723"/>
      <c r="BQ298" s="723"/>
      <c r="BR298" s="723"/>
      <c r="BS298" s="723"/>
      <c r="BT298" s="723"/>
      <c r="BU298" s="723"/>
      <c r="BV298" s="723"/>
      <c r="BW298" s="723"/>
      <c r="BX298" s="723"/>
      <c r="BY298" s="723"/>
      <c r="BZ298" s="723"/>
      <c r="CA298" s="723"/>
      <c r="CB298" s="723"/>
      <c r="CC298" s="723"/>
      <c r="CD298" s="723"/>
      <c r="CE298" s="721"/>
    </row>
    <row r="299" spans="1:149" x14ac:dyDescent="0.2">
      <c r="V299" s="726"/>
      <c r="W299" s="726"/>
      <c r="X299" s="726"/>
      <c r="Y299" s="726"/>
      <c r="Z299" s="726"/>
      <c r="AA299" s="726"/>
      <c r="AB299" s="726"/>
      <c r="AD299" s="726"/>
      <c r="AE299" s="726"/>
      <c r="AF299" s="726"/>
      <c r="AH299" s="726"/>
      <c r="AI299" s="726">
        <f>SUM(AK299:ED299)</f>
        <v>0</v>
      </c>
      <c r="AJ299" s="726">
        <f>AI299-AH296</f>
        <v>-141825000</v>
      </c>
      <c r="AO299" s="723"/>
      <c r="AP299" s="723"/>
      <c r="AQ299" s="723"/>
      <c r="AR299" s="723"/>
      <c r="AS299" s="723"/>
      <c r="AT299" s="723"/>
      <c r="AU299" s="723"/>
      <c r="AV299" s="723"/>
      <c r="AW299" s="723"/>
      <c r="AX299" s="723"/>
      <c r="AY299" s="723"/>
      <c r="AZ299" s="723"/>
      <c r="BA299" s="723"/>
      <c r="BB299" s="723"/>
      <c r="BC299" s="723"/>
      <c r="BD299" s="723"/>
      <c r="BE299" s="723"/>
      <c r="BF299" s="723"/>
      <c r="BG299" s="723"/>
      <c r="BH299" s="723"/>
      <c r="BI299" s="723"/>
      <c r="BJ299" s="723"/>
      <c r="BK299" s="723"/>
      <c r="BL299" s="723"/>
      <c r="BM299" s="723"/>
      <c r="BN299" s="723"/>
      <c r="BO299" s="723"/>
      <c r="BP299" s="723"/>
      <c r="BQ299" s="723"/>
      <c r="BR299" s="723"/>
      <c r="BS299" s="723"/>
      <c r="BT299" s="723"/>
      <c r="BU299" s="723"/>
      <c r="BV299" s="723"/>
      <c r="BW299" s="723"/>
      <c r="BX299" s="723"/>
      <c r="BY299" s="723"/>
      <c r="BZ299" s="723"/>
      <c r="CA299" s="723"/>
      <c r="CB299" s="723"/>
      <c r="CE299" s="723"/>
    </row>
    <row r="300" spans="1:149" x14ac:dyDescent="0.2">
      <c r="AI300" s="726">
        <f>SUM(AK300:ED300)</f>
        <v>0</v>
      </c>
      <c r="AJ300" s="726">
        <f>AI300-(SUM(X296:Z296))</f>
        <v>-34100000</v>
      </c>
    </row>
    <row r="301" spans="1:149" x14ac:dyDescent="0.2">
      <c r="AO301" s="723"/>
      <c r="AP301" s="723"/>
      <c r="AQ301" s="723"/>
      <c r="AR301" s="723"/>
      <c r="AS301" s="723"/>
      <c r="AT301" s="723"/>
      <c r="AU301" s="723"/>
      <c r="AV301" s="723"/>
      <c r="AW301" s="723"/>
      <c r="AX301" s="723"/>
      <c r="AY301" s="723"/>
    </row>
    <row r="302" spans="1:149" s="722" customFormat="1" x14ac:dyDescent="0.2">
      <c r="A302" s="736" t="s">
        <v>431</v>
      </c>
      <c r="B302" s="736" t="s">
        <v>73</v>
      </c>
      <c r="C302" s="736" t="s">
        <v>74</v>
      </c>
      <c r="D302" s="736" t="s">
        <v>75</v>
      </c>
      <c r="E302" s="736" t="s">
        <v>76</v>
      </c>
      <c r="F302" s="736" t="s">
        <v>77</v>
      </c>
      <c r="G302" s="736" t="s">
        <v>78</v>
      </c>
      <c r="H302" s="736" t="s">
        <v>79</v>
      </c>
      <c r="I302" s="736" t="s">
        <v>80</v>
      </c>
      <c r="J302" s="736" t="s">
        <v>81</v>
      </c>
      <c r="K302" s="736" t="s">
        <v>32</v>
      </c>
      <c r="L302" s="736" t="s">
        <v>37</v>
      </c>
      <c r="M302" s="736" t="s">
        <v>82</v>
      </c>
      <c r="N302" s="736" t="s">
        <v>83</v>
      </c>
      <c r="O302" s="738" t="s">
        <v>84</v>
      </c>
      <c r="P302" s="738" t="s">
        <v>85</v>
      </c>
      <c r="Q302" s="736" t="s">
        <v>268</v>
      </c>
      <c r="R302" s="738" t="s">
        <v>87</v>
      </c>
      <c r="S302" s="738" t="s">
        <v>88</v>
      </c>
      <c r="T302" s="738"/>
      <c r="U302" s="738"/>
      <c r="V302" s="738" t="s">
        <v>91</v>
      </c>
      <c r="W302" s="736" t="s">
        <v>92</v>
      </c>
      <c r="X302" s="736" t="s">
        <v>93</v>
      </c>
      <c r="Y302" s="736" t="s">
        <v>94</v>
      </c>
      <c r="Z302" s="736" t="s">
        <v>95</v>
      </c>
      <c r="AA302" s="736" t="s">
        <v>96</v>
      </c>
      <c r="AB302" s="736"/>
      <c r="AC302" s="739" t="s">
        <v>432</v>
      </c>
      <c r="AD302" s="736" t="s">
        <v>42</v>
      </c>
      <c r="AE302" s="738" t="s">
        <v>99</v>
      </c>
      <c r="AF302" s="736" t="s">
        <v>100</v>
      </c>
      <c r="AG302" s="740" t="s">
        <v>46</v>
      </c>
      <c r="AH302" s="736" t="s">
        <v>48</v>
      </c>
      <c r="AI302" s="736" t="s">
        <v>101</v>
      </c>
      <c r="AJ302" s="736" t="s">
        <v>102</v>
      </c>
      <c r="AK302" s="728">
        <v>44470</v>
      </c>
      <c r="AL302" s="728"/>
      <c r="AM302" s="728"/>
      <c r="AN302" s="728">
        <v>44501</v>
      </c>
      <c r="AO302" s="728">
        <v>44531</v>
      </c>
      <c r="AP302" s="728">
        <v>44562</v>
      </c>
      <c r="AQ302" s="728">
        <v>44593</v>
      </c>
      <c r="AR302" s="728">
        <v>44621</v>
      </c>
      <c r="AS302" s="728">
        <v>44652</v>
      </c>
      <c r="AT302" s="728">
        <v>44682</v>
      </c>
      <c r="AU302" s="728">
        <v>44713</v>
      </c>
      <c r="AV302" s="728">
        <v>44743</v>
      </c>
      <c r="AW302" s="728">
        <v>44774</v>
      </c>
      <c r="AX302" s="728">
        <v>44805</v>
      </c>
      <c r="AY302" s="728">
        <v>44835</v>
      </c>
      <c r="AZ302" s="728">
        <v>44866</v>
      </c>
      <c r="BA302" s="728">
        <v>44896</v>
      </c>
      <c r="BB302" s="728">
        <v>44927</v>
      </c>
      <c r="BC302" s="728">
        <v>44958</v>
      </c>
      <c r="BD302" s="728">
        <v>44986</v>
      </c>
      <c r="BE302" s="728">
        <v>45017</v>
      </c>
      <c r="BF302" s="728">
        <v>45047</v>
      </c>
      <c r="BG302" s="728">
        <v>45078</v>
      </c>
      <c r="BH302" s="728">
        <v>45108</v>
      </c>
      <c r="BI302" s="728">
        <v>45139</v>
      </c>
      <c r="BJ302" s="728">
        <v>45170</v>
      </c>
      <c r="BK302" s="728">
        <v>45200</v>
      </c>
      <c r="BL302" s="728">
        <v>45231</v>
      </c>
      <c r="BM302" s="728">
        <v>45261</v>
      </c>
      <c r="BN302" s="728">
        <v>45292</v>
      </c>
      <c r="BO302" s="728">
        <v>45323</v>
      </c>
      <c r="BP302" s="728">
        <v>45352</v>
      </c>
      <c r="BQ302" s="728">
        <v>45383</v>
      </c>
      <c r="BR302" s="728">
        <v>45413</v>
      </c>
      <c r="BS302" s="728">
        <v>45444</v>
      </c>
      <c r="BT302" s="728">
        <v>45474</v>
      </c>
      <c r="BU302" s="728">
        <v>45505</v>
      </c>
      <c r="BV302" s="728">
        <v>45536</v>
      </c>
      <c r="BW302" s="728">
        <v>45566</v>
      </c>
      <c r="BX302" s="728">
        <v>45597</v>
      </c>
      <c r="BY302" s="728">
        <v>45627</v>
      </c>
      <c r="BZ302" s="728">
        <v>45658</v>
      </c>
      <c r="CA302" s="728">
        <v>45689</v>
      </c>
      <c r="CB302" s="728">
        <v>45717</v>
      </c>
      <c r="CC302" s="728">
        <v>45748</v>
      </c>
      <c r="CD302" s="728">
        <v>45778</v>
      </c>
      <c r="CE302" s="728">
        <v>45809</v>
      </c>
      <c r="CF302" s="734">
        <v>45839</v>
      </c>
      <c r="CG302" s="734">
        <v>45870</v>
      </c>
      <c r="CH302" s="734">
        <v>45901</v>
      </c>
      <c r="CI302" s="734">
        <v>45931</v>
      </c>
      <c r="CJ302" s="734">
        <v>45962</v>
      </c>
      <c r="CK302" s="734">
        <v>45992</v>
      </c>
      <c r="CL302" s="734">
        <v>46023</v>
      </c>
      <c r="CM302" s="734">
        <v>46054</v>
      </c>
      <c r="CN302" s="734">
        <v>46082</v>
      </c>
      <c r="CO302" s="734">
        <v>46113</v>
      </c>
      <c r="CP302" s="734">
        <v>46143</v>
      </c>
      <c r="CQ302" s="734">
        <v>46174</v>
      </c>
      <c r="CR302" s="734">
        <v>46204</v>
      </c>
      <c r="CS302" s="734">
        <v>46235</v>
      </c>
      <c r="CT302" s="734">
        <v>46266</v>
      </c>
      <c r="CU302" s="734">
        <v>46296</v>
      </c>
      <c r="CV302" s="734">
        <v>46327</v>
      </c>
      <c r="CW302" s="734">
        <v>46357</v>
      </c>
      <c r="CX302" s="734">
        <v>46388</v>
      </c>
      <c r="CY302" s="734">
        <v>46419</v>
      </c>
      <c r="CZ302" s="734">
        <v>46447</v>
      </c>
      <c r="DA302" s="734">
        <v>46478</v>
      </c>
      <c r="DB302" s="734">
        <v>46508</v>
      </c>
      <c r="DC302" s="734">
        <v>46539</v>
      </c>
      <c r="DD302" s="734">
        <v>46569</v>
      </c>
      <c r="DE302" s="734">
        <v>46600</v>
      </c>
      <c r="DF302" s="734">
        <v>46631</v>
      </c>
      <c r="DG302" s="734">
        <v>46661</v>
      </c>
      <c r="DH302" s="734">
        <v>46692</v>
      </c>
      <c r="DI302" s="734">
        <v>46722</v>
      </c>
      <c r="DJ302" s="734">
        <v>46753</v>
      </c>
      <c r="DK302" s="734">
        <v>46784</v>
      </c>
      <c r="DL302" s="734">
        <v>46813</v>
      </c>
      <c r="DM302" s="734">
        <v>46844</v>
      </c>
      <c r="DN302" s="734">
        <v>46874</v>
      </c>
      <c r="DO302" s="734">
        <v>46905</v>
      </c>
      <c r="DP302" s="734">
        <v>46935</v>
      </c>
      <c r="DQ302" s="734">
        <v>46966</v>
      </c>
      <c r="DR302" s="734">
        <v>46997</v>
      </c>
      <c r="DS302" s="734">
        <v>47027</v>
      </c>
      <c r="DT302" s="734">
        <v>47058</v>
      </c>
      <c r="DU302" s="734">
        <v>47088</v>
      </c>
      <c r="DV302" s="734">
        <v>47119</v>
      </c>
      <c r="DW302" s="734">
        <v>47150</v>
      </c>
      <c r="DX302" s="734">
        <v>47178</v>
      </c>
      <c r="DY302" s="734">
        <v>47209</v>
      </c>
      <c r="DZ302" s="734">
        <v>47239</v>
      </c>
      <c r="EA302" s="734">
        <v>47270</v>
      </c>
      <c r="EB302" s="734">
        <v>47300</v>
      </c>
      <c r="EC302" s="734">
        <v>47331</v>
      </c>
      <c r="ED302" s="734">
        <v>47362</v>
      </c>
      <c r="EE302" s="734">
        <v>47392</v>
      </c>
      <c r="EF302" s="734">
        <v>47423</v>
      </c>
      <c r="EG302" s="734">
        <v>47453</v>
      </c>
      <c r="EH302" s="734">
        <v>47484</v>
      </c>
      <c r="EI302" s="734">
        <v>47515</v>
      </c>
      <c r="EJ302" s="734">
        <v>47543</v>
      </c>
      <c r="EK302" s="734">
        <v>47574</v>
      </c>
      <c r="EL302" s="734">
        <v>47604</v>
      </c>
      <c r="EM302" s="734">
        <v>47635</v>
      </c>
      <c r="EN302" s="734">
        <v>47665</v>
      </c>
      <c r="EO302" s="734">
        <v>47696</v>
      </c>
      <c r="EP302" s="734">
        <v>47727</v>
      </c>
      <c r="EQ302" s="734">
        <v>47757</v>
      </c>
      <c r="ER302" s="734">
        <v>47788</v>
      </c>
      <c r="ES302" s="734">
        <v>47818</v>
      </c>
    </row>
    <row r="303" spans="1:149" x14ac:dyDescent="0.2">
      <c r="A303" s="737"/>
      <c r="B303" s="736">
        <v>1</v>
      </c>
      <c r="C303" s="736" t="s">
        <v>135</v>
      </c>
      <c r="D303" s="736" t="s">
        <v>123</v>
      </c>
      <c r="E303" s="736" t="s">
        <v>433</v>
      </c>
      <c r="F303" s="736" t="s">
        <v>434</v>
      </c>
      <c r="G303" s="736" t="str">
        <f>F303</f>
        <v>C-1</v>
      </c>
      <c r="H303" s="736" t="s">
        <v>435</v>
      </c>
      <c r="I303" s="742">
        <f>'[18]Package Breakdown - Casas'!N9</f>
        <v>44.44</v>
      </c>
      <c r="J303" s="736"/>
      <c r="K303" s="742">
        <f>I303+J303</f>
        <v>44.44</v>
      </c>
      <c r="L303" s="742">
        <f>'[18]Package Breakdown - Casas'!N17</f>
        <v>7110400</v>
      </c>
      <c r="M303" s="736"/>
      <c r="N303" s="736"/>
      <c r="O303" s="738"/>
      <c r="P303" s="738"/>
      <c r="Q303" s="736"/>
      <c r="R303" s="738"/>
      <c r="S303" s="738"/>
      <c r="T303" s="738"/>
      <c r="U303" s="738"/>
      <c r="V303" s="738"/>
      <c r="W303" s="742">
        <f t="shared" ref="W303:W310" si="126">L303-M303</f>
        <v>7110400</v>
      </c>
      <c r="X303" s="742">
        <f>W303*6%</f>
        <v>426624</v>
      </c>
      <c r="Y303" s="742">
        <f>W303*2.5%</f>
        <v>177760</v>
      </c>
      <c r="Z303" s="742">
        <f>W303*12%</f>
        <v>853248</v>
      </c>
      <c r="AA303" s="742">
        <f t="shared" ref="AA303:AA310" si="127">W303+X303+Y303+Z303</f>
        <v>8568032</v>
      </c>
      <c r="AB303" s="742"/>
      <c r="AC303" s="739">
        <v>0.4</v>
      </c>
      <c r="AD303" s="742">
        <f>AA303*AC303</f>
        <v>3427212.8000000003</v>
      </c>
      <c r="AE303" s="738">
        <v>100000</v>
      </c>
      <c r="AF303" s="742">
        <f>(AD303-AE303)/(AG303)</f>
        <v>77377.04186046512</v>
      </c>
      <c r="AG303" s="740">
        <v>43</v>
      </c>
      <c r="AH303" s="742">
        <f>AA303-AD303</f>
        <v>5140819.1999999993</v>
      </c>
      <c r="AI303" s="738">
        <f>SUM(AK303:ES303)</f>
        <v>0</v>
      </c>
      <c r="AJ303" s="742">
        <f>AI303-AA303</f>
        <v>-8568032</v>
      </c>
    </row>
    <row r="304" spans="1:149" x14ac:dyDescent="0.2">
      <c r="A304" s="737"/>
      <c r="B304" s="736">
        <v>2</v>
      </c>
      <c r="C304" s="736" t="s">
        <v>135</v>
      </c>
      <c r="D304" s="736" t="s">
        <v>123</v>
      </c>
      <c r="E304" s="736" t="s">
        <v>433</v>
      </c>
      <c r="F304" s="736" t="s">
        <v>436</v>
      </c>
      <c r="G304" s="736" t="str">
        <f t="shared" ref="G304:G309" si="128">F304</f>
        <v>C-2</v>
      </c>
      <c r="H304" s="736" t="s">
        <v>435</v>
      </c>
      <c r="I304" s="742">
        <f>'[18]Package Breakdown - Casas'!O9</f>
        <v>44.43</v>
      </c>
      <c r="J304" s="736"/>
      <c r="K304" s="742">
        <f>I304+J304</f>
        <v>44.43</v>
      </c>
      <c r="L304" s="742">
        <f>'[18]Package Breakdown - Casas'!O17</f>
        <v>7108800</v>
      </c>
      <c r="M304" s="736"/>
      <c r="N304" s="736"/>
      <c r="O304" s="738"/>
      <c r="P304" s="738"/>
      <c r="Q304" s="736"/>
      <c r="R304" s="738"/>
      <c r="S304" s="738"/>
      <c r="T304" s="738"/>
      <c r="U304" s="738"/>
      <c r="V304" s="738"/>
      <c r="W304" s="742">
        <f t="shared" si="126"/>
        <v>7108800</v>
      </c>
      <c r="X304" s="742">
        <f t="shared" ref="X304:X310" si="129">W304*6%</f>
        <v>426528</v>
      </c>
      <c r="Y304" s="742">
        <f t="shared" ref="Y304:Y310" si="130">W304*2.5%</f>
        <v>177720</v>
      </c>
      <c r="Z304" s="742">
        <f>W304*12%</f>
        <v>853056</v>
      </c>
      <c r="AA304" s="742">
        <f t="shared" si="127"/>
        <v>8566104</v>
      </c>
      <c r="AB304" s="742"/>
      <c r="AC304" s="739">
        <v>0.4</v>
      </c>
      <c r="AD304" s="742">
        <f t="shared" ref="AD304:AD310" si="131">AA304*AC304</f>
        <v>3426441.6</v>
      </c>
      <c r="AE304" s="738">
        <v>100000</v>
      </c>
      <c r="AF304" s="742">
        <f>(AD304-AE304)/(AG304)</f>
        <v>77359.106976744195</v>
      </c>
      <c r="AG304" s="740">
        <v>43</v>
      </c>
      <c r="AH304" s="742">
        <f>AA304-AD304</f>
        <v>5139662.4000000004</v>
      </c>
      <c r="AI304" s="738">
        <f>SUM(AK304:ES304)</f>
        <v>0</v>
      </c>
      <c r="AJ304" s="742">
        <f>AI304-AA304</f>
        <v>-8566104</v>
      </c>
    </row>
    <row r="305" spans="1:149" x14ac:dyDescent="0.2">
      <c r="A305" s="737"/>
      <c r="B305" s="736">
        <v>3</v>
      </c>
      <c r="C305" s="736" t="s">
        <v>135</v>
      </c>
      <c r="D305" s="736" t="s">
        <v>123</v>
      </c>
      <c r="E305" s="736" t="s">
        <v>433</v>
      </c>
      <c r="F305" s="736" t="s">
        <v>437</v>
      </c>
      <c r="G305" s="736" t="str">
        <f t="shared" si="128"/>
        <v>C-3</v>
      </c>
      <c r="H305" s="736" t="s">
        <v>435</v>
      </c>
      <c r="I305" s="742">
        <f>'[18]Package Breakdown - Casas'!P9</f>
        <v>36.35</v>
      </c>
      <c r="J305" s="736"/>
      <c r="K305" s="742">
        <f>I305+J305</f>
        <v>36.35</v>
      </c>
      <c r="L305" s="742">
        <f>'[18]Package Breakdown - Casas'!P17</f>
        <v>5816000</v>
      </c>
      <c r="M305" s="736"/>
      <c r="N305" s="736"/>
      <c r="O305" s="738"/>
      <c r="P305" s="738"/>
      <c r="Q305" s="736"/>
      <c r="R305" s="738"/>
      <c r="S305" s="738"/>
      <c r="T305" s="738"/>
      <c r="U305" s="738"/>
      <c r="V305" s="738"/>
      <c r="W305" s="742">
        <f t="shared" si="126"/>
        <v>5816000</v>
      </c>
      <c r="X305" s="742">
        <f t="shared" si="129"/>
        <v>348960</v>
      </c>
      <c r="Y305" s="742">
        <f t="shared" si="130"/>
        <v>145400</v>
      </c>
      <c r="Z305" s="742">
        <f>W305*12%</f>
        <v>697920</v>
      </c>
      <c r="AA305" s="742">
        <f t="shared" si="127"/>
        <v>7008280</v>
      </c>
      <c r="AB305" s="742"/>
      <c r="AC305" s="739">
        <v>0.4</v>
      </c>
      <c r="AD305" s="742">
        <f t="shared" si="131"/>
        <v>2803312</v>
      </c>
      <c r="AE305" s="738">
        <v>100000</v>
      </c>
      <c r="AF305" s="742">
        <f>(AD305-AE305)/(AG305)</f>
        <v>62867.720930232557</v>
      </c>
      <c r="AG305" s="740">
        <v>43</v>
      </c>
      <c r="AH305" s="742">
        <f>AA305-AD305</f>
        <v>4204968</v>
      </c>
      <c r="AI305" s="738">
        <f>SUM(AK305:ES305)</f>
        <v>0</v>
      </c>
      <c r="AJ305" s="742">
        <f>AI305-AA305</f>
        <v>-7008280</v>
      </c>
    </row>
    <row r="306" spans="1:149" x14ac:dyDescent="0.2">
      <c r="A306" s="737"/>
      <c r="B306" s="736">
        <v>4</v>
      </c>
      <c r="C306" s="736" t="s">
        <v>135</v>
      </c>
      <c r="D306" s="736" t="s">
        <v>123</v>
      </c>
      <c r="E306" s="736" t="s">
        <v>433</v>
      </c>
      <c r="F306" s="736" t="s">
        <v>438</v>
      </c>
      <c r="G306" s="736" t="str">
        <f t="shared" si="128"/>
        <v>C-4</v>
      </c>
      <c r="H306" s="736" t="s">
        <v>435</v>
      </c>
      <c r="I306" s="742">
        <f>'[18]Package Breakdown - Casas'!Q9</f>
        <v>79.31</v>
      </c>
      <c r="J306" s="736"/>
      <c r="K306" s="742">
        <f>I306+J306</f>
        <v>79.31</v>
      </c>
      <c r="L306" s="742">
        <f>'[18]Package Breakdown - Casas'!Q17</f>
        <v>12689600</v>
      </c>
      <c r="M306" s="736"/>
      <c r="N306" s="736"/>
      <c r="O306" s="738"/>
      <c r="P306" s="738"/>
      <c r="Q306" s="736"/>
      <c r="R306" s="738"/>
      <c r="S306" s="738"/>
      <c r="T306" s="738"/>
      <c r="U306" s="738"/>
      <c r="V306" s="738"/>
      <c r="W306" s="742">
        <f t="shared" si="126"/>
        <v>12689600</v>
      </c>
      <c r="X306" s="742">
        <f t="shared" si="129"/>
        <v>761376</v>
      </c>
      <c r="Y306" s="742">
        <f t="shared" si="130"/>
        <v>317240</v>
      </c>
      <c r="Z306" s="742">
        <f>W306*12%</f>
        <v>1522752</v>
      </c>
      <c r="AA306" s="742">
        <f t="shared" si="127"/>
        <v>15290968</v>
      </c>
      <c r="AB306" s="742"/>
      <c r="AC306" s="739">
        <v>0.4</v>
      </c>
      <c r="AD306" s="742">
        <f t="shared" si="131"/>
        <v>6116387.2000000002</v>
      </c>
      <c r="AE306" s="738">
        <v>100000</v>
      </c>
      <c r="AF306" s="742">
        <f>(AD306-AE306)/(AG306)</f>
        <v>139915.98139534885</v>
      </c>
      <c r="AG306" s="740">
        <v>43</v>
      </c>
      <c r="AH306" s="742">
        <f>AA306-AD306</f>
        <v>9174580.8000000007</v>
      </c>
      <c r="AI306" s="738">
        <f>SUM(AK306:ES306)</f>
        <v>0</v>
      </c>
      <c r="AJ306" s="742">
        <f>AI306-AA306</f>
        <v>-15290968</v>
      </c>
    </row>
    <row r="307" spans="1:149" x14ac:dyDescent="0.2">
      <c r="A307" s="737"/>
      <c r="B307" s="736">
        <v>5</v>
      </c>
      <c r="C307" s="736" t="s">
        <v>135</v>
      </c>
      <c r="D307" s="736" t="s">
        <v>123</v>
      </c>
      <c r="E307" s="736" t="s">
        <v>433</v>
      </c>
      <c r="F307" s="736" t="s">
        <v>439</v>
      </c>
      <c r="G307" s="736" t="str">
        <f t="shared" si="128"/>
        <v>C-5</v>
      </c>
      <c r="H307" s="736" t="s">
        <v>435</v>
      </c>
      <c r="I307" s="742">
        <f>'[18]Package Breakdown - Casas'!R9</f>
        <v>46.32</v>
      </c>
      <c r="J307" s="736"/>
      <c r="K307" s="742">
        <f>I307+J307</f>
        <v>46.32</v>
      </c>
      <c r="L307" s="742">
        <f>'[18]Package Breakdown - Casas'!R17</f>
        <v>7411200</v>
      </c>
      <c r="M307" s="736"/>
      <c r="N307" s="736"/>
      <c r="O307" s="738"/>
      <c r="P307" s="738"/>
      <c r="Q307" s="736"/>
      <c r="R307" s="738"/>
      <c r="S307" s="738"/>
      <c r="T307" s="738"/>
      <c r="U307" s="738"/>
      <c r="V307" s="738"/>
      <c r="W307" s="742">
        <f t="shared" si="126"/>
        <v>7411200</v>
      </c>
      <c r="X307" s="742">
        <f t="shared" si="129"/>
        <v>444672</v>
      </c>
      <c r="Y307" s="742">
        <f t="shared" si="130"/>
        <v>185280</v>
      </c>
      <c r="Z307" s="742">
        <f>W307*12%</f>
        <v>889344</v>
      </c>
      <c r="AA307" s="742">
        <f t="shared" si="127"/>
        <v>8930496</v>
      </c>
      <c r="AB307" s="742"/>
      <c r="AC307" s="739">
        <v>0.4</v>
      </c>
      <c r="AD307" s="742">
        <f t="shared" si="131"/>
        <v>3572198.4000000004</v>
      </c>
      <c r="AE307" s="738">
        <v>100000</v>
      </c>
      <c r="AF307" s="742">
        <f>(AD307-AE307)/(AG307)</f>
        <v>80748.800000000003</v>
      </c>
      <c r="AG307" s="740">
        <v>43</v>
      </c>
      <c r="AH307" s="742">
        <f>AA307-AD307</f>
        <v>5358297.5999999996</v>
      </c>
      <c r="AI307" s="738">
        <f>SUM(AK307:ES307)</f>
        <v>0</v>
      </c>
      <c r="AJ307" s="742">
        <f>AI307-AA307</f>
        <v>-8930496</v>
      </c>
    </row>
    <row r="308" spans="1:149" x14ac:dyDescent="0.2">
      <c r="A308" s="737"/>
      <c r="B308" s="736">
        <v>6</v>
      </c>
      <c r="C308" s="736" t="s">
        <v>135</v>
      </c>
      <c r="D308" s="736" t="s">
        <v>123</v>
      </c>
      <c r="E308" s="736" t="s">
        <v>433</v>
      </c>
      <c r="F308" s="736" t="s">
        <v>440</v>
      </c>
      <c r="G308" s="736" t="str">
        <f t="shared" si="128"/>
        <v>C-6</v>
      </c>
      <c r="H308" s="736" t="s">
        <v>435</v>
      </c>
      <c r="I308" s="742">
        <f>'[18]Package Breakdown - Casas'!S9</f>
        <v>50.68</v>
      </c>
      <c r="J308" s="736"/>
      <c r="K308" s="742">
        <f t="shared" ref="K308:K310" si="132">I308+J308</f>
        <v>50.68</v>
      </c>
      <c r="L308" s="742">
        <f>'[18]Package Breakdown - Casas'!S17</f>
        <v>8108800</v>
      </c>
      <c r="M308" s="736"/>
      <c r="N308" s="736"/>
      <c r="O308" s="738"/>
      <c r="P308" s="738"/>
      <c r="Q308" s="736"/>
      <c r="R308" s="738"/>
      <c r="S308" s="738"/>
      <c r="T308" s="738"/>
      <c r="U308" s="738"/>
      <c r="V308" s="738"/>
      <c r="W308" s="742">
        <f t="shared" si="126"/>
        <v>8108800</v>
      </c>
      <c r="X308" s="742">
        <f t="shared" si="129"/>
        <v>486528</v>
      </c>
      <c r="Y308" s="742">
        <f t="shared" si="130"/>
        <v>202720</v>
      </c>
      <c r="Z308" s="742">
        <f t="shared" ref="Z308:Z310" si="133">W308*12%</f>
        <v>973056</v>
      </c>
      <c r="AA308" s="742">
        <f t="shared" si="127"/>
        <v>9771104</v>
      </c>
      <c r="AB308" s="742"/>
      <c r="AC308" s="739">
        <v>0.4</v>
      </c>
      <c r="AD308" s="742">
        <f t="shared" si="131"/>
        <v>3908441.6</v>
      </c>
      <c r="AE308" s="738">
        <v>100000</v>
      </c>
      <c r="AF308" s="742">
        <f t="shared" ref="AF308:AF310" si="134">(AD308-AE308)/(AG308)</f>
        <v>88568.409302325585</v>
      </c>
      <c r="AG308" s="740">
        <v>43</v>
      </c>
      <c r="AH308" s="742">
        <f t="shared" ref="AH308:AH310" si="135">AA308-AD308</f>
        <v>5862662.4000000004</v>
      </c>
      <c r="AI308" s="738">
        <f t="shared" ref="AI308:AI310" si="136">SUM(AK308:ES308)</f>
        <v>0</v>
      </c>
      <c r="AJ308" s="742">
        <f t="shared" ref="AJ308:AJ310" si="137">AI308-AA308</f>
        <v>-9771104</v>
      </c>
    </row>
    <row r="309" spans="1:149" x14ac:dyDescent="0.2">
      <c r="A309" s="737"/>
      <c r="B309" s="736">
        <v>7</v>
      </c>
      <c r="C309" s="736" t="s">
        <v>135</v>
      </c>
      <c r="D309" s="736" t="s">
        <v>123</v>
      </c>
      <c r="E309" s="736" t="s">
        <v>433</v>
      </c>
      <c r="F309" s="736" t="s">
        <v>441</v>
      </c>
      <c r="G309" s="736" t="str">
        <f t="shared" si="128"/>
        <v>C-7</v>
      </c>
      <c r="H309" s="736" t="s">
        <v>435</v>
      </c>
      <c r="I309" s="742">
        <f>'[18]Package Breakdown - Casas'!T9</f>
        <v>55.37</v>
      </c>
      <c r="J309" s="736"/>
      <c r="K309" s="742">
        <f t="shared" si="132"/>
        <v>55.37</v>
      </c>
      <c r="L309" s="742">
        <f>'[18]Package Breakdown - Casas'!T17</f>
        <v>8859200</v>
      </c>
      <c r="M309" s="736"/>
      <c r="N309" s="736"/>
      <c r="O309" s="738"/>
      <c r="P309" s="738"/>
      <c r="Q309" s="736"/>
      <c r="R309" s="738"/>
      <c r="S309" s="738"/>
      <c r="T309" s="738"/>
      <c r="U309" s="738"/>
      <c r="V309" s="738"/>
      <c r="W309" s="742">
        <f t="shared" si="126"/>
        <v>8859200</v>
      </c>
      <c r="X309" s="742">
        <f t="shared" si="129"/>
        <v>531552</v>
      </c>
      <c r="Y309" s="742">
        <f t="shared" si="130"/>
        <v>221480</v>
      </c>
      <c r="Z309" s="742">
        <f t="shared" si="133"/>
        <v>1063104</v>
      </c>
      <c r="AA309" s="742">
        <f t="shared" si="127"/>
        <v>10675336</v>
      </c>
      <c r="AB309" s="742"/>
      <c r="AC309" s="739">
        <v>0.4</v>
      </c>
      <c r="AD309" s="742">
        <f t="shared" si="131"/>
        <v>4270134.4000000004</v>
      </c>
      <c r="AE309" s="738">
        <v>100000</v>
      </c>
      <c r="AF309" s="742">
        <f t="shared" si="134"/>
        <v>96979.869767441865</v>
      </c>
      <c r="AG309" s="740">
        <v>43</v>
      </c>
      <c r="AH309" s="742">
        <f t="shared" si="135"/>
        <v>6405201.5999999996</v>
      </c>
      <c r="AI309" s="738">
        <f t="shared" si="136"/>
        <v>0</v>
      </c>
      <c r="AJ309" s="742">
        <f t="shared" si="137"/>
        <v>-10675336</v>
      </c>
    </row>
    <row r="310" spans="1:149" x14ac:dyDescent="0.2">
      <c r="A310" s="737"/>
      <c r="B310" s="736">
        <v>8</v>
      </c>
      <c r="C310" s="736" t="s">
        <v>135</v>
      </c>
      <c r="D310" s="736" t="s">
        <v>123</v>
      </c>
      <c r="E310" s="736" t="s">
        <v>433</v>
      </c>
      <c r="F310" s="736" t="s">
        <v>442</v>
      </c>
      <c r="G310" s="736" t="s">
        <v>442</v>
      </c>
      <c r="H310" s="736" t="s">
        <v>435</v>
      </c>
      <c r="I310" s="742">
        <f>'[18]Package Breakdown - Casas'!U9</f>
        <v>82.04</v>
      </c>
      <c r="J310" s="736"/>
      <c r="K310" s="742">
        <f t="shared" si="132"/>
        <v>82.04</v>
      </c>
      <c r="L310" s="742">
        <f>'[18]Package Breakdown - Casas'!U17</f>
        <v>13126400.000000002</v>
      </c>
      <c r="M310" s="736"/>
      <c r="N310" s="736"/>
      <c r="O310" s="738"/>
      <c r="P310" s="738"/>
      <c r="Q310" s="736"/>
      <c r="R310" s="738"/>
      <c r="S310" s="738"/>
      <c r="T310" s="738"/>
      <c r="U310" s="738"/>
      <c r="V310" s="738"/>
      <c r="W310" s="742">
        <f t="shared" si="126"/>
        <v>13126400.000000002</v>
      </c>
      <c r="X310" s="742">
        <f t="shared" si="129"/>
        <v>787584.00000000012</v>
      </c>
      <c r="Y310" s="742">
        <f t="shared" si="130"/>
        <v>328160.00000000006</v>
      </c>
      <c r="Z310" s="742">
        <f t="shared" si="133"/>
        <v>1575168.0000000002</v>
      </c>
      <c r="AA310" s="742">
        <f t="shared" si="127"/>
        <v>15817312.000000002</v>
      </c>
      <c r="AB310" s="742"/>
      <c r="AC310" s="739">
        <v>0.4</v>
      </c>
      <c r="AD310" s="742">
        <f t="shared" si="131"/>
        <v>6326924.8000000007</v>
      </c>
      <c r="AE310" s="738">
        <v>100000</v>
      </c>
      <c r="AF310" s="742">
        <f t="shared" si="134"/>
        <v>144812.20465116281</v>
      </c>
      <c r="AG310" s="740">
        <v>43</v>
      </c>
      <c r="AH310" s="742">
        <f t="shared" si="135"/>
        <v>9490387.2000000011</v>
      </c>
      <c r="AI310" s="738">
        <f t="shared" si="136"/>
        <v>0</v>
      </c>
      <c r="AJ310" s="742">
        <f t="shared" si="137"/>
        <v>-15817312.000000002</v>
      </c>
    </row>
    <row r="311" spans="1:149" x14ac:dyDescent="0.2">
      <c r="W311" s="726">
        <f>SUM(W303:W310)</f>
        <v>70230400</v>
      </c>
      <c r="X311" s="726">
        <f t="shared" ref="X311:CN311" si="138">SUM(X303:X310)</f>
        <v>4213824</v>
      </c>
      <c r="Y311" s="726">
        <f t="shared" si="138"/>
        <v>1755760</v>
      </c>
      <c r="Z311" s="726">
        <f t="shared" si="138"/>
        <v>8427648</v>
      </c>
      <c r="AA311" s="726">
        <f t="shared" si="138"/>
        <v>84627632</v>
      </c>
      <c r="AB311" s="726"/>
      <c r="AD311" s="726">
        <f t="shared" si="138"/>
        <v>33851052.799999997</v>
      </c>
      <c r="AE311" s="726">
        <f t="shared" si="138"/>
        <v>800000</v>
      </c>
      <c r="AF311" s="726">
        <f t="shared" si="138"/>
        <v>768629.13488372101</v>
      </c>
      <c r="AH311" s="726">
        <f t="shared" si="138"/>
        <v>50776579.200000003</v>
      </c>
      <c r="AI311" s="726">
        <f t="shared" si="138"/>
        <v>0</v>
      </c>
      <c r="AJ311" s="726">
        <f t="shared" si="138"/>
        <v>-84627632</v>
      </c>
      <c r="AK311" s="726">
        <f t="shared" si="138"/>
        <v>0</v>
      </c>
      <c r="AL311" s="726"/>
      <c r="AM311" s="726"/>
      <c r="AN311" s="726">
        <f t="shared" si="138"/>
        <v>0</v>
      </c>
      <c r="AO311" s="726">
        <f t="shared" si="138"/>
        <v>0</v>
      </c>
      <c r="AP311" s="726">
        <f t="shared" si="138"/>
        <v>0</v>
      </c>
      <c r="AQ311" s="726">
        <f t="shared" si="138"/>
        <v>0</v>
      </c>
      <c r="AR311" s="726">
        <f t="shared" si="138"/>
        <v>0</v>
      </c>
      <c r="AS311" s="726">
        <f t="shared" si="138"/>
        <v>0</v>
      </c>
      <c r="AT311" s="726">
        <f t="shared" si="138"/>
        <v>0</v>
      </c>
      <c r="AU311" s="726">
        <f t="shared" si="138"/>
        <v>0</v>
      </c>
      <c r="AV311" s="726">
        <f t="shared" si="138"/>
        <v>0</v>
      </c>
      <c r="AW311" s="726">
        <f t="shared" si="138"/>
        <v>0</v>
      </c>
      <c r="AX311" s="726">
        <f t="shared" si="138"/>
        <v>0</v>
      </c>
      <c r="AY311" s="726">
        <f t="shared" si="138"/>
        <v>0</v>
      </c>
      <c r="AZ311" s="726">
        <f t="shared" si="138"/>
        <v>0</v>
      </c>
      <c r="BA311" s="726">
        <f t="shared" si="138"/>
        <v>0</v>
      </c>
      <c r="BB311" s="726">
        <f t="shared" si="138"/>
        <v>0</v>
      </c>
      <c r="BC311" s="726">
        <f t="shared" si="138"/>
        <v>0</v>
      </c>
      <c r="BD311" s="726">
        <f t="shared" si="138"/>
        <v>0</v>
      </c>
      <c r="BE311" s="726">
        <f t="shared" si="138"/>
        <v>0</v>
      </c>
      <c r="BF311" s="726">
        <f t="shared" si="138"/>
        <v>0</v>
      </c>
      <c r="BG311" s="726">
        <f t="shared" si="138"/>
        <v>0</v>
      </c>
      <c r="BH311" s="726">
        <f t="shared" si="138"/>
        <v>0</v>
      </c>
      <c r="BI311" s="726">
        <f t="shared" si="138"/>
        <v>0</v>
      </c>
      <c r="BJ311" s="726">
        <f t="shared" si="138"/>
        <v>0</v>
      </c>
      <c r="BK311" s="726">
        <f t="shared" si="138"/>
        <v>0</v>
      </c>
      <c r="BL311" s="726">
        <f t="shared" si="138"/>
        <v>0</v>
      </c>
      <c r="BM311" s="726">
        <f t="shared" si="138"/>
        <v>0</v>
      </c>
      <c r="BN311" s="726">
        <f t="shared" si="138"/>
        <v>0</v>
      </c>
      <c r="BO311" s="726">
        <f t="shared" si="138"/>
        <v>0</v>
      </c>
      <c r="BP311" s="726">
        <f t="shared" si="138"/>
        <v>0</v>
      </c>
      <c r="BQ311" s="726">
        <f t="shared" si="138"/>
        <v>0</v>
      </c>
      <c r="BR311" s="726">
        <f t="shared" si="138"/>
        <v>0</v>
      </c>
      <c r="BS311" s="726">
        <f t="shared" si="138"/>
        <v>0</v>
      </c>
      <c r="BT311" s="726">
        <f t="shared" si="138"/>
        <v>0</v>
      </c>
      <c r="BU311" s="726">
        <f t="shared" si="138"/>
        <v>0</v>
      </c>
      <c r="BV311" s="726">
        <f t="shared" si="138"/>
        <v>0</v>
      </c>
      <c r="BW311" s="726">
        <f t="shared" si="138"/>
        <v>0</v>
      </c>
      <c r="BX311" s="726">
        <f t="shared" si="138"/>
        <v>0</v>
      </c>
      <c r="BY311" s="726">
        <f t="shared" si="138"/>
        <v>0</v>
      </c>
      <c r="BZ311" s="726">
        <f t="shared" si="138"/>
        <v>0</v>
      </c>
      <c r="CA311" s="726">
        <f t="shared" si="138"/>
        <v>0</v>
      </c>
      <c r="CB311" s="726">
        <f t="shared" si="138"/>
        <v>0</v>
      </c>
      <c r="CC311" s="726">
        <f t="shared" si="138"/>
        <v>0</v>
      </c>
      <c r="CD311" s="726">
        <f t="shared" si="138"/>
        <v>0</v>
      </c>
      <c r="CE311" s="726">
        <f t="shared" si="138"/>
        <v>0</v>
      </c>
      <c r="CF311" s="726">
        <f t="shared" si="138"/>
        <v>0</v>
      </c>
      <c r="CG311" s="726">
        <f t="shared" si="138"/>
        <v>0</v>
      </c>
      <c r="CH311" s="726">
        <f t="shared" si="138"/>
        <v>0</v>
      </c>
      <c r="CI311" s="726">
        <f t="shared" si="138"/>
        <v>0</v>
      </c>
      <c r="CJ311" s="726">
        <f t="shared" si="138"/>
        <v>0</v>
      </c>
      <c r="CK311" s="726">
        <f t="shared" si="138"/>
        <v>0</v>
      </c>
      <c r="CL311" s="726">
        <f t="shared" si="138"/>
        <v>0</v>
      </c>
      <c r="CM311" s="726">
        <f t="shared" si="138"/>
        <v>0</v>
      </c>
      <c r="CN311" s="726">
        <f t="shared" si="138"/>
        <v>0</v>
      </c>
      <c r="CO311" s="726">
        <f t="shared" ref="CO311:ES311" si="139">SUM(CO303:CO310)</f>
        <v>0</v>
      </c>
      <c r="CP311" s="726">
        <f t="shared" si="139"/>
        <v>0</v>
      </c>
      <c r="CQ311" s="726">
        <f t="shared" si="139"/>
        <v>0</v>
      </c>
      <c r="CR311" s="726">
        <f t="shared" si="139"/>
        <v>0</v>
      </c>
      <c r="CS311" s="726">
        <f t="shared" si="139"/>
        <v>0</v>
      </c>
      <c r="CT311" s="726">
        <f t="shared" si="139"/>
        <v>0</v>
      </c>
      <c r="CU311" s="726">
        <f t="shared" si="139"/>
        <v>0</v>
      </c>
      <c r="CV311" s="726">
        <f t="shared" si="139"/>
        <v>0</v>
      </c>
      <c r="CW311" s="726">
        <f t="shared" si="139"/>
        <v>0</v>
      </c>
      <c r="CX311" s="723">
        <f t="shared" si="139"/>
        <v>0</v>
      </c>
      <c r="CY311" s="723">
        <f t="shared" si="139"/>
        <v>0</v>
      </c>
      <c r="CZ311" s="723">
        <f t="shared" si="139"/>
        <v>0</v>
      </c>
      <c r="DA311" s="723">
        <f t="shared" si="139"/>
        <v>0</v>
      </c>
      <c r="DB311" s="723">
        <f t="shared" si="139"/>
        <v>0</v>
      </c>
      <c r="DC311" s="723">
        <f t="shared" si="139"/>
        <v>0</v>
      </c>
      <c r="DD311" s="723">
        <f t="shared" si="139"/>
        <v>0</v>
      </c>
      <c r="DE311" s="723">
        <f t="shared" si="139"/>
        <v>0</v>
      </c>
      <c r="DF311" s="723">
        <f t="shared" si="139"/>
        <v>0</v>
      </c>
      <c r="DG311" s="723">
        <f t="shared" si="139"/>
        <v>0</v>
      </c>
      <c r="DH311" s="723">
        <f t="shared" si="139"/>
        <v>0</v>
      </c>
      <c r="DI311" s="723">
        <f t="shared" si="139"/>
        <v>0</v>
      </c>
      <c r="DJ311" s="723">
        <f t="shared" si="139"/>
        <v>0</v>
      </c>
      <c r="DK311" s="723">
        <f t="shared" si="139"/>
        <v>0</v>
      </c>
      <c r="DL311" s="723">
        <f t="shared" si="139"/>
        <v>0</v>
      </c>
      <c r="DM311" s="723">
        <f t="shared" si="139"/>
        <v>0</v>
      </c>
      <c r="DN311" s="723">
        <f t="shared" si="139"/>
        <v>0</v>
      </c>
      <c r="DO311" s="723">
        <f t="shared" si="139"/>
        <v>0</v>
      </c>
      <c r="DP311" s="723">
        <f t="shared" si="139"/>
        <v>0</v>
      </c>
      <c r="DQ311" s="723">
        <f t="shared" si="139"/>
        <v>0</v>
      </c>
      <c r="DR311" s="723">
        <f t="shared" si="139"/>
        <v>0</v>
      </c>
      <c r="DS311" s="723">
        <f t="shared" si="139"/>
        <v>0</v>
      </c>
      <c r="DT311" s="723">
        <f t="shared" si="139"/>
        <v>0</v>
      </c>
      <c r="DU311" s="723">
        <f t="shared" si="139"/>
        <v>0</v>
      </c>
      <c r="DV311" s="723">
        <f t="shared" si="139"/>
        <v>0</v>
      </c>
      <c r="DW311" s="723">
        <f t="shared" si="139"/>
        <v>0</v>
      </c>
      <c r="DX311" s="723">
        <f t="shared" si="139"/>
        <v>0</v>
      </c>
      <c r="DY311" s="723">
        <f t="shared" si="139"/>
        <v>0</v>
      </c>
      <c r="DZ311" s="723">
        <f t="shared" si="139"/>
        <v>0</v>
      </c>
      <c r="EA311" s="723">
        <f t="shared" si="139"/>
        <v>0</v>
      </c>
      <c r="EB311" s="723">
        <f t="shared" si="139"/>
        <v>0</v>
      </c>
      <c r="EC311" s="723">
        <f t="shared" si="139"/>
        <v>0</v>
      </c>
      <c r="ED311" s="723">
        <f t="shared" si="139"/>
        <v>0</v>
      </c>
      <c r="EE311" s="723">
        <f t="shared" si="139"/>
        <v>0</v>
      </c>
      <c r="EF311" s="723">
        <f t="shared" si="139"/>
        <v>0</v>
      </c>
      <c r="EG311" s="723">
        <f t="shared" si="139"/>
        <v>0</v>
      </c>
      <c r="EH311" s="723">
        <f t="shared" si="139"/>
        <v>0</v>
      </c>
      <c r="EI311" s="723">
        <f t="shared" si="139"/>
        <v>0</v>
      </c>
      <c r="EJ311" s="723">
        <f t="shared" si="139"/>
        <v>0</v>
      </c>
      <c r="EK311" s="723">
        <f t="shared" si="139"/>
        <v>0</v>
      </c>
      <c r="EL311" s="723">
        <f t="shared" si="139"/>
        <v>0</v>
      </c>
      <c r="EM311" s="723">
        <f t="shared" si="139"/>
        <v>0</v>
      </c>
      <c r="EN311" s="723">
        <f t="shared" si="139"/>
        <v>0</v>
      </c>
      <c r="EO311" s="723">
        <f t="shared" si="139"/>
        <v>0</v>
      </c>
      <c r="EP311" s="723">
        <f t="shared" si="139"/>
        <v>0</v>
      </c>
      <c r="EQ311" s="723">
        <f t="shared" si="139"/>
        <v>0</v>
      </c>
      <c r="ER311" s="723">
        <f t="shared" si="139"/>
        <v>0</v>
      </c>
      <c r="ES311" s="723">
        <f t="shared" si="139"/>
        <v>0</v>
      </c>
    </row>
    <row r="312" spans="1:149" x14ac:dyDescent="0.2">
      <c r="AA312" s="726"/>
      <c r="AB312" s="726"/>
      <c r="AI312" s="723">
        <f>SUM(AK312:EG312)</f>
        <v>0</v>
      </c>
      <c r="AJ312" s="726">
        <f>AI312-AE311</f>
        <v>-800000</v>
      </c>
      <c r="AO312" s="727">
        <f>AO303</f>
        <v>0</v>
      </c>
      <c r="AR312" s="727">
        <f>AR304</f>
        <v>0</v>
      </c>
      <c r="AU312" s="727">
        <f>AU305</f>
        <v>0</v>
      </c>
      <c r="AX312" s="727">
        <f>AX306</f>
        <v>0</v>
      </c>
      <c r="BA312" s="727">
        <f>BA307</f>
        <v>0</v>
      </c>
      <c r="BD312" s="727">
        <f>BD308</f>
        <v>0</v>
      </c>
      <c r="BG312" s="727">
        <f>BG309</f>
        <v>0</v>
      </c>
    </row>
    <row r="313" spans="1:149" x14ac:dyDescent="0.2">
      <c r="AI313" s="723">
        <f>SUM(AK313:EG313)</f>
        <v>0</v>
      </c>
      <c r="AJ313" s="726">
        <f>AI313-AD311</f>
        <v>-33851052.799999997</v>
      </c>
      <c r="AP313" s="727">
        <f>SUM(AP303)</f>
        <v>0</v>
      </c>
      <c r="AQ313" s="727">
        <f>SUM(AQ303)</f>
        <v>0</v>
      </c>
      <c r="AR313" s="727">
        <f>SUM(AR303)</f>
        <v>0</v>
      </c>
      <c r="AS313" s="727">
        <f>SUM(AS303:AS310)</f>
        <v>0</v>
      </c>
      <c r="AT313" s="727">
        <f>SUM(AT303:AT310)</f>
        <v>0</v>
      </c>
      <c r="AU313" s="727">
        <f>SUM(AU303:AU304)</f>
        <v>0</v>
      </c>
      <c r="AV313" s="727">
        <f>SUM(AV303:AV305)</f>
        <v>0</v>
      </c>
      <c r="AW313" s="727">
        <f>SUM(AW303:AW305)</f>
        <v>0</v>
      </c>
      <c r="AX313" s="727">
        <f>SUM(AX303:AX305)</f>
        <v>0</v>
      </c>
      <c r="AY313" s="727">
        <f>SUM(AY303:AY306)</f>
        <v>0</v>
      </c>
      <c r="AZ313" s="727">
        <f>SUM(AZ303:AZ306)</f>
        <v>0</v>
      </c>
      <c r="BA313" s="727">
        <f>SUM(BA303:BA306)</f>
        <v>0</v>
      </c>
      <c r="BB313" s="727">
        <f>SUM(BB303:BB307)</f>
        <v>0</v>
      </c>
      <c r="BC313" s="727">
        <f>SUM(BC303:BC307)</f>
        <v>0</v>
      </c>
      <c r="BD313" s="727">
        <f>SUM(BD303:BD307)</f>
        <v>0</v>
      </c>
      <c r="BE313" s="727">
        <f>SUM(BE303:BE310)</f>
        <v>0</v>
      </c>
      <c r="BF313" s="727">
        <f t="shared" ref="BF313:CD313" si="140">SUM(BF303:BF310)</f>
        <v>0</v>
      </c>
      <c r="BG313" s="727">
        <f t="shared" si="140"/>
        <v>0</v>
      </c>
      <c r="BH313" s="727">
        <f t="shared" si="140"/>
        <v>0</v>
      </c>
      <c r="BI313" s="727">
        <f t="shared" si="140"/>
        <v>0</v>
      </c>
      <c r="BJ313" s="727">
        <f t="shared" si="140"/>
        <v>0</v>
      </c>
      <c r="BK313" s="727">
        <f t="shared" si="140"/>
        <v>0</v>
      </c>
      <c r="BL313" s="727">
        <f t="shared" si="140"/>
        <v>0</v>
      </c>
      <c r="BM313" s="727">
        <f t="shared" si="140"/>
        <v>0</v>
      </c>
      <c r="BN313" s="727">
        <f t="shared" si="140"/>
        <v>0</v>
      </c>
      <c r="BO313" s="727">
        <f t="shared" si="140"/>
        <v>0</v>
      </c>
      <c r="BP313" s="727">
        <f t="shared" si="140"/>
        <v>0</v>
      </c>
      <c r="BQ313" s="727">
        <f t="shared" si="140"/>
        <v>0</v>
      </c>
      <c r="BR313" s="727">
        <f t="shared" si="140"/>
        <v>0</v>
      </c>
      <c r="BS313" s="727">
        <f t="shared" si="140"/>
        <v>0</v>
      </c>
      <c r="BT313" s="727">
        <f t="shared" si="140"/>
        <v>0</v>
      </c>
      <c r="BU313" s="727">
        <f t="shared" si="140"/>
        <v>0</v>
      </c>
      <c r="BV313" s="727">
        <f t="shared" si="140"/>
        <v>0</v>
      </c>
      <c r="BW313" s="727">
        <f t="shared" si="140"/>
        <v>0</v>
      </c>
      <c r="BX313" s="727">
        <f t="shared" si="140"/>
        <v>0</v>
      </c>
      <c r="BY313" s="727">
        <f t="shared" si="140"/>
        <v>0</v>
      </c>
      <c r="BZ313" s="727">
        <f t="shared" si="140"/>
        <v>0</v>
      </c>
      <c r="CA313" s="727">
        <f t="shared" si="140"/>
        <v>0</v>
      </c>
      <c r="CB313" s="727">
        <f t="shared" si="140"/>
        <v>0</v>
      </c>
      <c r="CC313" s="727">
        <f t="shared" si="140"/>
        <v>0</v>
      </c>
      <c r="CD313" s="727">
        <f t="shared" si="140"/>
        <v>0</v>
      </c>
    </row>
    <row r="314" spans="1:149" x14ac:dyDescent="0.2">
      <c r="W314" s="735">
        <f>W133+W311</f>
        <v>1257025430</v>
      </c>
      <c r="AI314" s="723">
        <f>SUM(AK314:EG314)</f>
        <v>0</v>
      </c>
      <c r="AJ314" s="726">
        <f>AI314-AH311</f>
        <v>-50776579.200000003</v>
      </c>
      <c r="CE314" s="727">
        <f>SUM(CE303:CE310)</f>
        <v>0</v>
      </c>
    </row>
    <row r="315" spans="1:149" x14ac:dyDescent="0.2">
      <c r="W315" s="735">
        <f>[18]PriceLink_Fitted!N152</f>
        <v>1326612830.48</v>
      </c>
      <c r="AI315" s="723">
        <f>SUM(AK315:EG315)</f>
        <v>14397232</v>
      </c>
      <c r="AJ315" s="726">
        <f>AI315-(SUM(X311:Z311))</f>
        <v>0</v>
      </c>
      <c r="CE315" s="727">
        <f>SUM(X311:Z311)</f>
        <v>14397232</v>
      </c>
    </row>
  </sheetData>
  <sheetProtection algorithmName="SHA-512" hashValue="OIvURhnfHDNhkRJRHMDcE2DkX62e9fSOo5c455Q9dRIT1lKLsqjicUMKtYnQd/8A/vEzm21qpfRljLvJNPLrfw==" saltValue="kgZMt4Jsmt6T9cvTIjIDlw==" spinCount="100000" sheet="1" objects="1" scenarios="1" selectLockedCells="1" selectUnlockedCells="1"/>
  <mergeCells count="10">
    <mergeCell ref="A81:A93"/>
    <mergeCell ref="A94:A106"/>
    <mergeCell ref="A107:A119"/>
    <mergeCell ref="A120:A132"/>
    <mergeCell ref="A3:A15"/>
    <mergeCell ref="A16:A28"/>
    <mergeCell ref="A29:A41"/>
    <mergeCell ref="A42:A54"/>
    <mergeCell ref="A55:A67"/>
    <mergeCell ref="A68:A80"/>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AB41CD-AB77-4639-BFD7-4EE3D3F256D0}">
  <sheetPr codeName="Sheet20"/>
  <dimension ref="A1:N45"/>
  <sheetViews>
    <sheetView topLeftCell="Q1" zoomScale="90" zoomScaleNormal="90" workbookViewId="0">
      <selection activeCell="Y10" sqref="Y10"/>
    </sheetView>
  </sheetViews>
  <sheetFormatPr defaultColWidth="8.7109375" defaultRowHeight="15" x14ac:dyDescent="0.25"/>
  <cols>
    <col min="1" max="1" width="8.7109375" style="748" hidden="1" customWidth="1"/>
    <col min="2" max="2" width="20.7109375" style="748" hidden="1" customWidth="1"/>
    <col min="3" max="3" width="30.42578125" style="748" hidden="1" customWidth="1"/>
    <col min="4" max="4" width="23.28515625" style="748" hidden="1" customWidth="1"/>
    <col min="5" max="5" width="20.7109375" style="748" hidden="1" customWidth="1"/>
    <col min="6" max="6" width="22.7109375" style="748" hidden="1" customWidth="1"/>
    <col min="7" max="14" width="20.7109375" style="748" hidden="1" customWidth="1"/>
    <col min="15" max="16" width="0" style="748" hidden="1" customWidth="1"/>
    <col min="17" max="16384" width="8.7109375" style="748"/>
  </cols>
  <sheetData>
    <row r="1" spans="2:14" ht="15.75" thickBot="1" x14ac:dyDescent="0.3">
      <c r="B1" s="748" t="s">
        <v>443</v>
      </c>
    </row>
    <row r="2" spans="2:14" x14ac:dyDescent="0.25">
      <c r="B2" s="994"/>
      <c r="C2" s="996" t="s">
        <v>444</v>
      </c>
      <c r="D2" s="998"/>
      <c r="E2" s="749"/>
      <c r="F2" s="750" t="s">
        <v>445</v>
      </c>
      <c r="G2" s="751"/>
      <c r="H2" s="752"/>
      <c r="I2" s="1000" t="s">
        <v>446</v>
      </c>
      <c r="L2" s="748" t="s">
        <v>447</v>
      </c>
      <c r="M2" s="748" t="s">
        <v>97</v>
      </c>
    </row>
    <row r="3" spans="2:14" ht="30" x14ac:dyDescent="0.25">
      <c r="B3" s="995"/>
      <c r="C3" s="997"/>
      <c r="D3" s="999"/>
      <c r="E3" s="753"/>
      <c r="F3" s="754" t="s">
        <v>448</v>
      </c>
      <c r="G3" s="755" t="s">
        <v>449</v>
      </c>
      <c r="H3" s="756" t="s">
        <v>450</v>
      </c>
      <c r="I3" s="1001"/>
      <c r="L3" s="748">
        <v>25</v>
      </c>
      <c r="M3" s="757">
        <v>120000</v>
      </c>
      <c r="N3" s="757"/>
    </row>
    <row r="4" spans="2:14" x14ac:dyDescent="0.25">
      <c r="B4" s="758" t="s">
        <v>451</v>
      </c>
      <c r="C4" s="759" t="s">
        <v>452</v>
      </c>
      <c r="D4" s="760" t="s">
        <v>453</v>
      </c>
      <c r="E4" s="760">
        <f>120000*0.95</f>
        <v>114000</v>
      </c>
      <c r="F4" s="760">
        <v>7</v>
      </c>
      <c r="G4" s="761">
        <f>G15+G17+G21+G24</f>
        <v>5</v>
      </c>
      <c r="H4" s="760">
        <f>'[20]PS Group Package Breakdown'!C23</f>
        <v>9702660.0000000019</v>
      </c>
      <c r="I4" s="762">
        <v>15</v>
      </c>
      <c r="L4" s="748">
        <v>25</v>
      </c>
      <c r="M4" s="757">
        <f>M3*1.025</f>
        <v>122999.99999999999</v>
      </c>
      <c r="N4" s="757"/>
    </row>
    <row r="5" spans="2:14" x14ac:dyDescent="0.25">
      <c r="B5" s="758" t="s">
        <v>454</v>
      </c>
      <c r="C5" s="760" t="s">
        <v>455</v>
      </c>
      <c r="D5" s="760" t="s">
        <v>456</v>
      </c>
      <c r="E5" s="760">
        <v>120000</v>
      </c>
      <c r="F5" s="760">
        <v>4</v>
      </c>
      <c r="G5" s="761">
        <v>7</v>
      </c>
      <c r="H5" s="760">
        <f>'[20]PS Group Package Breakdown'!C75</f>
        <v>9702660.0000000019</v>
      </c>
      <c r="I5" s="762">
        <v>10</v>
      </c>
      <c r="L5" s="748">
        <v>25</v>
      </c>
      <c r="M5" s="757">
        <f>M4*1.025</f>
        <v>126074.99999999997</v>
      </c>
      <c r="N5" s="757"/>
    </row>
    <row r="6" spans="2:14" x14ac:dyDescent="0.25">
      <c r="B6" s="758" t="s">
        <v>457</v>
      </c>
      <c r="C6" s="760" t="s">
        <v>458</v>
      </c>
      <c r="D6" s="760" t="s">
        <v>456</v>
      </c>
      <c r="E6" s="760">
        <v>120000</v>
      </c>
      <c r="F6" s="760">
        <v>5</v>
      </c>
      <c r="G6" s="761">
        <v>10</v>
      </c>
      <c r="H6" s="760">
        <f>'[20]PS Group Package Breakdown'!C127</f>
        <v>9935466</v>
      </c>
      <c r="I6" s="762">
        <v>15</v>
      </c>
      <c r="L6" s="748">
        <v>25</v>
      </c>
      <c r="M6" s="757">
        <f>M5*1.025</f>
        <v>129226.87499999996</v>
      </c>
      <c r="N6" s="757"/>
    </row>
    <row r="7" spans="2:14" x14ac:dyDescent="0.25">
      <c r="B7" s="758" t="s">
        <v>459</v>
      </c>
      <c r="C7" s="760" t="s">
        <v>460</v>
      </c>
      <c r="D7" s="760" t="s">
        <v>461</v>
      </c>
      <c r="E7" s="760">
        <f>126000*0.96</f>
        <v>120960</v>
      </c>
      <c r="F7" s="760">
        <v>5</v>
      </c>
      <c r="G7" s="761">
        <f>G42</f>
        <v>4</v>
      </c>
      <c r="H7" s="760">
        <f>'[20]PS Group Package Breakdown'!C179</f>
        <v>10174092.15</v>
      </c>
      <c r="I7" s="762">
        <v>15</v>
      </c>
      <c r="L7" s="748">
        <v>26</v>
      </c>
      <c r="M7" s="757">
        <f>M6*1.025</f>
        <v>132457.54687499994</v>
      </c>
      <c r="N7" s="757"/>
    </row>
    <row r="8" spans="2:14" x14ac:dyDescent="0.25">
      <c r="B8" s="758" t="s">
        <v>462</v>
      </c>
      <c r="C8" s="760" t="s">
        <v>463</v>
      </c>
      <c r="D8" s="760" t="s">
        <v>464</v>
      </c>
      <c r="E8" s="760">
        <f>129000*0.94</f>
        <v>121260</v>
      </c>
      <c r="F8" s="760">
        <v>10</v>
      </c>
      <c r="G8" s="761">
        <f>G41</f>
        <v>8</v>
      </c>
      <c r="H8" s="760">
        <f>'[20]PS Group Package Breakdown'!C231</f>
        <v>10418683.953749998</v>
      </c>
      <c r="I8" s="762">
        <v>15</v>
      </c>
    </row>
    <row r="9" spans="2:14" x14ac:dyDescent="0.25">
      <c r="B9" s="758"/>
      <c r="C9" s="760" t="s">
        <v>465</v>
      </c>
      <c r="D9" s="760" t="s">
        <v>466</v>
      </c>
      <c r="E9" s="760"/>
      <c r="F9" s="760"/>
      <c r="G9" s="761">
        <f>G43</f>
        <v>2</v>
      </c>
      <c r="H9" s="760">
        <f>'[20]PS Group Package Breakdown'!C283</f>
        <v>10669390.552593745</v>
      </c>
      <c r="I9" s="762">
        <v>56</v>
      </c>
      <c r="K9" s="763" t="s">
        <v>467</v>
      </c>
      <c r="L9" s="748">
        <v>22</v>
      </c>
      <c r="M9" s="764">
        <v>120000</v>
      </c>
      <c r="N9" s="764"/>
    </row>
    <row r="10" spans="2:14" ht="15.75" thickBot="1" x14ac:dyDescent="0.3">
      <c r="B10" s="765" t="s">
        <v>468</v>
      </c>
      <c r="C10" s="766"/>
      <c r="D10" s="766"/>
      <c r="E10" s="766">
        <f>AVERAGE(E4:E8)</f>
        <v>119244</v>
      </c>
      <c r="F10" s="766">
        <f>SUM(F4:F8)</f>
        <v>31</v>
      </c>
      <c r="G10" s="766">
        <f>SUM(G4:G9)</f>
        <v>36</v>
      </c>
      <c r="H10" s="766"/>
      <c r="I10" s="767">
        <f>SUM(I4:I9)</f>
        <v>126</v>
      </c>
      <c r="L10" s="748">
        <v>4</v>
      </c>
      <c r="M10" s="764">
        <v>120960</v>
      </c>
      <c r="N10" s="764"/>
    </row>
    <row r="11" spans="2:14" x14ac:dyDescent="0.25">
      <c r="B11" s="768" t="s">
        <v>469</v>
      </c>
      <c r="G11" s="769">
        <f>'[20]Collection Unsold 07.21.2021'!K130</f>
        <v>33869712.893132813</v>
      </c>
      <c r="H11" s="769"/>
      <c r="I11" s="769">
        <f>'[21]Collection Unsold 07.21.2021'!$K$129</f>
        <v>60128396.49712503</v>
      </c>
      <c r="J11" s="769"/>
      <c r="L11" s="748">
        <v>10</v>
      </c>
      <c r="M11" s="764">
        <v>121260</v>
      </c>
      <c r="N11" s="764"/>
    </row>
    <row r="12" spans="2:14" x14ac:dyDescent="0.25">
      <c r="B12" s="768"/>
      <c r="H12" s="769"/>
      <c r="M12" s="757">
        <f>M7-M6</f>
        <v>3230.6718749999854</v>
      </c>
      <c r="N12" s="757"/>
    </row>
    <row r="13" spans="2:14" ht="15.75" thickBot="1" x14ac:dyDescent="0.3">
      <c r="L13" s="748">
        <v>25</v>
      </c>
      <c r="M13" s="764">
        <f>132000*95%</f>
        <v>125400</v>
      </c>
      <c r="N13" s="764">
        <v>132000</v>
      </c>
    </row>
    <row r="14" spans="2:14" x14ac:dyDescent="0.25">
      <c r="B14" s="770"/>
      <c r="C14" s="771"/>
      <c r="D14" s="772" t="s">
        <v>470</v>
      </c>
      <c r="E14" s="772"/>
      <c r="F14" s="772" t="s">
        <v>471</v>
      </c>
      <c r="G14" s="773" t="s">
        <v>447</v>
      </c>
      <c r="I14" s="768"/>
      <c r="J14" s="768"/>
      <c r="L14" s="748">
        <v>25</v>
      </c>
      <c r="M14" s="764">
        <f>M13*1.025</f>
        <v>128534.99999999999</v>
      </c>
      <c r="N14" s="764">
        <f>M14/0.95</f>
        <v>135300</v>
      </c>
    </row>
    <row r="15" spans="2:14" x14ac:dyDescent="0.25">
      <c r="B15" s="774">
        <v>1</v>
      </c>
      <c r="C15" s="748" t="s">
        <v>472</v>
      </c>
      <c r="D15" s="748" t="s">
        <v>451</v>
      </c>
      <c r="F15" s="769" t="str">
        <f>$D$4</f>
        <v>P120k/sqm + 15% Disc</v>
      </c>
      <c r="G15" s="775">
        <v>1</v>
      </c>
      <c r="H15" s="748">
        <f>SUM(G15:G29)</f>
        <v>13</v>
      </c>
      <c r="L15" s="748">
        <v>20</v>
      </c>
      <c r="M15" s="764">
        <f>M14*1.025</f>
        <v>131748.37499999997</v>
      </c>
      <c r="N15" s="764">
        <f>M15/0.95</f>
        <v>138682.49999999997</v>
      </c>
    </row>
    <row r="16" spans="2:14" x14ac:dyDescent="0.25">
      <c r="B16" s="774">
        <v>2</v>
      </c>
      <c r="C16" s="748" t="s">
        <v>473</v>
      </c>
      <c r="D16" s="748" t="s">
        <v>451</v>
      </c>
      <c r="G16" s="775"/>
      <c r="L16" s="748">
        <v>20</v>
      </c>
      <c r="M16" s="764">
        <f>M15*1.025</f>
        <v>135042.08437499995</v>
      </c>
      <c r="N16" s="764">
        <f>M16/0.95</f>
        <v>142149.56249999994</v>
      </c>
    </row>
    <row r="17" spans="2:8" x14ac:dyDescent="0.25">
      <c r="B17" s="774">
        <v>3</v>
      </c>
      <c r="C17" s="748" t="s">
        <v>474</v>
      </c>
      <c r="D17" s="748" t="s">
        <v>451</v>
      </c>
      <c r="F17" s="769" t="str">
        <f>$D$4</f>
        <v>P120k/sqm + 15% Disc</v>
      </c>
      <c r="G17" s="775">
        <v>1</v>
      </c>
    </row>
    <row r="18" spans="2:8" x14ac:dyDescent="0.25">
      <c r="B18" s="774">
        <v>4</v>
      </c>
      <c r="C18" s="748" t="s">
        <v>475</v>
      </c>
      <c r="D18" s="748" t="s">
        <v>451</v>
      </c>
      <c r="G18" s="775"/>
    </row>
    <row r="19" spans="2:8" x14ac:dyDescent="0.25">
      <c r="B19" s="774">
        <v>5</v>
      </c>
      <c r="C19" s="748" t="s">
        <v>476</v>
      </c>
      <c r="D19" s="748" t="s">
        <v>451</v>
      </c>
      <c r="G19" s="775"/>
    </row>
    <row r="20" spans="2:8" x14ac:dyDescent="0.25">
      <c r="B20" s="774">
        <v>6</v>
      </c>
      <c r="C20" s="748" t="s">
        <v>477</v>
      </c>
      <c r="D20" s="748" t="s">
        <v>451</v>
      </c>
      <c r="G20" s="775"/>
    </row>
    <row r="21" spans="2:8" x14ac:dyDescent="0.25">
      <c r="B21" s="774">
        <v>7</v>
      </c>
      <c r="C21" s="748" t="s">
        <v>478</v>
      </c>
      <c r="D21" s="748" t="s">
        <v>451</v>
      </c>
      <c r="F21" s="769" t="str">
        <f>$D$4</f>
        <v>P120k/sqm + 15% Disc</v>
      </c>
      <c r="G21" s="775">
        <v>2</v>
      </c>
    </row>
    <row r="22" spans="2:8" x14ac:dyDescent="0.25">
      <c r="B22" s="774">
        <v>8</v>
      </c>
      <c r="C22" s="748" t="s">
        <v>479</v>
      </c>
      <c r="D22" s="748" t="s">
        <v>451</v>
      </c>
      <c r="G22" s="775"/>
    </row>
    <row r="23" spans="2:8" x14ac:dyDescent="0.25">
      <c r="B23" s="774">
        <v>9</v>
      </c>
      <c r="C23" s="748" t="s">
        <v>480</v>
      </c>
      <c r="D23" s="748" t="s">
        <v>451</v>
      </c>
      <c r="G23" s="775"/>
    </row>
    <row r="24" spans="2:8" x14ac:dyDescent="0.25">
      <c r="B24" s="774">
        <v>10</v>
      </c>
      <c r="C24" s="748" t="s">
        <v>481</v>
      </c>
      <c r="D24" s="748" t="s">
        <v>451</v>
      </c>
      <c r="F24" s="769" t="str">
        <f>$D$4</f>
        <v>P120k/sqm + 15% Disc</v>
      </c>
      <c r="G24" s="775">
        <v>1</v>
      </c>
    </row>
    <row r="25" spans="2:8" x14ac:dyDescent="0.25">
      <c r="B25" s="774">
        <v>11</v>
      </c>
      <c r="C25" s="748" t="s">
        <v>482</v>
      </c>
      <c r="D25" s="748" t="s">
        <v>451</v>
      </c>
      <c r="G25" s="775"/>
    </row>
    <row r="26" spans="2:8" x14ac:dyDescent="0.25">
      <c r="B26" s="774">
        <v>12</v>
      </c>
      <c r="C26" s="748" t="s">
        <v>483</v>
      </c>
      <c r="D26" s="748" t="s">
        <v>457</v>
      </c>
      <c r="F26" s="776" t="s">
        <v>484</v>
      </c>
      <c r="G26" s="775">
        <v>2</v>
      </c>
    </row>
    <row r="27" spans="2:8" x14ac:dyDescent="0.25">
      <c r="B27" s="774">
        <v>13</v>
      </c>
      <c r="C27" s="748" t="s">
        <v>485</v>
      </c>
      <c r="D27" s="748" t="s">
        <v>457</v>
      </c>
      <c r="F27" s="776" t="s">
        <v>484</v>
      </c>
      <c r="G27" s="775">
        <v>2</v>
      </c>
    </row>
    <row r="28" spans="2:8" x14ac:dyDescent="0.25">
      <c r="B28" s="774">
        <v>14</v>
      </c>
      <c r="C28" s="748" t="s">
        <v>485</v>
      </c>
      <c r="D28" s="748" t="s">
        <v>457</v>
      </c>
      <c r="F28" s="776" t="s">
        <v>484</v>
      </c>
      <c r="G28" s="775">
        <v>2</v>
      </c>
    </row>
    <row r="29" spans="2:8" x14ac:dyDescent="0.25">
      <c r="B29" s="774">
        <v>15</v>
      </c>
      <c r="C29" s="748" t="s">
        <v>486</v>
      </c>
      <c r="D29" s="748" t="s">
        <v>457</v>
      </c>
      <c r="F29" s="776" t="s">
        <v>484</v>
      </c>
      <c r="G29" s="775">
        <v>2</v>
      </c>
    </row>
    <row r="30" spans="2:8" x14ac:dyDescent="0.25">
      <c r="B30" s="774">
        <v>16</v>
      </c>
      <c r="C30" s="748" t="s">
        <v>487</v>
      </c>
      <c r="D30" s="748" t="s">
        <v>454</v>
      </c>
      <c r="F30" s="769" t="str">
        <f>$D$5</f>
        <v xml:space="preserve">P120k/sqm + 10% Disc </v>
      </c>
      <c r="G30" s="775">
        <v>1</v>
      </c>
      <c r="H30" s="748">
        <f>SUM(G30:G31,G33,G36,G41)</f>
        <v>12</v>
      </c>
    </row>
    <row r="31" spans="2:8" x14ac:dyDescent="0.25">
      <c r="B31" s="774">
        <v>17</v>
      </c>
      <c r="C31" s="748" t="s">
        <v>488</v>
      </c>
      <c r="D31" s="748" t="s">
        <v>454</v>
      </c>
      <c r="F31" s="769" t="str">
        <f>$D$5</f>
        <v xml:space="preserve">P120k/sqm + 10% Disc </v>
      </c>
      <c r="G31" s="775">
        <v>1</v>
      </c>
    </row>
    <row r="32" spans="2:8" x14ac:dyDescent="0.25">
      <c r="B32" s="774">
        <v>18</v>
      </c>
      <c r="C32" s="748" t="s">
        <v>489</v>
      </c>
      <c r="D32" s="748" t="s">
        <v>457</v>
      </c>
      <c r="F32" s="769" t="str">
        <f>D6</f>
        <v xml:space="preserve">P120k/sqm + 10% Disc </v>
      </c>
      <c r="G32" s="775">
        <v>1</v>
      </c>
    </row>
    <row r="33" spans="2:7" x14ac:dyDescent="0.25">
      <c r="B33" s="774">
        <v>19</v>
      </c>
      <c r="C33" s="748" t="s">
        <v>490</v>
      </c>
      <c r="D33" s="748" t="s">
        <v>454</v>
      </c>
      <c r="F33" s="769" t="str">
        <f>$D$5</f>
        <v xml:space="preserve">P120k/sqm + 10% Disc </v>
      </c>
      <c r="G33" s="775">
        <v>1</v>
      </c>
    </row>
    <row r="34" spans="2:7" x14ac:dyDescent="0.25">
      <c r="B34" s="774">
        <v>20</v>
      </c>
      <c r="C34" s="748" t="s">
        <v>491</v>
      </c>
      <c r="D34" s="748" t="s">
        <v>492</v>
      </c>
      <c r="G34" s="775"/>
    </row>
    <row r="35" spans="2:7" x14ac:dyDescent="0.25">
      <c r="B35" s="774">
        <v>21</v>
      </c>
      <c r="C35" s="748" t="s">
        <v>493</v>
      </c>
      <c r="D35" s="748" t="s">
        <v>492</v>
      </c>
      <c r="G35" s="775"/>
    </row>
    <row r="36" spans="2:7" x14ac:dyDescent="0.25">
      <c r="B36" s="774">
        <v>22</v>
      </c>
      <c r="C36" s="748" t="s">
        <v>494</v>
      </c>
      <c r="D36" s="748" t="s">
        <v>492</v>
      </c>
      <c r="G36" s="775">
        <v>1</v>
      </c>
    </row>
    <row r="37" spans="2:7" x14ac:dyDescent="0.25">
      <c r="B37" s="774">
        <v>23</v>
      </c>
      <c r="C37" s="748" t="s">
        <v>495</v>
      </c>
      <c r="D37" s="748" t="s">
        <v>492</v>
      </c>
      <c r="F37" s="769" t="str">
        <f>$D$5</f>
        <v xml:space="preserve">P120k/sqm + 10% Disc </v>
      </c>
      <c r="G37" s="775">
        <v>1</v>
      </c>
    </row>
    <row r="38" spans="2:7" x14ac:dyDescent="0.25">
      <c r="B38" s="774">
        <v>22</v>
      </c>
      <c r="C38" s="748" t="s">
        <v>496</v>
      </c>
      <c r="D38" s="748" t="s">
        <v>497</v>
      </c>
      <c r="F38" s="776" t="s">
        <v>484</v>
      </c>
      <c r="G38" s="777">
        <v>1</v>
      </c>
    </row>
    <row r="39" spans="2:7" x14ac:dyDescent="0.25">
      <c r="B39" s="774"/>
      <c r="G39" s="778">
        <f>SUM(G15:G38)</f>
        <v>20</v>
      </c>
    </row>
    <row r="40" spans="2:7" x14ac:dyDescent="0.25">
      <c r="B40" s="774"/>
      <c r="G40" s="779"/>
    </row>
    <row r="41" spans="2:7" x14ac:dyDescent="0.25">
      <c r="B41" s="774"/>
      <c r="C41" s="748" t="s">
        <v>498</v>
      </c>
      <c r="F41" s="769" t="str">
        <f>D8</f>
        <v>P129k/sqm + 6% Disc</v>
      </c>
      <c r="G41" s="775">
        <v>8</v>
      </c>
    </row>
    <row r="42" spans="2:7" x14ac:dyDescent="0.25">
      <c r="B42" s="774"/>
      <c r="C42" s="748" t="s">
        <v>499</v>
      </c>
      <c r="F42" s="769" t="str">
        <f>D7</f>
        <v>P126k/sqm + 8% Disc</v>
      </c>
      <c r="G42" s="775">
        <v>4</v>
      </c>
    </row>
    <row r="43" spans="2:7" x14ac:dyDescent="0.25">
      <c r="B43" s="774"/>
      <c r="C43" s="748" t="s">
        <v>500</v>
      </c>
      <c r="F43" s="769" t="str">
        <f>D9</f>
        <v>P132k/sqm</v>
      </c>
      <c r="G43" s="777">
        <v>2</v>
      </c>
    </row>
    <row r="44" spans="2:7" ht="15.75" thickBot="1" x14ac:dyDescent="0.3">
      <c r="B44" s="780"/>
      <c r="C44" s="781"/>
      <c r="D44" s="781"/>
      <c r="E44" s="781"/>
      <c r="F44" s="781"/>
      <c r="G44" s="782">
        <f>SUM(G39:G43)</f>
        <v>34</v>
      </c>
    </row>
    <row r="45" spans="2:7" x14ac:dyDescent="0.25">
      <c r="C45" s="748" t="s">
        <v>501</v>
      </c>
      <c r="G45" s="783">
        <f>125-33</f>
        <v>92</v>
      </c>
    </row>
  </sheetData>
  <sheetProtection algorithmName="SHA-512" hashValue="opAZbLNiqNAbXxxEJTM1+qmPnow6/MoAi4b7nFXRvj0OMDEVkO6Gs/uje7nJT4ebAwdbpT0lrITSTDm0xHG8Tg==" saltValue="XurGxXXLB6C+AAB8+nMboQ==" spinCount="100000" sheet="1" objects="1" scenarios="1" selectLockedCells="1" selectUnlockedCells="1"/>
  <mergeCells count="4">
    <mergeCell ref="B2:B3"/>
    <mergeCell ref="C2:C3"/>
    <mergeCell ref="D2:D3"/>
    <mergeCell ref="I2:I3"/>
  </mergeCells>
  <pageMargins left="0.7" right="0.7" top="0.75" bottom="0.75" header="0.3" footer="0.3"/>
  <legacy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4F5E61-9875-4AE4-B31A-7D2D8E2EC0B9}">
  <sheetPr codeName="Sheet18">
    <tabColor rgb="FFFF0000"/>
  </sheetPr>
  <dimension ref="A1:GI251"/>
  <sheetViews>
    <sheetView topLeftCell="BX1" zoomScale="85" zoomScaleNormal="85" workbookViewId="0">
      <pane ySplit="6" topLeftCell="A7" activePane="bottomLeft" state="frozen"/>
      <selection pane="bottomLeft" sqref="A1:CB1048576"/>
    </sheetView>
  </sheetViews>
  <sheetFormatPr defaultColWidth="9.28515625" defaultRowHeight="12.75" x14ac:dyDescent="0.2"/>
  <cols>
    <col min="1" max="1" width="11.28515625" style="927" hidden="1" customWidth="1"/>
    <col min="2" max="2" width="8" style="928" hidden="1" customWidth="1"/>
    <col min="3" max="3" width="13.28515625" style="928" hidden="1" customWidth="1"/>
    <col min="4" max="4" width="12.28515625" style="928" hidden="1" customWidth="1"/>
    <col min="5" max="5" width="8.5703125" style="928" hidden="1" customWidth="1"/>
    <col min="6" max="6" width="9.28515625" style="929" hidden="1" customWidth="1"/>
    <col min="7" max="7" width="8.28515625" style="929" hidden="1" customWidth="1"/>
    <col min="8" max="8" width="12" style="929" hidden="1" customWidth="1"/>
    <col min="9" max="9" width="19.42578125" style="929" hidden="1" customWidth="1"/>
    <col min="10" max="10" width="9.5703125" style="912" hidden="1" customWidth="1"/>
    <col min="11" max="11" width="8.28515625" style="912" hidden="1" customWidth="1"/>
    <col min="12" max="12" width="11.7109375" style="912" hidden="1" customWidth="1"/>
    <col min="13" max="13" width="10.28515625" style="912" hidden="1" customWidth="1"/>
    <col min="14" max="14" width="14.7109375" style="912" hidden="1" customWidth="1"/>
    <col min="15" max="15" width="13.5703125" style="912" hidden="1" customWidth="1"/>
    <col min="16" max="16" width="14.7109375" style="929" hidden="1" customWidth="1"/>
    <col min="17" max="17" width="14.7109375" style="912" hidden="1" customWidth="1"/>
    <col min="18" max="18" width="13.5703125" style="912" hidden="1" customWidth="1"/>
    <col min="19" max="19" width="16.28515625" style="912" hidden="1" customWidth="1"/>
    <col min="20" max="20" width="11" style="912" hidden="1" customWidth="1"/>
    <col min="21" max="21" width="12" style="929" hidden="1" customWidth="1"/>
    <col min="22" max="22" width="15.7109375" style="912" hidden="1" customWidth="1"/>
    <col min="23" max="23" width="13.28515625" style="912" hidden="1" customWidth="1"/>
    <col min="24" max="24" width="16.7109375" style="929" hidden="1" customWidth="1"/>
    <col min="25" max="26" width="15.7109375" style="912" hidden="1" customWidth="1"/>
    <col min="27" max="28" width="15.7109375" style="931" hidden="1" customWidth="1"/>
    <col min="29" max="30" width="15.7109375" style="912" hidden="1" customWidth="1"/>
    <col min="31" max="36" width="17.28515625" style="911" hidden="1" customWidth="1"/>
    <col min="37" max="37" width="17.28515625" style="912" hidden="1" customWidth="1"/>
    <col min="38" max="38" width="17.28515625" style="911" hidden="1" customWidth="1"/>
    <col min="39" max="39" width="17.28515625" style="973" hidden="1" customWidth="1"/>
    <col min="40" max="40" width="17.28515625" style="911" hidden="1" customWidth="1"/>
    <col min="41" max="41" width="17.28515625" style="912" hidden="1" customWidth="1"/>
    <col min="42" max="42" width="17.28515625" style="911" hidden="1" customWidth="1"/>
    <col min="43" max="43" width="23.28515625" style="912" hidden="1" customWidth="1"/>
    <col min="44" max="44" width="17.28515625" style="911" hidden="1" customWidth="1"/>
    <col min="45" max="46" width="17.28515625" style="912" hidden="1" customWidth="1"/>
    <col min="47" max="48" width="17.28515625" style="911" hidden="1" customWidth="1"/>
    <col min="49" max="58" width="17.28515625" style="912" hidden="1" customWidth="1"/>
    <col min="59" max="59" width="17.28515625" style="911" hidden="1" customWidth="1"/>
    <col min="60" max="62" width="17.28515625" style="912" hidden="1" customWidth="1"/>
    <col min="63" max="63" width="17.28515625" style="911" hidden="1" customWidth="1"/>
    <col min="64" max="65" width="17.28515625" style="912" hidden="1" customWidth="1"/>
    <col min="66" max="68" width="15.7109375" style="912" hidden="1" customWidth="1"/>
    <col min="69" max="70" width="17" style="912" hidden="1" customWidth="1"/>
    <col min="71" max="71" width="8.28515625" style="922" hidden="1" customWidth="1"/>
    <col min="72" max="72" width="15.7109375" style="929" hidden="1" customWidth="1"/>
    <col min="73" max="73" width="15.7109375" style="912" hidden="1" customWidth="1"/>
    <col min="74" max="74" width="15.7109375" style="929" hidden="1" customWidth="1"/>
    <col min="75" max="75" width="10.28515625" style="929" hidden="1" customWidth="1"/>
    <col min="76" max="76" width="17" style="929" hidden="1" customWidth="1"/>
    <col min="77" max="80" width="15.7109375" style="931" hidden="1" customWidth="1"/>
    <col min="81" max="82" width="15.7109375" style="932" customWidth="1"/>
    <col min="83" max="83" width="24" style="932" customWidth="1"/>
    <col min="84" max="122" width="15.7109375" style="932" customWidth="1"/>
    <col min="123" max="188" width="9.28515625" style="933" customWidth="1"/>
    <col min="189" max="190" width="9.28515625" style="933"/>
    <col min="191" max="191" width="11" style="933" bestFit="1" customWidth="1"/>
    <col min="192" max="16384" width="9.28515625" style="933"/>
  </cols>
  <sheetData>
    <row r="1" spans="1:188" x14ac:dyDescent="0.2">
      <c r="M1" s="930" t="s">
        <v>502</v>
      </c>
      <c r="N1" s="930"/>
      <c r="O1" s="930"/>
      <c r="P1" s="912">
        <v>160000</v>
      </c>
      <c r="S1" s="912" t="s">
        <v>503</v>
      </c>
      <c r="AM1" s="977"/>
      <c r="BU1" s="912" t="s">
        <v>504</v>
      </c>
      <c r="BZ1" s="931" t="s">
        <v>505</v>
      </c>
      <c r="CA1" s="931" t="s">
        <v>506</v>
      </c>
    </row>
    <row r="2" spans="1:188" x14ac:dyDescent="0.2">
      <c r="M2" s="930" t="s">
        <v>507</v>
      </c>
      <c r="N2" s="930"/>
      <c r="O2" s="930"/>
      <c r="P2" s="912">
        <v>160000</v>
      </c>
      <c r="S2" s="912" t="s">
        <v>508</v>
      </c>
      <c r="AM2" s="977"/>
      <c r="BO2" s="922"/>
      <c r="BU2" s="924">
        <f>AF5+AH5+AJ5+AL5+AN5+AP5+AR5+AT5+AU5+AX5+AY5+BB5+BC5+BF5+BG5+BJ5+BK5</f>
        <v>0.53349999999999986</v>
      </c>
      <c r="BZ2" s="931" t="s">
        <v>509</v>
      </c>
      <c r="CA2" s="931" t="s">
        <v>510</v>
      </c>
    </row>
    <row r="3" spans="1:188" x14ac:dyDescent="0.2">
      <c r="A3" s="927" t="s">
        <v>511</v>
      </c>
      <c r="B3" s="928">
        <f>COUNTIF(C14:C150,"SOLD")</f>
        <v>112</v>
      </c>
      <c r="M3" s="912" t="s">
        <v>512</v>
      </c>
      <c r="P3" s="912">
        <v>135000</v>
      </c>
      <c r="Q3" s="912">
        <v>100000</v>
      </c>
      <c r="S3" s="912">
        <v>160000</v>
      </c>
      <c r="AE3" s="913" t="s">
        <v>513</v>
      </c>
      <c r="AG3" s="913" t="s">
        <v>514</v>
      </c>
      <c r="AH3" s="913"/>
      <c r="AI3" s="913" t="s">
        <v>515</v>
      </c>
      <c r="AK3" s="913" t="s">
        <v>516</v>
      </c>
      <c r="AM3" s="978" t="s">
        <v>517</v>
      </c>
      <c r="AN3" s="911" t="s">
        <v>518</v>
      </c>
      <c r="AO3" s="921" t="s">
        <v>519</v>
      </c>
      <c r="AP3" s="911" t="s">
        <v>518</v>
      </c>
      <c r="AQ3" s="921" t="s">
        <v>520</v>
      </c>
      <c r="AR3" s="911" t="s">
        <v>521</v>
      </c>
      <c r="AS3" s="921" t="s">
        <v>522</v>
      </c>
      <c r="AT3" s="921" t="s">
        <v>523</v>
      </c>
      <c r="AU3" s="911" t="s">
        <v>523</v>
      </c>
      <c r="AW3" s="921" t="s">
        <v>524</v>
      </c>
      <c r="AX3" s="921" t="s">
        <v>523</v>
      </c>
      <c r="AY3" s="911" t="s">
        <v>523</v>
      </c>
      <c r="AZ3" s="911"/>
      <c r="BA3" s="921" t="s">
        <v>525</v>
      </c>
      <c r="BB3" s="921" t="s">
        <v>523</v>
      </c>
      <c r="BC3" s="911" t="s">
        <v>523</v>
      </c>
      <c r="BD3" s="911"/>
      <c r="BE3" s="974" t="s">
        <v>526</v>
      </c>
      <c r="BF3" s="974" t="s">
        <v>523</v>
      </c>
      <c r="BG3" s="911" t="s">
        <v>523</v>
      </c>
      <c r="BH3" s="911"/>
      <c r="BI3" s="974" t="s">
        <v>527</v>
      </c>
      <c r="BJ3" s="974" t="s">
        <v>528</v>
      </c>
      <c r="BK3" s="911" t="s">
        <v>528</v>
      </c>
      <c r="BL3" s="911"/>
      <c r="BM3" s="974" t="s">
        <v>529</v>
      </c>
      <c r="BZ3" s="931" t="s">
        <v>530</v>
      </c>
      <c r="CA3" s="931" t="s">
        <v>531</v>
      </c>
    </row>
    <row r="4" spans="1:188" x14ac:dyDescent="0.2">
      <c r="A4" s="927" t="s">
        <v>532</v>
      </c>
      <c r="B4" s="928">
        <f>A150-B3</f>
        <v>25</v>
      </c>
      <c r="P4" s="912"/>
      <c r="S4" s="912" t="s">
        <v>533</v>
      </c>
      <c r="AF4" s="911">
        <f>132000*1.0308</f>
        <v>136065.60000000001</v>
      </c>
      <c r="AG4" s="934">
        <v>44571</v>
      </c>
      <c r="AH4" s="913">
        <f>AF4*1.0227</f>
        <v>139154.28912</v>
      </c>
      <c r="AI4" s="935">
        <v>44641</v>
      </c>
      <c r="AJ4" s="913">
        <f>AH4*1.025</f>
        <v>142633.14634799998</v>
      </c>
      <c r="AK4" s="914">
        <v>44706</v>
      </c>
      <c r="AL4" s="913">
        <f>AJ4*1.025</f>
        <v>146198.97500669997</v>
      </c>
      <c r="AM4" s="979">
        <v>44774</v>
      </c>
      <c r="AN4" s="913">
        <f>AL4*1.025</f>
        <v>149853.94938186745</v>
      </c>
      <c r="AO4" s="914">
        <v>44817</v>
      </c>
      <c r="AP4" s="913">
        <f>AN4*1.025</f>
        <v>153600.29811641414</v>
      </c>
      <c r="AQ4" s="914">
        <v>44872</v>
      </c>
      <c r="AR4" s="913">
        <f>AP4*1.025</f>
        <v>157440.30556932447</v>
      </c>
      <c r="AS4" s="914"/>
      <c r="AT4" s="914">
        <f>AQ4*1.025</f>
        <v>45993.799999999996</v>
      </c>
      <c r="AU4" s="913">
        <f>AR4*1.025</f>
        <v>161376.31320855758</v>
      </c>
      <c r="AV4" s="913"/>
      <c r="AW4" s="914"/>
      <c r="AX4" s="914">
        <f>AT4*1.025</f>
        <v>47143.64499999999</v>
      </c>
      <c r="AY4" s="913">
        <f>AU4*1.025</f>
        <v>165410.7210387715</v>
      </c>
      <c r="AZ4" s="913"/>
      <c r="BA4" s="914"/>
      <c r="BB4" s="914">
        <f>AX4*1.025</f>
        <v>48322.236124999989</v>
      </c>
      <c r="BC4" s="913">
        <f>AY4*1.025</f>
        <v>169545.98906474077</v>
      </c>
      <c r="BD4" s="913"/>
      <c r="BE4" s="913"/>
      <c r="BF4" s="913">
        <f>BB4*1.025</f>
        <v>49530.292028124983</v>
      </c>
      <c r="BG4" s="913">
        <f>BC4*1.025</f>
        <v>173784.63879135929</v>
      </c>
      <c r="BH4" s="913"/>
      <c r="BI4" s="913"/>
      <c r="BJ4" s="913">
        <f>BF4*1.025</f>
        <v>50768.5493288281</v>
      </c>
      <c r="BK4" s="913">
        <f>BG4*1.025</f>
        <v>178129.25476114327</v>
      </c>
      <c r="BL4" s="913"/>
      <c r="BM4" s="913"/>
    </row>
    <row r="5" spans="1:188" x14ac:dyDescent="0.2">
      <c r="P5" s="912"/>
      <c r="Q5" s="912">
        <v>132000</v>
      </c>
      <c r="R5" s="912">
        <v>66000</v>
      </c>
      <c r="S5" s="912">
        <v>132000</v>
      </c>
      <c r="V5" s="912">
        <v>500</v>
      </c>
      <c r="W5" s="912">
        <v>2000</v>
      </c>
      <c r="X5" s="936">
        <v>5.0000000000000001E-3</v>
      </c>
      <c r="Y5" s="912">
        <v>2000</v>
      </c>
      <c r="Z5" s="912">
        <v>1000</v>
      </c>
      <c r="AF5" s="937">
        <v>3.0800000000000001E-2</v>
      </c>
      <c r="AG5" s="937"/>
      <c r="AH5" s="937">
        <v>2.2700000000000001E-2</v>
      </c>
      <c r="AJ5" s="915">
        <v>2.5000000000000001E-2</v>
      </c>
      <c r="AK5" s="916"/>
      <c r="AL5" s="915">
        <v>2.5000000000000001E-2</v>
      </c>
      <c r="AM5" s="980"/>
      <c r="AN5" s="915">
        <v>2.5000000000000001E-2</v>
      </c>
      <c r="AO5" s="916"/>
      <c r="AP5" s="915">
        <v>2.5000000000000001E-2</v>
      </c>
      <c r="AQ5" s="916"/>
      <c r="AR5" s="915">
        <v>0.03</v>
      </c>
      <c r="AS5" s="916"/>
      <c r="AT5" s="916">
        <v>0.03</v>
      </c>
      <c r="AU5" s="915">
        <v>0.04</v>
      </c>
      <c r="AV5" s="915" t="s">
        <v>534</v>
      </c>
      <c r="AW5" s="916"/>
      <c r="AX5" s="916">
        <v>0.03</v>
      </c>
      <c r="AY5" s="915">
        <v>0.04</v>
      </c>
      <c r="AZ5" s="915"/>
      <c r="BA5" s="916"/>
      <c r="BB5" s="916">
        <v>0.03</v>
      </c>
      <c r="BC5" s="915">
        <v>0.04</v>
      </c>
      <c r="BD5" s="915"/>
      <c r="BE5" s="915"/>
      <c r="BF5" s="915">
        <v>0.03</v>
      </c>
      <c r="BG5" s="915">
        <v>0.04</v>
      </c>
      <c r="BH5" s="915"/>
      <c r="BI5" s="915"/>
      <c r="BJ5" s="915">
        <v>0.03</v>
      </c>
      <c r="BK5" s="915">
        <v>0.04</v>
      </c>
      <c r="BL5" s="915"/>
      <c r="BM5" s="915"/>
      <c r="BN5" s="984">
        <v>7.4999999999999997E-2</v>
      </c>
      <c r="BO5" s="924">
        <v>2.5000000000000001E-2</v>
      </c>
      <c r="BP5" s="923">
        <v>0.12</v>
      </c>
      <c r="BX5" s="938"/>
      <c r="BZ5" s="175"/>
      <c r="CA5" s="939">
        <v>45870</v>
      </c>
      <c r="CB5" s="939"/>
    </row>
    <row r="6" spans="1:188" s="951" customFormat="1" ht="38.25" x14ac:dyDescent="0.25">
      <c r="A6" s="940" t="s">
        <v>535</v>
      </c>
      <c r="B6" s="940" t="s">
        <v>536</v>
      </c>
      <c r="C6" s="941" t="s">
        <v>74</v>
      </c>
      <c r="D6" s="941" t="s">
        <v>537</v>
      </c>
      <c r="E6" s="940" t="s">
        <v>75</v>
      </c>
      <c r="F6" s="942" t="s">
        <v>76</v>
      </c>
      <c r="G6" s="943" t="s">
        <v>77</v>
      </c>
      <c r="H6" s="943" t="s">
        <v>78</v>
      </c>
      <c r="I6" s="943" t="s">
        <v>79</v>
      </c>
      <c r="J6" s="925" t="s">
        <v>80</v>
      </c>
      <c r="K6" s="925" t="s">
        <v>81</v>
      </c>
      <c r="L6" s="925" t="s">
        <v>512</v>
      </c>
      <c r="M6" s="925" t="s">
        <v>32</v>
      </c>
      <c r="N6" s="944" t="s">
        <v>80</v>
      </c>
      <c r="O6" s="944" t="s">
        <v>512</v>
      </c>
      <c r="P6" s="943" t="s">
        <v>431</v>
      </c>
      <c r="Q6" s="925" t="s">
        <v>72</v>
      </c>
      <c r="R6" s="925" t="s">
        <v>81</v>
      </c>
      <c r="S6" s="925" t="s">
        <v>37</v>
      </c>
      <c r="T6" s="925" t="s">
        <v>82</v>
      </c>
      <c r="U6" s="943" t="s">
        <v>83</v>
      </c>
      <c r="V6" s="925" t="s">
        <v>84</v>
      </c>
      <c r="W6" s="945" t="s">
        <v>538</v>
      </c>
      <c r="X6" s="943" t="s">
        <v>86</v>
      </c>
      <c r="Y6" s="925" t="s">
        <v>87</v>
      </c>
      <c r="Z6" s="925" t="s">
        <v>88</v>
      </c>
      <c r="AA6" s="946" t="s">
        <v>89</v>
      </c>
      <c r="AB6" s="946" t="s">
        <v>539</v>
      </c>
      <c r="AC6" s="925" t="s">
        <v>91</v>
      </c>
      <c r="AD6" s="925"/>
      <c r="AE6" s="944" t="s">
        <v>92</v>
      </c>
      <c r="AF6" s="947" t="s">
        <v>540</v>
      </c>
      <c r="AG6" s="947" t="s">
        <v>541</v>
      </c>
      <c r="AH6" s="917" t="s">
        <v>542</v>
      </c>
      <c r="AI6" s="917" t="s">
        <v>543</v>
      </c>
      <c r="AJ6" s="917" t="s">
        <v>544</v>
      </c>
      <c r="AK6" s="918" t="s">
        <v>545</v>
      </c>
      <c r="AL6" s="917" t="s">
        <v>546</v>
      </c>
      <c r="AM6" s="981" t="s">
        <v>545</v>
      </c>
      <c r="AN6" s="917" t="s">
        <v>547</v>
      </c>
      <c r="AO6" s="918" t="s">
        <v>545</v>
      </c>
      <c r="AP6" s="917" t="s">
        <v>548</v>
      </c>
      <c r="AQ6" s="918" t="s">
        <v>545</v>
      </c>
      <c r="AR6" s="917" t="s">
        <v>549</v>
      </c>
      <c r="AS6" s="918" t="s">
        <v>545</v>
      </c>
      <c r="AT6" s="918" t="s">
        <v>550</v>
      </c>
      <c r="AU6" s="917" t="s">
        <v>550</v>
      </c>
      <c r="AV6" s="917"/>
      <c r="AW6" s="918" t="s">
        <v>545</v>
      </c>
      <c r="AX6" s="918" t="s">
        <v>551</v>
      </c>
      <c r="AY6" s="917" t="s">
        <v>551</v>
      </c>
      <c r="AZ6" s="917"/>
      <c r="BA6" s="918" t="s">
        <v>545</v>
      </c>
      <c r="BB6" s="918" t="s">
        <v>552</v>
      </c>
      <c r="BC6" s="917" t="s">
        <v>552</v>
      </c>
      <c r="BD6" s="917"/>
      <c r="BE6" s="918" t="s">
        <v>545</v>
      </c>
      <c r="BF6" s="918" t="s">
        <v>553</v>
      </c>
      <c r="BG6" s="917" t="s">
        <v>553</v>
      </c>
      <c r="BH6" s="918"/>
      <c r="BI6" s="918" t="s">
        <v>545</v>
      </c>
      <c r="BJ6" s="918" t="s">
        <v>554</v>
      </c>
      <c r="BK6" s="917" t="s">
        <v>554</v>
      </c>
      <c r="BL6" s="918"/>
      <c r="BM6" s="918" t="s">
        <v>545</v>
      </c>
      <c r="BN6" s="925" t="s">
        <v>93</v>
      </c>
      <c r="BO6" s="925" t="s">
        <v>94</v>
      </c>
      <c r="BP6" s="925" t="s">
        <v>95</v>
      </c>
      <c r="BQ6" s="925" t="s">
        <v>96</v>
      </c>
      <c r="BR6" s="925" t="s">
        <v>97</v>
      </c>
      <c r="BS6" s="948" t="s">
        <v>98</v>
      </c>
      <c r="BT6" s="943" t="s">
        <v>42</v>
      </c>
      <c r="BU6" s="925" t="s">
        <v>99</v>
      </c>
      <c r="BV6" s="943" t="s">
        <v>100</v>
      </c>
      <c r="BW6" s="943" t="s">
        <v>46</v>
      </c>
      <c r="BX6" s="943" t="s">
        <v>48</v>
      </c>
      <c r="BY6" s="949"/>
      <c r="BZ6" s="950" t="s">
        <v>555</v>
      </c>
      <c r="CA6" s="950" t="s">
        <v>556</v>
      </c>
      <c r="CB6" s="950" t="s">
        <v>557</v>
      </c>
      <c r="CC6" s="949"/>
      <c r="CD6" s="949"/>
      <c r="CE6" s="949"/>
      <c r="CF6" s="949"/>
      <c r="CG6" s="949"/>
      <c r="CH6" s="949"/>
      <c r="CI6" s="949"/>
      <c r="CJ6" s="949"/>
      <c r="CK6" s="949"/>
      <c r="CL6" s="949"/>
      <c r="CM6" s="949"/>
      <c r="CN6" s="949"/>
      <c r="CO6" s="949"/>
      <c r="CP6" s="949"/>
      <c r="CQ6" s="949"/>
      <c r="CR6" s="949"/>
      <c r="CS6" s="949"/>
      <c r="CT6" s="949"/>
      <c r="CU6" s="949"/>
      <c r="CV6" s="949"/>
      <c r="CW6" s="949"/>
      <c r="CX6" s="949"/>
      <c r="CY6" s="949"/>
      <c r="CZ6" s="949"/>
      <c r="DA6" s="949"/>
      <c r="DB6" s="949"/>
      <c r="DC6" s="949"/>
      <c r="DD6" s="949"/>
      <c r="DE6" s="949"/>
      <c r="DF6" s="949"/>
      <c r="DG6" s="949"/>
      <c r="DH6" s="949"/>
      <c r="DI6" s="949"/>
      <c r="DJ6" s="949"/>
      <c r="DK6" s="949"/>
      <c r="DL6" s="949"/>
      <c r="DM6" s="949"/>
      <c r="DN6" s="949"/>
      <c r="DO6" s="949"/>
      <c r="DP6" s="949"/>
      <c r="DQ6" s="949"/>
      <c r="DR6" s="949"/>
      <c r="DS6" s="949"/>
      <c r="DT6" s="949"/>
      <c r="DU6" s="949"/>
      <c r="DV6" s="949"/>
      <c r="DW6" s="949"/>
      <c r="DX6" s="949"/>
      <c r="DY6" s="949"/>
      <c r="DZ6" s="949"/>
      <c r="EA6" s="949"/>
      <c r="EB6" s="949"/>
      <c r="EC6" s="949"/>
      <c r="ED6" s="949"/>
      <c r="EE6" s="949"/>
      <c r="EF6" s="949"/>
      <c r="EG6" s="949"/>
      <c r="EH6" s="949"/>
      <c r="EI6" s="949"/>
      <c r="EJ6" s="949"/>
      <c r="EK6" s="949"/>
      <c r="EL6" s="949"/>
      <c r="EM6" s="949"/>
      <c r="EN6" s="949"/>
      <c r="EO6" s="949"/>
      <c r="EP6" s="949"/>
      <c r="EQ6" s="949"/>
      <c r="ER6" s="949"/>
      <c r="ES6" s="949"/>
      <c r="ET6" s="949"/>
      <c r="EU6" s="949"/>
      <c r="EV6" s="949"/>
      <c r="EW6" s="949"/>
      <c r="EX6" s="949"/>
      <c r="EY6" s="949"/>
      <c r="EZ6" s="949"/>
      <c r="FA6" s="949"/>
      <c r="FB6" s="949"/>
      <c r="FC6" s="949"/>
      <c r="FD6" s="949"/>
      <c r="FE6" s="949"/>
      <c r="FF6" s="949"/>
      <c r="FG6" s="949"/>
      <c r="FH6" s="949"/>
      <c r="FI6" s="949"/>
      <c r="FJ6" s="949"/>
      <c r="FK6" s="949"/>
      <c r="FL6" s="949"/>
      <c r="FM6" s="949"/>
      <c r="FN6" s="949"/>
      <c r="FO6" s="949"/>
      <c r="FP6" s="949"/>
      <c r="FQ6" s="949"/>
      <c r="FR6" s="949"/>
      <c r="FS6" s="949"/>
      <c r="FT6" s="949"/>
      <c r="FU6" s="949"/>
      <c r="FV6" s="949"/>
      <c r="FW6" s="949"/>
      <c r="FX6" s="949"/>
      <c r="FY6" s="949"/>
      <c r="FZ6" s="949"/>
      <c r="GA6" s="949"/>
      <c r="GB6" s="949"/>
      <c r="GC6" s="949"/>
      <c r="GD6" s="949"/>
      <c r="GE6" s="949"/>
      <c r="GF6" s="949"/>
    </row>
    <row r="7" spans="1:188" s="951" customFormat="1" x14ac:dyDescent="0.2">
      <c r="A7" s="952">
        <v>1</v>
      </c>
      <c r="B7" s="953">
        <v>1</v>
      </c>
      <c r="C7" s="952" t="s">
        <v>104</v>
      </c>
      <c r="D7" s="952"/>
      <c r="E7" s="952" t="s">
        <v>123</v>
      </c>
      <c r="F7" s="869" t="s">
        <v>433</v>
      </c>
      <c r="G7" s="869">
        <v>1</v>
      </c>
      <c r="H7" s="869" t="s">
        <v>502</v>
      </c>
      <c r="I7" s="869" t="s">
        <v>435</v>
      </c>
      <c r="J7" s="926">
        <v>85.62</v>
      </c>
      <c r="K7" s="926"/>
      <c r="L7" s="926"/>
      <c r="M7" s="926">
        <f>J7+K7</f>
        <v>85.62</v>
      </c>
      <c r="N7" s="926"/>
      <c r="O7" s="926"/>
      <c r="P7" s="954">
        <f t="shared" ref="P7:P14" si="0">J7*P$1</f>
        <v>13699200</v>
      </c>
      <c r="Q7" s="926"/>
      <c r="R7" s="926"/>
      <c r="S7" s="926">
        <f>SUM(P7:R7)</f>
        <v>13699200</v>
      </c>
      <c r="T7" s="926"/>
      <c r="U7" s="943"/>
      <c r="V7" s="925"/>
      <c r="W7" s="945"/>
      <c r="X7" s="943"/>
      <c r="Y7" s="925"/>
      <c r="Z7" s="925"/>
      <c r="AA7" s="955" t="s">
        <v>114</v>
      </c>
      <c r="AB7" s="946"/>
      <c r="AC7" s="925"/>
      <c r="AD7" s="925"/>
      <c r="AE7" s="956">
        <f>S7+AC7</f>
        <v>13699200</v>
      </c>
      <c r="AF7" s="956"/>
      <c r="AG7" s="957">
        <f>AE7+AF7</f>
        <v>13699200</v>
      </c>
      <c r="AH7" s="919"/>
      <c r="AI7" s="957">
        <f>AG7+AH7</f>
        <v>13699200</v>
      </c>
      <c r="AJ7" s="919">
        <f t="shared" ref="AJ7:AJ13" si="1">AI7*$AJ$5</f>
        <v>342480</v>
      </c>
      <c r="AK7" s="920">
        <f>AI7+AJ7</f>
        <v>14041680</v>
      </c>
      <c r="AL7" s="919">
        <f t="shared" ref="AL7:AL70" si="2">AK7*$AJ$5</f>
        <v>351042</v>
      </c>
      <c r="AM7" s="982">
        <f>AK7+AL7</f>
        <v>14392722</v>
      </c>
      <c r="AN7" s="919">
        <f t="shared" ref="AN7:AN70" si="3">AM7*$AJ$5</f>
        <v>359818.05000000005</v>
      </c>
      <c r="AO7" s="920">
        <f>AM7+AN7</f>
        <v>14752540.050000001</v>
      </c>
      <c r="AP7" s="919">
        <f t="shared" ref="AP7:AP38" si="4">AO7*$AP$5</f>
        <v>368813.50125000003</v>
      </c>
      <c r="AQ7" s="920">
        <f t="shared" ref="AQ7:AQ38" si="5">AO7+AP7</f>
        <v>15121353.551250001</v>
      </c>
      <c r="AR7" s="919">
        <f t="shared" ref="AR7:AR38" si="6">AQ7*$AR$5</f>
        <v>453640.60653750005</v>
      </c>
      <c r="AS7" s="920">
        <f t="shared" ref="AS7:AS38" si="7">AQ7+AR7</f>
        <v>15574994.157787502</v>
      </c>
      <c r="AT7" s="920">
        <f>AS7*$AT$5</f>
        <v>467249.82473362505</v>
      </c>
      <c r="AU7" s="919">
        <f t="shared" ref="AU7:AU38" si="8">AS7*$AU$5</f>
        <v>622999.76631150011</v>
      </c>
      <c r="AV7" s="919"/>
      <c r="AW7" s="920">
        <f t="shared" ref="AW7:AW38" si="9">AS7+AU7</f>
        <v>16197993.924099002</v>
      </c>
      <c r="AX7" s="920">
        <f>AW7*$AX$5</f>
        <v>485939.81772297004</v>
      </c>
      <c r="AY7" s="919">
        <f t="shared" ref="AY7:AY38" si="10">AW7*$AY$5</f>
        <v>647919.75696396013</v>
      </c>
      <c r="AZ7" s="919"/>
      <c r="BA7" s="920">
        <f t="shared" ref="BA7:BA38" si="11">AW7+AY7</f>
        <v>16845913.681062963</v>
      </c>
      <c r="BB7" s="920">
        <f>BA7*$BB$5</f>
        <v>505377.41043188889</v>
      </c>
      <c r="BC7" s="919">
        <f t="shared" ref="BC7:BC38" si="12">BA7*$BC$5</f>
        <v>673836.54724251851</v>
      </c>
      <c r="BD7" s="919"/>
      <c r="BE7" s="975">
        <f t="shared" ref="BE7:BE38" si="13">BA7+BC7</f>
        <v>17519750.228305481</v>
      </c>
      <c r="BF7" s="975">
        <f>BE7*$BF$5</f>
        <v>525592.50684916438</v>
      </c>
      <c r="BG7" s="919">
        <f t="shared" ref="BG7:BG38" si="14">BE7*$BC$5</f>
        <v>700790.00913221925</v>
      </c>
      <c r="BH7" s="975"/>
      <c r="BI7" s="975">
        <f t="shared" ref="BI7:BI38" si="15">BE7+BG7</f>
        <v>18220540.237437699</v>
      </c>
      <c r="BJ7" s="975">
        <f>BI7*$BJ$5</f>
        <v>546616.20712313091</v>
      </c>
      <c r="BK7" s="919">
        <f t="shared" ref="BK7:BK38" si="16">BI7*$BC$5</f>
        <v>728821.60949750792</v>
      </c>
      <c r="BL7" s="975"/>
      <c r="BM7" s="975">
        <f t="shared" ref="BM7:BM38" si="17">BI7+BK7</f>
        <v>18949361.846935205</v>
      </c>
      <c r="BN7" s="926">
        <f t="shared" ref="BN7:BN38" si="18">BM7*$BN$5</f>
        <v>1421202.1385201404</v>
      </c>
      <c r="BO7" s="926">
        <f t="shared" ref="BO7:BO38" si="19">BM7*$BO$5</f>
        <v>473734.04617338016</v>
      </c>
      <c r="BP7" s="926">
        <f t="shared" ref="BP7:BP38" si="20">BM7*$BP$5</f>
        <v>2273923.4216322247</v>
      </c>
      <c r="BQ7" s="926">
        <f t="shared" ref="BQ7:BQ38" si="21">BM7+BN7+BO7+BP7</f>
        <v>23118221.453260951</v>
      </c>
      <c r="BR7" s="926">
        <f t="shared" ref="BR7:BR38" si="22">BQ7/M7</f>
        <v>270009.59417497023</v>
      </c>
      <c r="BS7" s="958">
        <v>0.4</v>
      </c>
      <c r="BT7" s="954">
        <f>BQ7*BS7</f>
        <v>9247288.5813043807</v>
      </c>
      <c r="BU7" s="926">
        <v>200000</v>
      </c>
      <c r="BV7" s="954">
        <f>(BT7-BU7)/(BW7)</f>
        <v>1292469.7973291972</v>
      </c>
      <c r="BW7" s="869">
        <f>CA7</f>
        <v>7</v>
      </c>
      <c r="BX7" s="954">
        <f>BQ7-BT7</f>
        <v>13870932.87195657</v>
      </c>
      <c r="BY7" s="949"/>
      <c r="BZ7" s="959">
        <v>46082</v>
      </c>
      <c r="CA7" s="960">
        <f>(YEAR(BZ7)-YEAR($CA$5))*12+MONTH(BZ7)-MONTH($CA$5)</f>
        <v>7</v>
      </c>
      <c r="CB7" s="960">
        <f>CA7+1</f>
        <v>8</v>
      </c>
      <c r="CC7" s="949"/>
      <c r="CD7" s="949"/>
      <c r="CE7" s="949"/>
      <c r="CF7" s="949"/>
      <c r="CG7" s="949"/>
      <c r="CH7" s="949"/>
      <c r="CI7" s="949"/>
      <c r="CJ7" s="949"/>
      <c r="CK7" s="949"/>
      <c r="CL7" s="949"/>
      <c r="CM7" s="949"/>
      <c r="CN7" s="949"/>
      <c r="CO7" s="949"/>
      <c r="CP7" s="949"/>
      <c r="CQ7" s="949"/>
      <c r="CR7" s="949"/>
      <c r="CS7" s="949"/>
      <c r="CT7" s="949"/>
      <c r="CU7" s="949"/>
      <c r="CV7" s="949"/>
      <c r="CW7" s="949"/>
      <c r="CX7" s="949"/>
      <c r="CY7" s="949"/>
      <c r="CZ7" s="949"/>
      <c r="DA7" s="949"/>
      <c r="DB7" s="949"/>
      <c r="DC7" s="949"/>
      <c r="DD7" s="949"/>
      <c r="DE7" s="949"/>
      <c r="DF7" s="949"/>
      <c r="DG7" s="949"/>
      <c r="DH7" s="949"/>
      <c r="DI7" s="949"/>
      <c r="DJ7" s="949"/>
      <c r="DK7" s="949"/>
      <c r="DL7" s="949"/>
      <c r="DM7" s="949"/>
      <c r="DN7" s="949"/>
      <c r="DO7" s="949"/>
      <c r="DP7" s="949"/>
      <c r="DQ7" s="949"/>
      <c r="DR7" s="949"/>
      <c r="DS7" s="949"/>
      <c r="DT7" s="949"/>
      <c r="DU7" s="949"/>
      <c r="DV7" s="949"/>
      <c r="DW7" s="949"/>
      <c r="DX7" s="949"/>
      <c r="DY7" s="949"/>
      <c r="DZ7" s="949"/>
      <c r="EA7" s="949"/>
      <c r="EB7" s="949"/>
      <c r="EC7" s="949"/>
      <c r="ED7" s="949"/>
      <c r="EE7" s="949"/>
      <c r="EF7" s="949"/>
      <c r="EG7" s="949"/>
      <c r="EH7" s="949"/>
      <c r="EI7" s="949"/>
      <c r="EJ7" s="949"/>
      <c r="EK7" s="949"/>
      <c r="EL7" s="949"/>
      <c r="EM7" s="949"/>
      <c r="EN7" s="949"/>
      <c r="EO7" s="949"/>
      <c r="EP7" s="949"/>
      <c r="EQ7" s="949"/>
      <c r="ER7" s="949"/>
      <c r="ES7" s="949"/>
      <c r="ET7" s="949"/>
      <c r="EU7" s="949"/>
      <c r="EV7" s="949"/>
      <c r="EW7" s="949"/>
      <c r="EX7" s="949"/>
      <c r="EY7" s="949"/>
      <c r="EZ7" s="949"/>
      <c r="FA7" s="949"/>
      <c r="FB7" s="949"/>
      <c r="FC7" s="949"/>
      <c r="FD7" s="949"/>
      <c r="FE7" s="949"/>
      <c r="FF7" s="949"/>
      <c r="FG7" s="949"/>
      <c r="FH7" s="949"/>
      <c r="FI7" s="949"/>
      <c r="FJ7" s="949"/>
      <c r="FK7" s="949"/>
      <c r="FL7" s="949"/>
      <c r="FM7" s="949"/>
      <c r="FN7" s="949"/>
      <c r="FO7" s="949"/>
      <c r="FP7" s="949"/>
      <c r="FQ7" s="949"/>
      <c r="FR7" s="949"/>
      <c r="FS7" s="949"/>
      <c r="FT7" s="949"/>
      <c r="FU7" s="949"/>
      <c r="FV7" s="949"/>
      <c r="FW7" s="949"/>
      <c r="FX7" s="949"/>
      <c r="FY7" s="949"/>
      <c r="FZ7" s="949"/>
      <c r="GA7" s="949"/>
      <c r="GB7" s="949"/>
      <c r="GC7" s="949"/>
      <c r="GD7" s="949"/>
      <c r="GE7" s="949"/>
      <c r="GF7" s="949"/>
    </row>
    <row r="8" spans="1:188" s="951" customFormat="1" x14ac:dyDescent="0.2">
      <c r="A8" s="952">
        <f>A7+1</f>
        <v>2</v>
      </c>
      <c r="B8" s="953">
        <f>B7+1</f>
        <v>2</v>
      </c>
      <c r="C8" s="952" t="s">
        <v>558</v>
      </c>
      <c r="D8" s="952"/>
      <c r="E8" s="952" t="s">
        <v>123</v>
      </c>
      <c r="F8" s="869" t="s">
        <v>433</v>
      </c>
      <c r="G8" s="869" t="s">
        <v>107</v>
      </c>
      <c r="H8" s="869" t="s">
        <v>559</v>
      </c>
      <c r="I8" s="869" t="s">
        <v>435</v>
      </c>
      <c r="J8" s="926">
        <v>44.23</v>
      </c>
      <c r="L8" s="943"/>
      <c r="M8" s="926">
        <f>J8</f>
        <v>44.23</v>
      </c>
      <c r="N8" s="943"/>
      <c r="O8" s="943"/>
      <c r="P8" s="954">
        <f t="shared" si="0"/>
        <v>7076799.9999999991</v>
      </c>
      <c r="Q8" s="926"/>
      <c r="R8" s="926"/>
      <c r="S8" s="926">
        <f t="shared" ref="S8:S77" si="23">SUM(P8:R8)</f>
        <v>7076799.9999999991</v>
      </c>
      <c r="T8" s="926"/>
      <c r="U8" s="943"/>
      <c r="V8" s="925"/>
      <c r="W8" s="945"/>
      <c r="X8" s="943"/>
      <c r="Y8" s="925"/>
      <c r="Z8" s="925"/>
      <c r="AA8" s="955" t="s">
        <v>110</v>
      </c>
      <c r="AB8" s="946"/>
      <c r="AC8" s="925"/>
      <c r="AD8" s="925"/>
      <c r="AE8" s="956">
        <f t="shared" ref="AE8:AE77" si="24">S8+AC8</f>
        <v>7076799.9999999991</v>
      </c>
      <c r="AF8" s="956"/>
      <c r="AG8" s="957">
        <f>AE8+AF8</f>
        <v>7076799.9999999991</v>
      </c>
      <c r="AH8" s="919"/>
      <c r="AI8" s="957">
        <f t="shared" ref="AI8:AI78" si="25">AG8+AH8</f>
        <v>7076799.9999999991</v>
      </c>
      <c r="AJ8" s="919">
        <f t="shared" si="1"/>
        <v>176920</v>
      </c>
      <c r="AK8" s="920">
        <f t="shared" ref="AK8:AK20" si="26">AI8+AJ8</f>
        <v>7253719.9999999991</v>
      </c>
      <c r="AL8" s="919">
        <f t="shared" si="2"/>
        <v>181343</v>
      </c>
      <c r="AM8" s="982">
        <f t="shared" ref="AM8:AM71" si="27">AK8+AL8</f>
        <v>7435062.9999999991</v>
      </c>
      <c r="AN8" s="919">
        <f t="shared" si="3"/>
        <v>185876.57499999998</v>
      </c>
      <c r="AO8" s="920">
        <f>AM8+AN8</f>
        <v>7620939.5749999993</v>
      </c>
      <c r="AP8" s="919">
        <f t="shared" si="4"/>
        <v>190523.489375</v>
      </c>
      <c r="AQ8" s="920">
        <f t="shared" si="5"/>
        <v>7811463.0643749991</v>
      </c>
      <c r="AR8" s="919">
        <f t="shared" si="6"/>
        <v>234343.89193124996</v>
      </c>
      <c r="AS8" s="920">
        <f t="shared" si="7"/>
        <v>8045806.9563062489</v>
      </c>
      <c r="AT8" s="920">
        <f t="shared" ref="AT8:AT71" si="28">AS8*$AT$5</f>
        <v>241374.20868918745</v>
      </c>
      <c r="AU8" s="919">
        <f t="shared" si="8"/>
        <v>321832.27825224999</v>
      </c>
      <c r="AV8" s="919"/>
      <c r="AW8" s="920">
        <f t="shared" si="9"/>
        <v>8367639.2345584985</v>
      </c>
      <c r="AX8" s="920">
        <f t="shared" ref="AX8:AX71" si="29">AW8*$AX$5</f>
        <v>251029.17703675493</v>
      </c>
      <c r="AY8" s="919">
        <f t="shared" si="10"/>
        <v>334705.56938233995</v>
      </c>
      <c r="AZ8" s="919"/>
      <c r="BA8" s="920">
        <f t="shared" si="11"/>
        <v>8702344.8039408382</v>
      </c>
      <c r="BB8" s="920">
        <f t="shared" ref="BB8:BB71" si="30">BA8*$BB$5</f>
        <v>261070.34411822513</v>
      </c>
      <c r="BC8" s="919">
        <f t="shared" si="12"/>
        <v>348093.79215763352</v>
      </c>
      <c r="BD8" s="919"/>
      <c r="BE8" s="975">
        <f t="shared" si="13"/>
        <v>9050438.5960984714</v>
      </c>
      <c r="BF8" s="975">
        <f t="shared" ref="BF8:BF71" si="31">BE8*$BF$5</f>
        <v>271513.15788295411</v>
      </c>
      <c r="BG8" s="919">
        <f t="shared" si="14"/>
        <v>362017.54384393885</v>
      </c>
      <c r="BH8" s="975"/>
      <c r="BI8" s="975">
        <f t="shared" si="15"/>
        <v>9412456.1399424095</v>
      </c>
      <c r="BJ8" s="975">
        <f t="shared" ref="BJ8:BJ71" si="32">BI8*$BJ$5</f>
        <v>282373.6841982723</v>
      </c>
      <c r="BK8" s="919">
        <f t="shared" si="16"/>
        <v>376498.2455976964</v>
      </c>
      <c r="BL8" s="975"/>
      <c r="BM8" s="975">
        <f t="shared" si="17"/>
        <v>9788954.3855401054</v>
      </c>
      <c r="BN8" s="926">
        <f t="shared" si="18"/>
        <v>734171.57891550788</v>
      </c>
      <c r="BO8" s="926">
        <f t="shared" si="19"/>
        <v>244723.85963850265</v>
      </c>
      <c r="BP8" s="926">
        <f t="shared" si="20"/>
        <v>1174674.5262648126</v>
      </c>
      <c r="BQ8" s="926">
        <f t="shared" si="21"/>
        <v>11942524.350358929</v>
      </c>
      <c r="BR8" s="926">
        <f t="shared" si="22"/>
        <v>270009.59417497017</v>
      </c>
      <c r="BS8" s="958">
        <v>0.4</v>
      </c>
      <c r="BT8" s="954">
        <f t="shared" ref="BT8:BT12" si="33">BQ8*BS8</f>
        <v>4777009.740143572</v>
      </c>
      <c r="BU8" s="926">
        <v>200000</v>
      </c>
      <c r="BV8" s="954">
        <f t="shared" ref="BV8:BV12" si="34">(BT8-BU8)/(BW8)</f>
        <v>653858.53430622455</v>
      </c>
      <c r="BW8" s="869">
        <f t="shared" ref="BW8:BW77" si="35">CA8</f>
        <v>7</v>
      </c>
      <c r="BX8" s="954">
        <f t="shared" ref="BX8:BX12" si="36">BQ8-BT8</f>
        <v>7165514.6102153575</v>
      </c>
      <c r="BY8" s="949"/>
      <c r="BZ8" s="959">
        <v>46082</v>
      </c>
      <c r="CA8" s="960">
        <f t="shared" ref="CA8:CA77" si="37">(YEAR(BZ8)-YEAR($CA$5))*12+MONTH(BZ8)-MONTH($CA$5)</f>
        <v>7</v>
      </c>
      <c r="CB8" s="960">
        <f t="shared" ref="CB8:CB71" si="38">CA8+1</f>
        <v>8</v>
      </c>
      <c r="CC8" s="949"/>
      <c r="CD8" s="949"/>
      <c r="CE8" s="949"/>
      <c r="CF8" s="949"/>
      <c r="CG8" s="949"/>
      <c r="CH8" s="949"/>
      <c r="CI8" s="949"/>
      <c r="CJ8" s="949"/>
      <c r="CK8" s="949"/>
      <c r="CL8" s="949"/>
      <c r="CM8" s="949"/>
      <c r="CN8" s="949"/>
      <c r="CO8" s="949"/>
      <c r="CP8" s="949"/>
      <c r="CQ8" s="949"/>
      <c r="CR8" s="949"/>
      <c r="CS8" s="949"/>
      <c r="CT8" s="949"/>
      <c r="CU8" s="949"/>
      <c r="CV8" s="949"/>
      <c r="CW8" s="949"/>
      <c r="CX8" s="949"/>
      <c r="CY8" s="949"/>
      <c r="CZ8" s="949"/>
      <c r="DA8" s="949"/>
      <c r="DB8" s="949"/>
      <c r="DC8" s="949"/>
      <c r="DD8" s="949"/>
      <c r="DE8" s="949"/>
      <c r="DF8" s="949"/>
      <c r="DG8" s="949"/>
      <c r="DH8" s="949"/>
      <c r="DI8" s="949"/>
      <c r="DJ8" s="949"/>
      <c r="DK8" s="949"/>
      <c r="DL8" s="949"/>
      <c r="DM8" s="949"/>
      <c r="DN8" s="949"/>
      <c r="DO8" s="949"/>
      <c r="DP8" s="949"/>
      <c r="DQ8" s="949"/>
      <c r="DR8" s="949"/>
      <c r="DS8" s="949"/>
      <c r="DT8" s="949"/>
      <c r="DU8" s="949"/>
      <c r="DV8" s="949"/>
      <c r="DW8" s="949"/>
      <c r="DX8" s="949"/>
      <c r="DY8" s="949"/>
      <c r="DZ8" s="949"/>
      <c r="EA8" s="949"/>
      <c r="EB8" s="949"/>
      <c r="EC8" s="949"/>
      <c r="ED8" s="949"/>
      <c r="EE8" s="949"/>
      <c r="EF8" s="949"/>
      <c r="EG8" s="949"/>
      <c r="EH8" s="949"/>
      <c r="EI8" s="949"/>
      <c r="EJ8" s="949"/>
      <c r="EK8" s="949"/>
      <c r="EL8" s="949"/>
      <c r="EM8" s="949"/>
      <c r="EN8" s="949"/>
      <c r="EO8" s="949"/>
      <c r="EP8" s="949"/>
      <c r="EQ8" s="949"/>
      <c r="ER8" s="949"/>
      <c r="ES8" s="949"/>
      <c r="ET8" s="949"/>
      <c r="EU8" s="949"/>
      <c r="EV8" s="949"/>
      <c r="EW8" s="949"/>
      <c r="EX8" s="949"/>
      <c r="EY8" s="949"/>
      <c r="EZ8" s="949"/>
      <c r="FA8" s="949"/>
      <c r="FB8" s="949"/>
      <c r="FC8" s="949"/>
      <c r="FD8" s="949"/>
      <c r="FE8" s="949"/>
      <c r="FF8" s="949"/>
      <c r="FG8" s="949"/>
      <c r="FH8" s="949"/>
      <c r="FI8" s="949"/>
      <c r="FJ8" s="949"/>
      <c r="FK8" s="949"/>
      <c r="FL8" s="949"/>
      <c r="FM8" s="949"/>
      <c r="FN8" s="949"/>
      <c r="FO8" s="949"/>
      <c r="FP8" s="949"/>
      <c r="FQ8" s="949"/>
      <c r="FR8" s="949"/>
      <c r="FS8" s="949"/>
      <c r="FT8" s="949"/>
      <c r="FU8" s="949"/>
      <c r="FV8" s="949"/>
      <c r="FW8" s="949"/>
      <c r="FX8" s="949"/>
      <c r="FY8" s="949"/>
      <c r="FZ8" s="949"/>
      <c r="GA8" s="949"/>
      <c r="GB8" s="949"/>
      <c r="GC8" s="949"/>
      <c r="GD8" s="949"/>
      <c r="GE8" s="949"/>
      <c r="GF8" s="949"/>
    </row>
    <row r="9" spans="1:188" s="951" customFormat="1" x14ac:dyDescent="0.2">
      <c r="A9" s="952">
        <f t="shared" ref="A9:B78" si="39">A8+1</f>
        <v>3</v>
      </c>
      <c r="B9" s="953">
        <f t="shared" ref="B9:B13" si="40">B8+1</f>
        <v>3</v>
      </c>
      <c r="C9" s="952" t="s">
        <v>558</v>
      </c>
      <c r="D9" s="952"/>
      <c r="E9" s="952" t="s">
        <v>123</v>
      </c>
      <c r="F9" s="869" t="s">
        <v>433</v>
      </c>
      <c r="G9" s="869" t="s">
        <v>111</v>
      </c>
      <c r="H9" s="869" t="s">
        <v>560</v>
      </c>
      <c r="I9" s="869" t="s">
        <v>435</v>
      </c>
      <c r="J9" s="926">
        <v>47.78</v>
      </c>
      <c r="K9" s="943"/>
      <c r="L9" s="943"/>
      <c r="M9" s="926">
        <f t="shared" ref="M9:M14" si="41">J9</f>
        <v>47.78</v>
      </c>
      <c r="N9" s="943"/>
      <c r="O9" s="943"/>
      <c r="P9" s="954">
        <f t="shared" si="0"/>
        <v>7644800</v>
      </c>
      <c r="Q9" s="926"/>
      <c r="R9" s="926"/>
      <c r="S9" s="926">
        <f t="shared" si="23"/>
        <v>7644800</v>
      </c>
      <c r="T9" s="926"/>
      <c r="U9" s="943"/>
      <c r="V9" s="925"/>
      <c r="W9" s="945"/>
      <c r="X9" s="943"/>
      <c r="Y9" s="925"/>
      <c r="Z9" s="925"/>
      <c r="AA9" s="955" t="s">
        <v>114</v>
      </c>
      <c r="AB9" s="946"/>
      <c r="AC9" s="925"/>
      <c r="AD9" s="925"/>
      <c r="AE9" s="956">
        <f t="shared" si="24"/>
        <v>7644800</v>
      </c>
      <c r="AF9" s="956"/>
      <c r="AG9" s="957">
        <f t="shared" ref="AG9:AG20" si="42">AE9+AF9</f>
        <v>7644800</v>
      </c>
      <c r="AH9" s="919"/>
      <c r="AI9" s="957">
        <f t="shared" si="25"/>
        <v>7644800</v>
      </c>
      <c r="AJ9" s="919">
        <f t="shared" si="1"/>
        <v>191120</v>
      </c>
      <c r="AK9" s="920">
        <f t="shared" si="26"/>
        <v>7835920</v>
      </c>
      <c r="AL9" s="919">
        <f t="shared" si="2"/>
        <v>195898</v>
      </c>
      <c r="AM9" s="982">
        <f t="shared" si="27"/>
        <v>8031818</v>
      </c>
      <c r="AN9" s="919">
        <f t="shared" si="3"/>
        <v>200795.45</v>
      </c>
      <c r="AO9" s="920">
        <f t="shared" ref="AO9:AO71" si="43">AM9+AN9</f>
        <v>8232613.4500000002</v>
      </c>
      <c r="AP9" s="919">
        <f t="shared" si="4"/>
        <v>205815.33625000002</v>
      </c>
      <c r="AQ9" s="920">
        <f t="shared" si="5"/>
        <v>8438428.7862500008</v>
      </c>
      <c r="AR9" s="919">
        <f t="shared" si="6"/>
        <v>253152.8635875</v>
      </c>
      <c r="AS9" s="920">
        <f t="shared" si="7"/>
        <v>8691581.6498375013</v>
      </c>
      <c r="AT9" s="920">
        <f t="shared" si="28"/>
        <v>260747.44949512504</v>
      </c>
      <c r="AU9" s="919">
        <f t="shared" si="8"/>
        <v>347663.26599350007</v>
      </c>
      <c r="AV9" s="919"/>
      <c r="AW9" s="920">
        <f t="shared" si="9"/>
        <v>9039244.9158310015</v>
      </c>
      <c r="AX9" s="920">
        <f t="shared" si="29"/>
        <v>271177.34747493005</v>
      </c>
      <c r="AY9" s="919">
        <f t="shared" si="10"/>
        <v>361569.79663324007</v>
      </c>
      <c r="AZ9" s="919"/>
      <c r="BA9" s="920">
        <f t="shared" si="11"/>
        <v>9400814.7124642413</v>
      </c>
      <c r="BB9" s="920">
        <f t="shared" si="30"/>
        <v>282024.44137392723</v>
      </c>
      <c r="BC9" s="919">
        <f t="shared" si="12"/>
        <v>376032.58849856968</v>
      </c>
      <c r="BD9" s="919"/>
      <c r="BE9" s="975">
        <f t="shared" si="13"/>
        <v>9776847.3009628113</v>
      </c>
      <c r="BF9" s="975">
        <f t="shared" si="31"/>
        <v>293305.41902888432</v>
      </c>
      <c r="BG9" s="919">
        <f t="shared" si="14"/>
        <v>391073.89203851245</v>
      </c>
      <c r="BH9" s="975"/>
      <c r="BI9" s="975">
        <f t="shared" si="15"/>
        <v>10167921.193001324</v>
      </c>
      <c r="BJ9" s="975">
        <f t="shared" si="32"/>
        <v>305037.63579003973</v>
      </c>
      <c r="BK9" s="919">
        <f t="shared" si="16"/>
        <v>406716.84772005299</v>
      </c>
      <c r="BL9" s="975"/>
      <c r="BM9" s="975">
        <f t="shared" si="17"/>
        <v>10574638.040721377</v>
      </c>
      <c r="BN9" s="926">
        <f t="shared" si="18"/>
        <v>793097.85305410333</v>
      </c>
      <c r="BO9" s="926">
        <f t="shared" si="19"/>
        <v>264365.95101803442</v>
      </c>
      <c r="BP9" s="926">
        <f t="shared" si="20"/>
        <v>1268956.5648865653</v>
      </c>
      <c r="BQ9" s="926">
        <f t="shared" si="21"/>
        <v>12901058.40968008</v>
      </c>
      <c r="BR9" s="926">
        <f t="shared" si="22"/>
        <v>270009.59417497029</v>
      </c>
      <c r="BS9" s="958">
        <v>0.4</v>
      </c>
      <c r="BT9" s="954">
        <f t="shared" si="33"/>
        <v>5160423.3638720326</v>
      </c>
      <c r="BU9" s="926">
        <v>200000</v>
      </c>
      <c r="BV9" s="954">
        <f t="shared" si="34"/>
        <v>708631.90912457614</v>
      </c>
      <c r="BW9" s="869">
        <f t="shared" si="35"/>
        <v>7</v>
      </c>
      <c r="BX9" s="954">
        <f t="shared" si="36"/>
        <v>7740635.0458080471</v>
      </c>
      <c r="BY9" s="949"/>
      <c r="BZ9" s="959">
        <v>46082</v>
      </c>
      <c r="CA9" s="960">
        <f t="shared" si="37"/>
        <v>7</v>
      </c>
      <c r="CB9" s="960">
        <f t="shared" si="38"/>
        <v>8</v>
      </c>
      <c r="CC9" s="949"/>
      <c r="CD9" s="949"/>
      <c r="CE9" s="949"/>
      <c r="CF9" s="949"/>
      <c r="CG9" s="949"/>
      <c r="CH9" s="949"/>
      <c r="CI9" s="949"/>
      <c r="CJ9" s="949"/>
      <c r="CK9" s="949"/>
      <c r="CL9" s="949"/>
      <c r="CM9" s="949"/>
      <c r="CN9" s="949"/>
      <c r="CO9" s="949"/>
      <c r="CP9" s="949"/>
      <c r="CQ9" s="949"/>
      <c r="CR9" s="949"/>
      <c r="CS9" s="949"/>
      <c r="CT9" s="949"/>
      <c r="CU9" s="949"/>
      <c r="CV9" s="949"/>
      <c r="CW9" s="949"/>
      <c r="CX9" s="949"/>
      <c r="CY9" s="949"/>
      <c r="CZ9" s="949"/>
      <c r="DA9" s="949"/>
      <c r="DB9" s="949"/>
      <c r="DC9" s="949"/>
      <c r="DD9" s="949"/>
      <c r="DE9" s="949"/>
      <c r="DF9" s="949"/>
      <c r="DG9" s="949"/>
      <c r="DH9" s="949"/>
      <c r="DI9" s="949"/>
      <c r="DJ9" s="949"/>
      <c r="DK9" s="949"/>
      <c r="DL9" s="949"/>
      <c r="DM9" s="949"/>
      <c r="DN9" s="949"/>
      <c r="DO9" s="949"/>
      <c r="DP9" s="949"/>
      <c r="DQ9" s="949"/>
      <c r="DR9" s="949"/>
      <c r="DS9" s="949"/>
      <c r="DT9" s="949"/>
      <c r="DU9" s="949"/>
      <c r="DV9" s="949"/>
      <c r="DW9" s="949"/>
      <c r="DX9" s="949"/>
      <c r="DY9" s="949"/>
      <c r="DZ9" s="949"/>
      <c r="EA9" s="949"/>
      <c r="EB9" s="949"/>
      <c r="EC9" s="949"/>
      <c r="ED9" s="949"/>
      <c r="EE9" s="949"/>
      <c r="EF9" s="949"/>
      <c r="EG9" s="949"/>
      <c r="EH9" s="949"/>
      <c r="EI9" s="949"/>
      <c r="EJ9" s="949"/>
      <c r="EK9" s="949"/>
      <c r="EL9" s="949"/>
      <c r="EM9" s="949"/>
      <c r="EN9" s="949"/>
      <c r="EO9" s="949"/>
      <c r="EP9" s="949"/>
      <c r="EQ9" s="949"/>
      <c r="ER9" s="949"/>
      <c r="ES9" s="949"/>
      <c r="ET9" s="949"/>
      <c r="EU9" s="949"/>
      <c r="EV9" s="949"/>
      <c r="EW9" s="949"/>
      <c r="EX9" s="949"/>
      <c r="EY9" s="949"/>
      <c r="EZ9" s="949"/>
      <c r="FA9" s="949"/>
      <c r="FB9" s="949"/>
      <c r="FC9" s="949"/>
      <c r="FD9" s="949"/>
      <c r="FE9" s="949"/>
      <c r="FF9" s="949"/>
      <c r="FG9" s="949"/>
      <c r="FH9" s="949"/>
      <c r="FI9" s="949"/>
      <c r="FJ9" s="949"/>
      <c r="FK9" s="949"/>
      <c r="FL9" s="949"/>
      <c r="FM9" s="949"/>
      <c r="FN9" s="949"/>
      <c r="FO9" s="949"/>
      <c r="FP9" s="949"/>
      <c r="FQ9" s="949"/>
      <c r="FR9" s="949"/>
      <c r="FS9" s="949"/>
      <c r="FT9" s="949"/>
      <c r="FU9" s="949"/>
      <c r="FV9" s="949"/>
      <c r="FW9" s="949"/>
      <c r="FX9" s="949"/>
      <c r="FY9" s="949"/>
      <c r="FZ9" s="949"/>
      <c r="GA9" s="949"/>
      <c r="GB9" s="949"/>
      <c r="GC9" s="949"/>
      <c r="GD9" s="949"/>
      <c r="GE9" s="949"/>
      <c r="GF9" s="949"/>
    </row>
    <row r="10" spans="1:188" s="951" customFormat="1" x14ac:dyDescent="0.2">
      <c r="A10" s="952">
        <f t="shared" si="39"/>
        <v>4</v>
      </c>
      <c r="B10" s="953">
        <f t="shared" si="40"/>
        <v>4</v>
      </c>
      <c r="C10" s="952" t="s">
        <v>558</v>
      </c>
      <c r="D10" s="952"/>
      <c r="E10" s="952" t="s">
        <v>123</v>
      </c>
      <c r="F10" s="869" t="s">
        <v>433</v>
      </c>
      <c r="G10" s="869" t="s">
        <v>115</v>
      </c>
      <c r="H10" s="869" t="s">
        <v>561</v>
      </c>
      <c r="I10" s="869" t="s">
        <v>435</v>
      </c>
      <c r="J10" s="926">
        <v>53.99</v>
      </c>
      <c r="K10" s="943"/>
      <c r="L10" s="943"/>
      <c r="M10" s="926">
        <f t="shared" si="41"/>
        <v>53.99</v>
      </c>
      <c r="N10" s="943"/>
      <c r="O10" s="943"/>
      <c r="P10" s="954">
        <f t="shared" si="0"/>
        <v>8638400</v>
      </c>
      <c r="Q10" s="926"/>
      <c r="R10" s="926"/>
      <c r="S10" s="926">
        <f t="shared" si="23"/>
        <v>8638400</v>
      </c>
      <c r="T10" s="926"/>
      <c r="U10" s="943"/>
      <c r="V10" s="925"/>
      <c r="W10" s="945"/>
      <c r="X10" s="943"/>
      <c r="Y10" s="925"/>
      <c r="Z10" s="925"/>
      <c r="AA10" s="955" t="s">
        <v>114</v>
      </c>
      <c r="AB10" s="946"/>
      <c r="AC10" s="925"/>
      <c r="AD10" s="925"/>
      <c r="AE10" s="956">
        <f t="shared" si="24"/>
        <v>8638400</v>
      </c>
      <c r="AF10" s="956"/>
      <c r="AG10" s="957">
        <f t="shared" si="42"/>
        <v>8638400</v>
      </c>
      <c r="AH10" s="919"/>
      <c r="AI10" s="957">
        <f t="shared" si="25"/>
        <v>8638400</v>
      </c>
      <c r="AJ10" s="919">
        <f t="shared" si="1"/>
        <v>215960</v>
      </c>
      <c r="AK10" s="920">
        <f t="shared" si="26"/>
        <v>8854360</v>
      </c>
      <c r="AL10" s="919">
        <f t="shared" si="2"/>
        <v>221359</v>
      </c>
      <c r="AM10" s="982">
        <f t="shared" si="27"/>
        <v>9075719</v>
      </c>
      <c r="AN10" s="919">
        <f t="shared" si="3"/>
        <v>226892.97500000001</v>
      </c>
      <c r="AO10" s="920">
        <f t="shared" si="43"/>
        <v>9302611.9749999996</v>
      </c>
      <c r="AP10" s="919">
        <f t="shared" si="4"/>
        <v>232565.299375</v>
      </c>
      <c r="AQ10" s="920">
        <f t="shared" si="5"/>
        <v>9535177.2743749991</v>
      </c>
      <c r="AR10" s="919">
        <f t="shared" si="6"/>
        <v>286055.31823124998</v>
      </c>
      <c r="AS10" s="920">
        <f t="shared" si="7"/>
        <v>9821232.5926062483</v>
      </c>
      <c r="AT10" s="920">
        <f t="shared" si="28"/>
        <v>294636.97777818743</v>
      </c>
      <c r="AU10" s="919">
        <f t="shared" si="8"/>
        <v>392849.30370424996</v>
      </c>
      <c r="AV10" s="919"/>
      <c r="AW10" s="920">
        <f t="shared" si="9"/>
        <v>10214081.896310499</v>
      </c>
      <c r="AX10" s="920">
        <f t="shared" si="29"/>
        <v>306422.45688931498</v>
      </c>
      <c r="AY10" s="919">
        <f t="shared" si="10"/>
        <v>408563.27585241996</v>
      </c>
      <c r="AZ10" s="919"/>
      <c r="BA10" s="920">
        <f t="shared" si="11"/>
        <v>10622645.172162918</v>
      </c>
      <c r="BB10" s="920">
        <f t="shared" si="30"/>
        <v>318679.35516488756</v>
      </c>
      <c r="BC10" s="919">
        <f t="shared" si="12"/>
        <v>424905.80688651674</v>
      </c>
      <c r="BD10" s="919"/>
      <c r="BE10" s="975">
        <f t="shared" si="13"/>
        <v>11047550.979049435</v>
      </c>
      <c r="BF10" s="975">
        <f t="shared" si="31"/>
        <v>331426.52937148302</v>
      </c>
      <c r="BG10" s="919">
        <f t="shared" si="14"/>
        <v>441902.03916197742</v>
      </c>
      <c r="BH10" s="975"/>
      <c r="BI10" s="975">
        <f t="shared" si="15"/>
        <v>11489453.018211413</v>
      </c>
      <c r="BJ10" s="975">
        <f t="shared" si="32"/>
        <v>344683.59054634237</v>
      </c>
      <c r="BK10" s="919">
        <f t="shared" si="16"/>
        <v>459578.12072845653</v>
      </c>
      <c r="BL10" s="975"/>
      <c r="BM10" s="975">
        <f t="shared" si="17"/>
        <v>11949031.138939871</v>
      </c>
      <c r="BN10" s="926">
        <f t="shared" si="18"/>
        <v>896177.33542049024</v>
      </c>
      <c r="BO10" s="926">
        <f t="shared" si="19"/>
        <v>298725.77847349679</v>
      </c>
      <c r="BP10" s="926">
        <f t="shared" si="20"/>
        <v>1433883.7366727844</v>
      </c>
      <c r="BQ10" s="926">
        <f t="shared" si="21"/>
        <v>14577817.989506643</v>
      </c>
      <c r="BR10" s="926">
        <f t="shared" si="22"/>
        <v>270009.59417497023</v>
      </c>
      <c r="BS10" s="958">
        <v>0.4</v>
      </c>
      <c r="BT10" s="954">
        <f t="shared" si="33"/>
        <v>5831127.1958026579</v>
      </c>
      <c r="BU10" s="926">
        <v>200000</v>
      </c>
      <c r="BV10" s="954">
        <f t="shared" si="34"/>
        <v>804446.74225752254</v>
      </c>
      <c r="BW10" s="869">
        <f>CA10</f>
        <v>7</v>
      </c>
      <c r="BX10" s="954">
        <f t="shared" si="36"/>
        <v>8746690.7937039845</v>
      </c>
      <c r="BY10" s="949"/>
      <c r="BZ10" s="959">
        <v>46082</v>
      </c>
      <c r="CA10" s="960">
        <f t="shared" si="37"/>
        <v>7</v>
      </c>
      <c r="CB10" s="960">
        <f t="shared" si="38"/>
        <v>8</v>
      </c>
      <c r="CC10" s="949"/>
      <c r="CD10" s="949"/>
      <c r="CE10" s="949"/>
      <c r="CF10" s="949"/>
      <c r="CG10" s="949"/>
      <c r="CH10" s="949"/>
      <c r="CI10" s="949"/>
      <c r="CJ10" s="949"/>
      <c r="CK10" s="949"/>
      <c r="CL10" s="949"/>
      <c r="CM10" s="949"/>
      <c r="CN10" s="949"/>
      <c r="CO10" s="949"/>
      <c r="CP10" s="949"/>
      <c r="CQ10" s="949"/>
      <c r="CR10" s="949"/>
      <c r="CS10" s="949"/>
      <c r="CT10" s="949"/>
      <c r="CU10" s="949"/>
      <c r="CV10" s="949"/>
      <c r="CW10" s="949"/>
      <c r="CX10" s="949"/>
      <c r="CY10" s="949"/>
      <c r="CZ10" s="949"/>
      <c r="DA10" s="949"/>
      <c r="DB10" s="949"/>
      <c r="DC10" s="949"/>
      <c r="DD10" s="949"/>
      <c r="DE10" s="949"/>
      <c r="DF10" s="949"/>
      <c r="DG10" s="949"/>
      <c r="DH10" s="949"/>
      <c r="DI10" s="949"/>
      <c r="DJ10" s="949"/>
      <c r="DK10" s="949"/>
      <c r="DL10" s="949"/>
      <c r="DM10" s="949"/>
      <c r="DN10" s="949"/>
      <c r="DO10" s="949"/>
      <c r="DP10" s="949"/>
      <c r="DQ10" s="949"/>
      <c r="DR10" s="949"/>
      <c r="DS10" s="949"/>
      <c r="DT10" s="949"/>
      <c r="DU10" s="949"/>
      <c r="DV10" s="949"/>
      <c r="DW10" s="949"/>
      <c r="DX10" s="949"/>
      <c r="DY10" s="949"/>
      <c r="DZ10" s="949"/>
      <c r="EA10" s="949"/>
      <c r="EB10" s="949"/>
      <c r="EC10" s="949"/>
      <c r="ED10" s="949"/>
      <c r="EE10" s="949"/>
      <c r="EF10" s="949"/>
      <c r="EG10" s="949"/>
      <c r="EH10" s="949"/>
      <c r="EI10" s="949"/>
      <c r="EJ10" s="949"/>
      <c r="EK10" s="949"/>
      <c r="EL10" s="949"/>
      <c r="EM10" s="949"/>
      <c r="EN10" s="949"/>
      <c r="EO10" s="949"/>
      <c r="EP10" s="949"/>
      <c r="EQ10" s="949"/>
      <c r="ER10" s="949"/>
      <c r="ES10" s="949"/>
      <c r="ET10" s="949"/>
      <c r="EU10" s="949"/>
      <c r="EV10" s="949"/>
      <c r="EW10" s="949"/>
      <c r="EX10" s="949"/>
      <c r="EY10" s="949"/>
      <c r="EZ10" s="949"/>
      <c r="FA10" s="949"/>
      <c r="FB10" s="949"/>
      <c r="FC10" s="949"/>
      <c r="FD10" s="949"/>
      <c r="FE10" s="949"/>
      <c r="FF10" s="949"/>
      <c r="FG10" s="949"/>
      <c r="FH10" s="949"/>
      <c r="FI10" s="949"/>
      <c r="FJ10" s="949"/>
      <c r="FK10" s="949"/>
      <c r="FL10" s="949"/>
      <c r="FM10" s="949"/>
      <c r="FN10" s="949"/>
      <c r="FO10" s="949"/>
      <c r="FP10" s="949"/>
      <c r="FQ10" s="949"/>
      <c r="FR10" s="949"/>
      <c r="FS10" s="949"/>
      <c r="FT10" s="949"/>
      <c r="FU10" s="949"/>
      <c r="FV10" s="949"/>
      <c r="FW10" s="949"/>
      <c r="FX10" s="949"/>
      <c r="FY10" s="949"/>
      <c r="FZ10" s="949"/>
      <c r="GA10" s="949"/>
      <c r="GB10" s="949"/>
      <c r="GC10" s="949"/>
      <c r="GD10" s="949"/>
      <c r="GE10" s="949"/>
      <c r="GF10" s="949"/>
    </row>
    <row r="11" spans="1:188" s="951" customFormat="1" x14ac:dyDescent="0.2">
      <c r="A11" s="952">
        <f t="shared" si="39"/>
        <v>5</v>
      </c>
      <c r="B11" s="953">
        <f t="shared" si="40"/>
        <v>5</v>
      </c>
      <c r="C11" s="952" t="s">
        <v>558</v>
      </c>
      <c r="D11" s="952"/>
      <c r="E11" s="952" t="s">
        <v>123</v>
      </c>
      <c r="F11" s="869" t="s">
        <v>433</v>
      </c>
      <c r="G11" s="869" t="s">
        <v>117</v>
      </c>
      <c r="H11" s="869" t="s">
        <v>562</v>
      </c>
      <c r="I11" s="869" t="s">
        <v>435</v>
      </c>
      <c r="J11" s="926">
        <v>58.67</v>
      </c>
      <c r="K11" s="943"/>
      <c r="L11" s="943"/>
      <c r="M11" s="926">
        <f t="shared" si="41"/>
        <v>58.67</v>
      </c>
      <c r="N11" s="943"/>
      <c r="O11" s="943"/>
      <c r="P11" s="954">
        <f t="shared" si="0"/>
        <v>9387200</v>
      </c>
      <c r="Q11" s="926"/>
      <c r="R11" s="926"/>
      <c r="S11" s="926">
        <f t="shared" si="23"/>
        <v>9387200</v>
      </c>
      <c r="T11" s="926"/>
      <c r="U11" s="943"/>
      <c r="V11" s="925"/>
      <c r="W11" s="945"/>
      <c r="X11" s="943"/>
      <c r="Y11" s="925"/>
      <c r="Z11" s="925"/>
      <c r="AA11" s="955" t="s">
        <v>114</v>
      </c>
      <c r="AB11" s="946"/>
      <c r="AC11" s="925"/>
      <c r="AD11" s="925"/>
      <c r="AE11" s="956">
        <f t="shared" si="24"/>
        <v>9387200</v>
      </c>
      <c r="AF11" s="956"/>
      <c r="AG11" s="957">
        <f t="shared" si="42"/>
        <v>9387200</v>
      </c>
      <c r="AH11" s="919"/>
      <c r="AI11" s="957">
        <f t="shared" si="25"/>
        <v>9387200</v>
      </c>
      <c r="AJ11" s="919">
        <f t="shared" si="1"/>
        <v>234680</v>
      </c>
      <c r="AK11" s="920">
        <f t="shared" si="26"/>
        <v>9621880</v>
      </c>
      <c r="AL11" s="919">
        <f t="shared" si="2"/>
        <v>240547</v>
      </c>
      <c r="AM11" s="982">
        <f t="shared" si="27"/>
        <v>9862427</v>
      </c>
      <c r="AN11" s="919">
        <f t="shared" si="3"/>
        <v>246560.67500000002</v>
      </c>
      <c r="AO11" s="920">
        <f t="shared" si="43"/>
        <v>10108987.675000001</v>
      </c>
      <c r="AP11" s="919">
        <f t="shared" si="4"/>
        <v>252724.69187500002</v>
      </c>
      <c r="AQ11" s="920">
        <f t="shared" si="5"/>
        <v>10361712.366875</v>
      </c>
      <c r="AR11" s="919">
        <f t="shared" si="6"/>
        <v>310851.37100624997</v>
      </c>
      <c r="AS11" s="920">
        <f t="shared" si="7"/>
        <v>10672563.737881251</v>
      </c>
      <c r="AT11" s="920">
        <f t="shared" si="28"/>
        <v>320176.91213643749</v>
      </c>
      <c r="AU11" s="919">
        <f t="shared" si="8"/>
        <v>426902.54951525002</v>
      </c>
      <c r="AV11" s="919"/>
      <c r="AW11" s="920">
        <f t="shared" si="9"/>
        <v>11099466.2873965</v>
      </c>
      <c r="AX11" s="920">
        <f t="shared" si="29"/>
        <v>332983.98862189497</v>
      </c>
      <c r="AY11" s="919">
        <f t="shared" si="10"/>
        <v>443978.65149586002</v>
      </c>
      <c r="AZ11" s="919"/>
      <c r="BA11" s="920">
        <f t="shared" si="11"/>
        <v>11543444.938892361</v>
      </c>
      <c r="BB11" s="920">
        <f t="shared" si="30"/>
        <v>346303.34816677083</v>
      </c>
      <c r="BC11" s="919">
        <f t="shared" si="12"/>
        <v>461737.79755569441</v>
      </c>
      <c r="BD11" s="919"/>
      <c r="BE11" s="975">
        <f t="shared" si="13"/>
        <v>12005182.736448055</v>
      </c>
      <c r="BF11" s="975">
        <f t="shared" si="31"/>
        <v>360155.48209344165</v>
      </c>
      <c r="BG11" s="919">
        <f t="shared" si="14"/>
        <v>480207.30945792224</v>
      </c>
      <c r="BH11" s="975"/>
      <c r="BI11" s="975">
        <f t="shared" si="15"/>
        <v>12485390.045905977</v>
      </c>
      <c r="BJ11" s="975">
        <f t="shared" si="32"/>
        <v>374561.7013771793</v>
      </c>
      <c r="BK11" s="919">
        <f t="shared" si="16"/>
        <v>499415.6018362391</v>
      </c>
      <c r="BL11" s="975"/>
      <c r="BM11" s="975">
        <f t="shared" si="17"/>
        <v>12984805.647742217</v>
      </c>
      <c r="BN11" s="926">
        <f t="shared" si="18"/>
        <v>973860.42358066631</v>
      </c>
      <c r="BO11" s="926">
        <f t="shared" si="19"/>
        <v>324620.14119355544</v>
      </c>
      <c r="BP11" s="926">
        <f t="shared" si="20"/>
        <v>1558176.677729066</v>
      </c>
      <c r="BQ11" s="926">
        <f t="shared" si="21"/>
        <v>15841462.890245507</v>
      </c>
      <c r="BR11" s="926">
        <f t="shared" si="22"/>
        <v>270009.59417497029</v>
      </c>
      <c r="BS11" s="958">
        <v>0.4</v>
      </c>
      <c r="BT11" s="954">
        <f t="shared" si="33"/>
        <v>6336585.1560982028</v>
      </c>
      <c r="BU11" s="926">
        <v>200000</v>
      </c>
      <c r="BV11" s="954">
        <f t="shared" si="34"/>
        <v>876655.02229974326</v>
      </c>
      <c r="BW11" s="869">
        <f t="shared" si="35"/>
        <v>7</v>
      </c>
      <c r="BX11" s="954">
        <f t="shared" si="36"/>
        <v>9504877.7341473028</v>
      </c>
      <c r="BY11" s="949"/>
      <c r="BZ11" s="959">
        <v>46082</v>
      </c>
      <c r="CA11" s="960">
        <f t="shared" si="37"/>
        <v>7</v>
      </c>
      <c r="CB11" s="960">
        <f t="shared" si="38"/>
        <v>8</v>
      </c>
      <c r="CC11" s="949"/>
      <c r="CD11" s="949"/>
      <c r="CE11" s="949"/>
      <c r="CF11" s="949"/>
      <c r="CG11" s="949"/>
      <c r="CH11" s="949"/>
      <c r="CI11" s="949"/>
      <c r="CJ11" s="949"/>
      <c r="CK11" s="949"/>
      <c r="CL11" s="949"/>
      <c r="CM11" s="949"/>
      <c r="CN11" s="949"/>
      <c r="CO11" s="949"/>
      <c r="CP11" s="949"/>
      <c r="CQ11" s="949"/>
      <c r="CR11" s="949"/>
      <c r="CS11" s="949"/>
      <c r="CT11" s="949"/>
      <c r="CU11" s="949"/>
      <c r="CV11" s="949"/>
      <c r="CW11" s="949"/>
      <c r="CX11" s="949"/>
      <c r="CY11" s="949"/>
      <c r="CZ11" s="949"/>
      <c r="DA11" s="949"/>
      <c r="DB11" s="949"/>
      <c r="DC11" s="949"/>
      <c r="DD11" s="949"/>
      <c r="DE11" s="949"/>
      <c r="DF11" s="949"/>
      <c r="DG11" s="949"/>
      <c r="DH11" s="949"/>
      <c r="DI11" s="949"/>
      <c r="DJ11" s="949"/>
      <c r="DK11" s="949"/>
      <c r="DL11" s="949"/>
      <c r="DM11" s="949"/>
      <c r="DN11" s="949"/>
      <c r="DO11" s="949"/>
      <c r="DP11" s="949"/>
      <c r="DQ11" s="949"/>
      <c r="DR11" s="949"/>
      <c r="DS11" s="949"/>
      <c r="DT11" s="949"/>
      <c r="DU11" s="949"/>
      <c r="DV11" s="949"/>
      <c r="DW11" s="949"/>
      <c r="DX11" s="949"/>
      <c r="DY11" s="949"/>
      <c r="DZ11" s="949"/>
      <c r="EA11" s="949"/>
      <c r="EB11" s="949"/>
      <c r="EC11" s="949"/>
      <c r="ED11" s="949"/>
      <c r="EE11" s="949"/>
      <c r="EF11" s="949"/>
      <c r="EG11" s="949"/>
      <c r="EH11" s="949"/>
      <c r="EI11" s="949"/>
      <c r="EJ11" s="949"/>
      <c r="EK11" s="949"/>
      <c r="EL11" s="949"/>
      <c r="EM11" s="949"/>
      <c r="EN11" s="949"/>
      <c r="EO11" s="949"/>
      <c r="EP11" s="949"/>
      <c r="EQ11" s="949"/>
      <c r="ER11" s="949"/>
      <c r="ES11" s="949"/>
      <c r="ET11" s="949"/>
      <c r="EU11" s="949"/>
      <c r="EV11" s="949"/>
      <c r="EW11" s="949"/>
      <c r="EX11" s="949"/>
      <c r="EY11" s="949"/>
      <c r="EZ11" s="949"/>
      <c r="FA11" s="949"/>
      <c r="FB11" s="949"/>
      <c r="FC11" s="949"/>
      <c r="FD11" s="949"/>
      <c r="FE11" s="949"/>
      <c r="FF11" s="949"/>
      <c r="FG11" s="949"/>
      <c r="FH11" s="949"/>
      <c r="FI11" s="949"/>
      <c r="FJ11" s="949"/>
      <c r="FK11" s="949"/>
      <c r="FL11" s="949"/>
      <c r="FM11" s="949"/>
      <c r="FN11" s="949"/>
      <c r="FO11" s="949"/>
      <c r="FP11" s="949"/>
      <c r="FQ11" s="949"/>
      <c r="FR11" s="949"/>
      <c r="FS11" s="949"/>
      <c r="FT11" s="949"/>
      <c r="FU11" s="949"/>
      <c r="FV11" s="949"/>
      <c r="FW11" s="949"/>
      <c r="FX11" s="949"/>
      <c r="FY11" s="949"/>
      <c r="FZ11" s="949"/>
      <c r="GA11" s="949"/>
      <c r="GB11" s="949"/>
      <c r="GC11" s="949"/>
      <c r="GD11" s="949"/>
      <c r="GE11" s="949"/>
      <c r="GF11" s="949"/>
    </row>
    <row r="12" spans="1:188" s="951" customFormat="1" x14ac:dyDescent="0.2">
      <c r="A12" s="952">
        <f t="shared" si="39"/>
        <v>6</v>
      </c>
      <c r="B12" s="953">
        <f t="shared" si="40"/>
        <v>6</v>
      </c>
      <c r="C12" s="952" t="s">
        <v>558</v>
      </c>
      <c r="D12" s="952"/>
      <c r="E12" s="952" t="s">
        <v>123</v>
      </c>
      <c r="F12" s="869" t="s">
        <v>433</v>
      </c>
      <c r="G12" s="869" t="s">
        <v>119</v>
      </c>
      <c r="H12" s="869" t="s">
        <v>563</v>
      </c>
      <c r="I12" s="869" t="s">
        <v>435</v>
      </c>
      <c r="J12" s="926">
        <v>63.33</v>
      </c>
      <c r="K12" s="943"/>
      <c r="L12" s="943"/>
      <c r="M12" s="926">
        <f t="shared" si="41"/>
        <v>63.33</v>
      </c>
      <c r="N12" s="943"/>
      <c r="O12" s="943"/>
      <c r="P12" s="954">
        <f t="shared" si="0"/>
        <v>10132800</v>
      </c>
      <c r="Q12" s="926"/>
      <c r="R12" s="926"/>
      <c r="S12" s="926">
        <f t="shared" si="23"/>
        <v>10132800</v>
      </c>
      <c r="T12" s="926"/>
      <c r="U12" s="943"/>
      <c r="V12" s="925"/>
      <c r="W12" s="945"/>
      <c r="X12" s="943"/>
      <c r="Y12" s="925"/>
      <c r="Z12" s="925"/>
      <c r="AA12" s="955" t="s">
        <v>114</v>
      </c>
      <c r="AB12" s="946"/>
      <c r="AC12" s="925"/>
      <c r="AD12" s="925"/>
      <c r="AE12" s="956">
        <f t="shared" si="24"/>
        <v>10132800</v>
      </c>
      <c r="AF12" s="956"/>
      <c r="AG12" s="957">
        <f t="shared" si="42"/>
        <v>10132800</v>
      </c>
      <c r="AH12" s="919"/>
      <c r="AI12" s="957">
        <f t="shared" si="25"/>
        <v>10132800</v>
      </c>
      <c r="AJ12" s="919">
        <f t="shared" si="1"/>
        <v>253320</v>
      </c>
      <c r="AK12" s="920">
        <f t="shared" si="26"/>
        <v>10386120</v>
      </c>
      <c r="AL12" s="919">
        <f t="shared" si="2"/>
        <v>259653</v>
      </c>
      <c r="AM12" s="982">
        <f t="shared" si="27"/>
        <v>10645773</v>
      </c>
      <c r="AN12" s="919">
        <f t="shared" si="3"/>
        <v>266144.32500000001</v>
      </c>
      <c r="AO12" s="920">
        <f t="shared" si="43"/>
        <v>10911917.324999999</v>
      </c>
      <c r="AP12" s="919">
        <f t="shared" si="4"/>
        <v>272797.93312499998</v>
      </c>
      <c r="AQ12" s="920">
        <f t="shared" si="5"/>
        <v>11184715.258125</v>
      </c>
      <c r="AR12" s="919">
        <f t="shared" si="6"/>
        <v>335541.45774374995</v>
      </c>
      <c r="AS12" s="920">
        <f t="shared" si="7"/>
        <v>11520256.715868749</v>
      </c>
      <c r="AT12" s="920">
        <f t="shared" si="28"/>
        <v>345607.70147606247</v>
      </c>
      <c r="AU12" s="919">
        <f t="shared" si="8"/>
        <v>460810.26863474998</v>
      </c>
      <c r="AV12" s="919"/>
      <c r="AW12" s="920">
        <f t="shared" si="9"/>
        <v>11981066.984503498</v>
      </c>
      <c r="AX12" s="920">
        <f t="shared" si="29"/>
        <v>359432.00953510491</v>
      </c>
      <c r="AY12" s="919">
        <f t="shared" si="10"/>
        <v>479242.67938013992</v>
      </c>
      <c r="AZ12" s="919"/>
      <c r="BA12" s="920">
        <f t="shared" si="11"/>
        <v>12460309.663883638</v>
      </c>
      <c r="BB12" s="920">
        <f t="shared" si="30"/>
        <v>373809.28991650912</v>
      </c>
      <c r="BC12" s="919">
        <f t="shared" si="12"/>
        <v>498412.3865553455</v>
      </c>
      <c r="BD12" s="919"/>
      <c r="BE12" s="975">
        <f t="shared" si="13"/>
        <v>12958722.050438983</v>
      </c>
      <c r="BF12" s="975">
        <f t="shared" si="31"/>
        <v>388761.66151316947</v>
      </c>
      <c r="BG12" s="919">
        <f t="shared" si="14"/>
        <v>518348.88201755937</v>
      </c>
      <c r="BH12" s="975"/>
      <c r="BI12" s="975">
        <f t="shared" si="15"/>
        <v>13477070.932456542</v>
      </c>
      <c r="BJ12" s="975">
        <f t="shared" si="32"/>
        <v>404312.12797369622</v>
      </c>
      <c r="BK12" s="919">
        <f t="shared" si="16"/>
        <v>539082.8372982617</v>
      </c>
      <c r="BL12" s="975"/>
      <c r="BM12" s="975">
        <f t="shared" si="17"/>
        <v>14016153.769754803</v>
      </c>
      <c r="BN12" s="926">
        <f t="shared" si="18"/>
        <v>1051211.5327316101</v>
      </c>
      <c r="BO12" s="926">
        <f t="shared" si="19"/>
        <v>350403.84424387012</v>
      </c>
      <c r="BP12" s="926">
        <f t="shared" si="20"/>
        <v>1681938.4523705763</v>
      </c>
      <c r="BQ12" s="926">
        <f t="shared" si="21"/>
        <v>17099707.599100858</v>
      </c>
      <c r="BR12" s="926">
        <f t="shared" si="22"/>
        <v>270009.59417497012</v>
      </c>
      <c r="BS12" s="958">
        <v>0.4</v>
      </c>
      <c r="BT12" s="954">
        <f t="shared" si="33"/>
        <v>6839883.0396403437</v>
      </c>
      <c r="BU12" s="926">
        <v>200000</v>
      </c>
      <c r="BV12" s="954">
        <f t="shared" si="34"/>
        <v>948554.71994862054</v>
      </c>
      <c r="BW12" s="869">
        <f t="shared" si="35"/>
        <v>7</v>
      </c>
      <c r="BX12" s="954">
        <f t="shared" si="36"/>
        <v>10259824.559460513</v>
      </c>
      <c r="BY12" s="949"/>
      <c r="BZ12" s="959">
        <v>46082</v>
      </c>
      <c r="CA12" s="960">
        <f t="shared" si="37"/>
        <v>7</v>
      </c>
      <c r="CB12" s="960">
        <f t="shared" si="38"/>
        <v>8</v>
      </c>
      <c r="CC12" s="949"/>
      <c r="CD12" s="949"/>
      <c r="CE12" s="949"/>
      <c r="CF12" s="949"/>
      <c r="CG12" s="949"/>
      <c r="CH12" s="949"/>
      <c r="CI12" s="949"/>
      <c r="CJ12" s="949"/>
      <c r="CK12" s="949"/>
      <c r="CL12" s="949"/>
      <c r="CM12" s="949"/>
      <c r="CN12" s="949"/>
      <c r="CO12" s="949"/>
      <c r="CP12" s="949"/>
      <c r="CQ12" s="949"/>
      <c r="CR12" s="949"/>
      <c r="CS12" s="949"/>
      <c r="CT12" s="949"/>
      <c r="CU12" s="949"/>
      <c r="CV12" s="949"/>
      <c r="CW12" s="949"/>
      <c r="CX12" s="949"/>
      <c r="CY12" s="949"/>
      <c r="CZ12" s="949"/>
      <c r="DA12" s="949"/>
      <c r="DB12" s="949"/>
      <c r="DC12" s="949"/>
      <c r="DD12" s="949"/>
      <c r="DE12" s="949"/>
      <c r="DF12" s="949"/>
      <c r="DG12" s="949"/>
      <c r="DH12" s="949"/>
      <c r="DI12" s="949"/>
      <c r="DJ12" s="949"/>
      <c r="DK12" s="949"/>
      <c r="DL12" s="949"/>
      <c r="DM12" s="949"/>
      <c r="DN12" s="949"/>
      <c r="DO12" s="949"/>
      <c r="DP12" s="949"/>
      <c r="DQ12" s="949"/>
      <c r="DR12" s="949"/>
      <c r="DS12" s="949"/>
      <c r="DT12" s="949"/>
      <c r="DU12" s="949"/>
      <c r="DV12" s="949"/>
      <c r="DW12" s="949"/>
      <c r="DX12" s="949"/>
      <c r="DY12" s="949"/>
      <c r="DZ12" s="949"/>
      <c r="EA12" s="949"/>
      <c r="EB12" s="949"/>
      <c r="EC12" s="949"/>
      <c r="ED12" s="949"/>
      <c r="EE12" s="949"/>
      <c r="EF12" s="949"/>
      <c r="EG12" s="949"/>
      <c r="EH12" s="949"/>
      <c r="EI12" s="949"/>
      <c r="EJ12" s="949"/>
      <c r="EK12" s="949"/>
      <c r="EL12" s="949"/>
      <c r="EM12" s="949"/>
      <c r="EN12" s="949"/>
      <c r="EO12" s="949"/>
      <c r="EP12" s="949"/>
      <c r="EQ12" s="949"/>
      <c r="ER12" s="949"/>
      <c r="ES12" s="949"/>
      <c r="ET12" s="949"/>
      <c r="EU12" s="949"/>
      <c r="EV12" s="949"/>
      <c r="EW12" s="949"/>
      <c r="EX12" s="949"/>
      <c r="EY12" s="949"/>
      <c r="EZ12" s="949"/>
      <c r="FA12" s="949"/>
      <c r="FB12" s="949"/>
      <c r="FC12" s="949"/>
      <c r="FD12" s="949"/>
      <c r="FE12" s="949"/>
      <c r="FF12" s="949"/>
      <c r="FG12" s="949"/>
      <c r="FH12" s="949"/>
      <c r="FI12" s="949"/>
      <c r="FJ12" s="949"/>
      <c r="FK12" s="949"/>
      <c r="FL12" s="949"/>
      <c r="FM12" s="949"/>
      <c r="FN12" s="949"/>
      <c r="FO12" s="949"/>
      <c r="FP12" s="949"/>
      <c r="FQ12" s="949"/>
      <c r="FR12" s="949"/>
      <c r="FS12" s="949"/>
      <c r="FT12" s="949"/>
      <c r="FU12" s="949"/>
      <c r="FV12" s="949"/>
      <c r="FW12" s="949"/>
      <c r="FX12" s="949"/>
      <c r="FY12" s="949"/>
      <c r="FZ12" s="949"/>
      <c r="GA12" s="949"/>
      <c r="GB12" s="949"/>
      <c r="GC12" s="949"/>
      <c r="GD12" s="949"/>
      <c r="GE12" s="949"/>
      <c r="GF12" s="949"/>
    </row>
    <row r="13" spans="1:188" s="951" customFormat="1" x14ac:dyDescent="0.2">
      <c r="A13" s="952">
        <f t="shared" si="39"/>
        <v>7</v>
      </c>
      <c r="B13" s="953">
        <f t="shared" si="40"/>
        <v>7</v>
      </c>
      <c r="C13" s="952" t="s">
        <v>558</v>
      </c>
      <c r="D13" s="952"/>
      <c r="E13" s="952" t="s">
        <v>123</v>
      </c>
      <c r="F13" s="869" t="s">
        <v>433</v>
      </c>
      <c r="G13" s="869" t="s">
        <v>121</v>
      </c>
      <c r="H13" s="869" t="s">
        <v>564</v>
      </c>
      <c r="I13" s="869" t="s">
        <v>435</v>
      </c>
      <c r="J13" s="926">
        <v>86.33</v>
      </c>
      <c r="K13" s="943"/>
      <c r="L13" s="943"/>
      <c r="M13" s="926">
        <f t="shared" si="41"/>
        <v>86.33</v>
      </c>
      <c r="N13" s="943"/>
      <c r="O13" s="943"/>
      <c r="P13" s="954">
        <f t="shared" si="0"/>
        <v>13812800</v>
      </c>
      <c r="Q13" s="926"/>
      <c r="R13" s="926"/>
      <c r="S13" s="926">
        <f t="shared" ref="S13" si="44">SUM(P13:R13)</f>
        <v>13812800</v>
      </c>
      <c r="T13" s="926"/>
      <c r="U13" s="943"/>
      <c r="V13" s="925"/>
      <c r="W13" s="945"/>
      <c r="X13" s="943"/>
      <c r="Y13" s="925"/>
      <c r="Z13" s="925"/>
      <c r="AA13" s="961" t="s">
        <v>110</v>
      </c>
      <c r="AB13" s="946"/>
      <c r="AC13" s="925"/>
      <c r="AD13" s="925"/>
      <c r="AE13" s="956">
        <f t="shared" ref="AE13" si="45">S13+AC13</f>
        <v>13812800</v>
      </c>
      <c r="AF13" s="956"/>
      <c r="AG13" s="957">
        <f t="shared" si="42"/>
        <v>13812800</v>
      </c>
      <c r="AH13" s="919"/>
      <c r="AI13" s="957">
        <f t="shared" si="25"/>
        <v>13812800</v>
      </c>
      <c r="AJ13" s="919">
        <f t="shared" si="1"/>
        <v>345320</v>
      </c>
      <c r="AK13" s="920">
        <f t="shared" si="26"/>
        <v>14158120</v>
      </c>
      <c r="AL13" s="919">
        <f t="shared" si="2"/>
        <v>353953</v>
      </c>
      <c r="AM13" s="982">
        <f t="shared" si="27"/>
        <v>14512073</v>
      </c>
      <c r="AN13" s="919">
        <f t="shared" si="3"/>
        <v>362801.82500000001</v>
      </c>
      <c r="AO13" s="920">
        <f t="shared" si="43"/>
        <v>14874874.824999999</v>
      </c>
      <c r="AP13" s="919">
        <f t="shared" si="4"/>
        <v>371871.87062499998</v>
      </c>
      <c r="AQ13" s="920">
        <f t="shared" si="5"/>
        <v>15246746.695625</v>
      </c>
      <c r="AR13" s="919">
        <f t="shared" si="6"/>
        <v>457402.40086875</v>
      </c>
      <c r="AS13" s="920">
        <f t="shared" si="7"/>
        <v>15704149.096493749</v>
      </c>
      <c r="AT13" s="920">
        <f t="shared" si="28"/>
        <v>471124.47289481247</v>
      </c>
      <c r="AU13" s="919">
        <f t="shared" si="8"/>
        <v>628165.96385974996</v>
      </c>
      <c r="AV13" s="919"/>
      <c r="AW13" s="920">
        <f t="shared" si="9"/>
        <v>16332315.060353499</v>
      </c>
      <c r="AX13" s="920">
        <f t="shared" si="29"/>
        <v>489969.45181060495</v>
      </c>
      <c r="AY13" s="919">
        <f t="shared" si="10"/>
        <v>653292.60241414001</v>
      </c>
      <c r="AZ13" s="919"/>
      <c r="BA13" s="920">
        <f t="shared" si="11"/>
        <v>16985607.662767638</v>
      </c>
      <c r="BB13" s="920">
        <f t="shared" si="30"/>
        <v>509568.22988302913</v>
      </c>
      <c r="BC13" s="919">
        <f t="shared" si="12"/>
        <v>679424.3065107055</v>
      </c>
      <c r="BD13" s="919"/>
      <c r="BE13" s="975">
        <f t="shared" si="13"/>
        <v>17665031.969278343</v>
      </c>
      <c r="BF13" s="975">
        <f t="shared" si="31"/>
        <v>529950.95907835022</v>
      </c>
      <c r="BG13" s="919">
        <f t="shared" si="14"/>
        <v>706601.27877113374</v>
      </c>
      <c r="BH13" s="975"/>
      <c r="BI13" s="975">
        <f t="shared" si="15"/>
        <v>18371633.248049475</v>
      </c>
      <c r="BJ13" s="975">
        <f t="shared" si="32"/>
        <v>551148.99744148424</v>
      </c>
      <c r="BK13" s="919">
        <f t="shared" si="16"/>
        <v>734865.32992197899</v>
      </c>
      <c r="BL13" s="975"/>
      <c r="BM13" s="975">
        <f t="shared" si="17"/>
        <v>19106498.577971455</v>
      </c>
      <c r="BN13" s="926">
        <f t="shared" si="18"/>
        <v>1432987.3933478591</v>
      </c>
      <c r="BO13" s="926">
        <f t="shared" si="19"/>
        <v>477662.4644492864</v>
      </c>
      <c r="BP13" s="926">
        <f t="shared" si="20"/>
        <v>2292779.8293565745</v>
      </c>
      <c r="BQ13" s="926">
        <f t="shared" si="21"/>
        <v>23309928.265125174</v>
      </c>
      <c r="BR13" s="926">
        <f t="shared" si="22"/>
        <v>270009.59417497017</v>
      </c>
      <c r="BS13" s="958">
        <v>0.4</v>
      </c>
      <c r="BT13" s="954">
        <f t="shared" ref="BT13" si="46">BQ13*BS13</f>
        <v>9323971.3060500696</v>
      </c>
      <c r="BU13" s="926">
        <v>200000</v>
      </c>
      <c r="BV13" s="954">
        <f t="shared" ref="BV13" si="47">(BT13-BU13)/(BW13)</f>
        <v>1303424.472292867</v>
      </c>
      <c r="BW13" s="869">
        <f t="shared" ref="BW13" si="48">CA13</f>
        <v>7</v>
      </c>
      <c r="BX13" s="954">
        <f t="shared" ref="BX13" si="49">BQ13-BT13</f>
        <v>13985956.959075104</v>
      </c>
      <c r="BY13" s="949"/>
      <c r="BZ13" s="959">
        <v>46082</v>
      </c>
      <c r="CA13" s="960">
        <f t="shared" ref="CA13" si="50">(YEAR(BZ13)-YEAR($CA$5))*12+MONTH(BZ13)-MONTH($CA$5)</f>
        <v>7</v>
      </c>
      <c r="CB13" s="960">
        <f t="shared" si="38"/>
        <v>8</v>
      </c>
      <c r="CC13" s="949"/>
      <c r="CD13" s="949"/>
      <c r="CE13" s="949"/>
      <c r="CF13" s="949"/>
      <c r="CG13" s="949"/>
      <c r="CH13" s="949"/>
      <c r="CI13" s="949"/>
      <c r="CJ13" s="949"/>
      <c r="CK13" s="949"/>
      <c r="CL13" s="949"/>
      <c r="CM13" s="949"/>
      <c r="CN13" s="949"/>
      <c r="CO13" s="949"/>
      <c r="CP13" s="949"/>
      <c r="CQ13" s="949"/>
      <c r="CR13" s="949"/>
      <c r="CS13" s="949"/>
      <c r="CT13" s="949"/>
      <c r="CU13" s="949"/>
      <c r="CV13" s="949"/>
      <c r="CW13" s="949"/>
      <c r="CX13" s="949"/>
      <c r="CY13" s="949"/>
      <c r="CZ13" s="949"/>
      <c r="DA13" s="949"/>
      <c r="DB13" s="949"/>
      <c r="DC13" s="949"/>
      <c r="DD13" s="949"/>
      <c r="DE13" s="949"/>
      <c r="DF13" s="949"/>
      <c r="DG13" s="949"/>
      <c r="DH13" s="949"/>
      <c r="DI13" s="949"/>
      <c r="DJ13" s="949"/>
      <c r="DK13" s="949"/>
      <c r="DL13" s="949"/>
      <c r="DM13" s="949"/>
      <c r="DN13" s="949"/>
      <c r="DO13" s="949"/>
      <c r="DP13" s="949"/>
      <c r="DQ13" s="949"/>
      <c r="DR13" s="949"/>
      <c r="DS13" s="949"/>
      <c r="DT13" s="949"/>
      <c r="DU13" s="949"/>
      <c r="DV13" s="949"/>
      <c r="DW13" s="949"/>
      <c r="DX13" s="949"/>
      <c r="DY13" s="949"/>
      <c r="DZ13" s="949"/>
      <c r="EA13" s="949"/>
      <c r="EB13" s="949"/>
      <c r="EC13" s="949"/>
      <c r="ED13" s="949"/>
      <c r="EE13" s="949"/>
      <c r="EF13" s="949"/>
      <c r="EG13" s="949"/>
      <c r="EH13" s="949"/>
      <c r="EI13" s="949"/>
      <c r="EJ13" s="949"/>
      <c r="EK13" s="949"/>
      <c r="EL13" s="949"/>
      <c r="EM13" s="949"/>
      <c r="EN13" s="949"/>
      <c r="EO13" s="949"/>
      <c r="EP13" s="949"/>
      <c r="EQ13" s="949"/>
      <c r="ER13" s="949"/>
      <c r="ES13" s="949"/>
      <c r="ET13" s="949"/>
      <c r="EU13" s="949"/>
      <c r="EV13" s="949"/>
      <c r="EW13" s="949"/>
      <c r="EX13" s="949"/>
      <c r="EY13" s="949"/>
      <c r="EZ13" s="949"/>
      <c r="FA13" s="949"/>
      <c r="FB13" s="949"/>
      <c r="FC13" s="949"/>
      <c r="FD13" s="949"/>
      <c r="FE13" s="949"/>
      <c r="FF13" s="949"/>
      <c r="FG13" s="949"/>
      <c r="FH13" s="949"/>
      <c r="FI13" s="949"/>
      <c r="FJ13" s="949"/>
      <c r="FK13" s="949"/>
      <c r="FL13" s="949"/>
      <c r="FM13" s="949"/>
      <c r="FN13" s="949"/>
      <c r="FO13" s="949"/>
      <c r="FP13" s="949"/>
      <c r="FQ13" s="949"/>
      <c r="FR13" s="949"/>
      <c r="FS13" s="949"/>
      <c r="FT13" s="949"/>
      <c r="FU13" s="949"/>
      <c r="FV13" s="949"/>
      <c r="FW13" s="949"/>
      <c r="FX13" s="949"/>
      <c r="FY13" s="949"/>
      <c r="FZ13" s="949"/>
      <c r="GA13" s="949"/>
      <c r="GB13" s="949"/>
      <c r="GC13" s="949"/>
      <c r="GD13" s="949"/>
      <c r="GE13" s="949"/>
      <c r="GF13" s="949"/>
    </row>
    <row r="14" spans="1:188" s="951" customFormat="1" x14ac:dyDescent="0.2">
      <c r="A14" s="952">
        <v>1</v>
      </c>
      <c r="B14" s="953">
        <v>1</v>
      </c>
      <c r="C14" s="952" t="s">
        <v>104</v>
      </c>
      <c r="D14" s="952"/>
      <c r="E14" s="952" t="s">
        <v>123</v>
      </c>
      <c r="F14" s="869" t="s">
        <v>433</v>
      </c>
      <c r="G14" s="869">
        <v>1</v>
      </c>
      <c r="H14" s="869" t="s">
        <v>502</v>
      </c>
      <c r="I14" s="869" t="s">
        <v>435</v>
      </c>
      <c r="J14" s="926">
        <v>85.62</v>
      </c>
      <c r="K14" s="926"/>
      <c r="L14" s="926"/>
      <c r="M14" s="926">
        <f t="shared" si="41"/>
        <v>85.62</v>
      </c>
      <c r="N14" s="926"/>
      <c r="O14" s="926"/>
      <c r="P14" s="954">
        <f t="shared" si="0"/>
        <v>13699200</v>
      </c>
      <c r="Q14" s="926"/>
      <c r="R14" s="926"/>
      <c r="S14" s="926">
        <f>SUM(P14:R14)</f>
        <v>13699200</v>
      </c>
      <c r="T14" s="926"/>
      <c r="U14" s="943"/>
      <c r="V14" s="925"/>
      <c r="W14" s="945"/>
      <c r="X14" s="943"/>
      <c r="Y14" s="925"/>
      <c r="Z14" s="925"/>
      <c r="AA14" s="955" t="s">
        <v>114</v>
      </c>
      <c r="AB14" s="946"/>
      <c r="AC14" s="925"/>
      <c r="AD14" s="925"/>
      <c r="AE14" s="956">
        <f>S14+AC14</f>
        <v>13699200</v>
      </c>
      <c r="AF14" s="956"/>
      <c r="AG14" s="957">
        <f t="shared" si="42"/>
        <v>13699200</v>
      </c>
      <c r="AH14" s="919"/>
      <c r="AI14" s="957">
        <f>AG14+AH14</f>
        <v>13699200</v>
      </c>
      <c r="AJ14" s="919">
        <f t="shared" ref="AJ14:AJ20" si="51">AI14*$AJ$5</f>
        <v>342480</v>
      </c>
      <c r="AK14" s="920">
        <f t="shared" si="26"/>
        <v>14041680</v>
      </c>
      <c r="AL14" s="919">
        <f t="shared" si="2"/>
        <v>351042</v>
      </c>
      <c r="AM14" s="982">
        <f t="shared" si="27"/>
        <v>14392722</v>
      </c>
      <c r="AN14" s="919">
        <f t="shared" si="3"/>
        <v>359818.05000000005</v>
      </c>
      <c r="AO14" s="920">
        <f t="shared" si="43"/>
        <v>14752540.050000001</v>
      </c>
      <c r="AP14" s="919">
        <f t="shared" si="4"/>
        <v>368813.50125000003</v>
      </c>
      <c r="AQ14" s="920">
        <f t="shared" si="5"/>
        <v>15121353.551250001</v>
      </c>
      <c r="AR14" s="919">
        <f t="shared" si="6"/>
        <v>453640.60653750005</v>
      </c>
      <c r="AS14" s="920">
        <f t="shared" si="7"/>
        <v>15574994.157787502</v>
      </c>
      <c r="AT14" s="920">
        <f t="shared" si="28"/>
        <v>467249.82473362505</v>
      </c>
      <c r="AU14" s="919">
        <f t="shared" si="8"/>
        <v>622999.76631150011</v>
      </c>
      <c r="AV14" s="919"/>
      <c r="AW14" s="920">
        <f t="shared" si="9"/>
        <v>16197993.924099002</v>
      </c>
      <c r="AX14" s="920">
        <f t="shared" si="29"/>
        <v>485939.81772297004</v>
      </c>
      <c r="AY14" s="919">
        <f t="shared" si="10"/>
        <v>647919.75696396013</v>
      </c>
      <c r="AZ14" s="919"/>
      <c r="BA14" s="920">
        <f t="shared" si="11"/>
        <v>16845913.681062963</v>
      </c>
      <c r="BB14" s="920">
        <f t="shared" si="30"/>
        <v>505377.41043188889</v>
      </c>
      <c r="BC14" s="919">
        <f t="shared" si="12"/>
        <v>673836.54724251851</v>
      </c>
      <c r="BD14" s="919"/>
      <c r="BE14" s="975">
        <f t="shared" si="13"/>
        <v>17519750.228305481</v>
      </c>
      <c r="BF14" s="975">
        <f t="shared" si="31"/>
        <v>525592.50684916438</v>
      </c>
      <c r="BG14" s="919">
        <f t="shared" si="14"/>
        <v>700790.00913221925</v>
      </c>
      <c r="BH14" s="975"/>
      <c r="BI14" s="975">
        <f t="shared" si="15"/>
        <v>18220540.237437699</v>
      </c>
      <c r="BJ14" s="975">
        <f t="shared" si="32"/>
        <v>546616.20712313091</v>
      </c>
      <c r="BK14" s="919">
        <f t="shared" si="16"/>
        <v>728821.60949750792</v>
      </c>
      <c r="BL14" s="975"/>
      <c r="BM14" s="975">
        <f t="shared" si="17"/>
        <v>18949361.846935205</v>
      </c>
      <c r="BN14" s="926">
        <f t="shared" si="18"/>
        <v>1421202.1385201404</v>
      </c>
      <c r="BO14" s="926">
        <f t="shared" si="19"/>
        <v>473734.04617338016</v>
      </c>
      <c r="BP14" s="926">
        <f t="shared" si="20"/>
        <v>2273923.4216322247</v>
      </c>
      <c r="BQ14" s="926">
        <f t="shared" si="21"/>
        <v>23118221.453260951</v>
      </c>
      <c r="BR14" s="926">
        <f t="shared" si="22"/>
        <v>270009.59417497023</v>
      </c>
      <c r="BS14" s="958">
        <v>0.4</v>
      </c>
      <c r="BT14" s="954">
        <f>BQ14*BS14</f>
        <v>9247288.5813043807</v>
      </c>
      <c r="BU14" s="926">
        <v>200000</v>
      </c>
      <c r="BV14" s="954">
        <f>(BT14-BU14)/(BW14)</f>
        <v>1292469.7973291972</v>
      </c>
      <c r="BW14" s="869">
        <f>CA14</f>
        <v>7</v>
      </c>
      <c r="BX14" s="954">
        <f>BQ14-BT14</f>
        <v>13870932.87195657</v>
      </c>
      <c r="BY14" s="949"/>
      <c r="BZ14" s="959">
        <v>46082</v>
      </c>
      <c r="CA14" s="960">
        <f>(YEAR(BZ14)-YEAR($CA$5))*12+MONTH(BZ14)-MONTH($CA$5)</f>
        <v>7</v>
      </c>
      <c r="CB14" s="960">
        <f t="shared" si="38"/>
        <v>8</v>
      </c>
      <c r="CC14" s="949"/>
      <c r="CD14" s="949"/>
      <c r="CE14" s="949"/>
      <c r="CF14" s="949"/>
      <c r="CG14" s="949"/>
      <c r="CH14" s="949"/>
      <c r="CI14" s="949"/>
      <c r="CJ14" s="949"/>
      <c r="CK14" s="949"/>
      <c r="CL14" s="949"/>
      <c r="CM14" s="949"/>
      <c r="CN14" s="949"/>
      <c r="CO14" s="949"/>
      <c r="CP14" s="949"/>
      <c r="CQ14" s="949"/>
      <c r="CR14" s="949"/>
      <c r="CS14" s="949"/>
      <c r="CT14" s="949"/>
      <c r="CU14" s="949"/>
      <c r="CV14" s="949"/>
      <c r="CW14" s="949"/>
      <c r="CX14" s="949"/>
      <c r="CY14" s="949"/>
      <c r="CZ14" s="949"/>
      <c r="DA14" s="949"/>
      <c r="DB14" s="949"/>
      <c r="DC14" s="949"/>
      <c r="DD14" s="949"/>
      <c r="DE14" s="949"/>
      <c r="DF14" s="949"/>
      <c r="DG14" s="949"/>
      <c r="DH14" s="949"/>
      <c r="DI14" s="949"/>
      <c r="DJ14" s="949"/>
      <c r="DK14" s="949"/>
      <c r="DL14" s="949"/>
      <c r="DM14" s="949"/>
      <c r="DN14" s="949"/>
      <c r="DO14" s="949"/>
      <c r="DP14" s="949"/>
      <c r="DQ14" s="949"/>
      <c r="DR14" s="949"/>
      <c r="DS14" s="949"/>
      <c r="DT14" s="949"/>
      <c r="DU14" s="949"/>
      <c r="DV14" s="949"/>
      <c r="DW14" s="949"/>
      <c r="DX14" s="949"/>
      <c r="DY14" s="949"/>
      <c r="DZ14" s="949"/>
      <c r="EA14" s="949"/>
      <c r="EB14" s="949"/>
      <c r="EC14" s="949"/>
      <c r="ED14" s="949"/>
      <c r="EE14" s="949"/>
      <c r="EF14" s="949"/>
      <c r="EG14" s="949"/>
      <c r="EH14" s="949"/>
      <c r="EI14" s="949"/>
      <c r="EJ14" s="949"/>
      <c r="EK14" s="949"/>
      <c r="EL14" s="949"/>
      <c r="EM14" s="949"/>
      <c r="EN14" s="949"/>
      <c r="EO14" s="949"/>
      <c r="EP14" s="949"/>
      <c r="EQ14" s="949"/>
      <c r="ER14" s="949"/>
      <c r="ES14" s="949"/>
      <c r="ET14" s="949"/>
      <c r="EU14" s="949"/>
      <c r="EV14" s="949"/>
      <c r="EW14" s="949"/>
      <c r="EX14" s="949"/>
      <c r="EY14" s="949"/>
      <c r="EZ14" s="949"/>
      <c r="FA14" s="949"/>
      <c r="FB14" s="949"/>
      <c r="FC14" s="949"/>
      <c r="FD14" s="949"/>
      <c r="FE14" s="949"/>
      <c r="FF14" s="949"/>
      <c r="FG14" s="949"/>
      <c r="FH14" s="949"/>
      <c r="FI14" s="949"/>
      <c r="FJ14" s="949"/>
      <c r="FK14" s="949"/>
      <c r="FL14" s="949"/>
      <c r="FM14" s="949"/>
      <c r="FN14" s="949"/>
      <c r="FO14" s="949"/>
      <c r="FP14" s="949"/>
      <c r="FQ14" s="949"/>
      <c r="FR14" s="949"/>
      <c r="FS14" s="949"/>
      <c r="FT14" s="949"/>
      <c r="FU14" s="949"/>
      <c r="FV14" s="949"/>
      <c r="FW14" s="949"/>
      <c r="FX14" s="949"/>
      <c r="FY14" s="949"/>
      <c r="FZ14" s="949"/>
      <c r="GA14" s="949"/>
      <c r="GB14" s="949"/>
      <c r="GC14" s="949"/>
      <c r="GD14" s="949"/>
      <c r="GE14" s="949"/>
      <c r="GF14" s="949"/>
    </row>
    <row r="15" spans="1:188" s="951" customFormat="1" x14ac:dyDescent="0.2">
      <c r="A15" s="952">
        <f>A14+1</f>
        <v>2</v>
      </c>
      <c r="B15" s="953">
        <f>B14+1</f>
        <v>2</v>
      </c>
      <c r="C15" s="952" t="s">
        <v>558</v>
      </c>
      <c r="D15" s="952"/>
      <c r="E15" s="952" t="s">
        <v>123</v>
      </c>
      <c r="F15" s="869" t="s">
        <v>433</v>
      </c>
      <c r="G15" s="869" t="s">
        <v>107</v>
      </c>
      <c r="H15" s="869" t="s">
        <v>565</v>
      </c>
      <c r="I15" s="869" t="s">
        <v>566</v>
      </c>
      <c r="J15" s="926">
        <v>44.23</v>
      </c>
      <c r="K15" s="926"/>
      <c r="L15" s="926">
        <v>37.15</v>
      </c>
      <c r="M15" s="926">
        <f>J15+L15</f>
        <v>81.38</v>
      </c>
      <c r="N15" s="926">
        <f t="shared" ref="N15:N20" si="52">J15*P$3</f>
        <v>5971050</v>
      </c>
      <c r="O15" s="926">
        <f t="shared" ref="O15:O20" si="53">L15*Q$3</f>
        <v>3715000</v>
      </c>
      <c r="P15" s="954">
        <f>N15+O15</f>
        <v>9686050</v>
      </c>
      <c r="Q15" s="926"/>
      <c r="R15" s="926"/>
      <c r="S15" s="926">
        <f>SUM(P15:R15)</f>
        <v>9686050</v>
      </c>
      <c r="T15" s="926"/>
      <c r="U15" s="943"/>
      <c r="V15" s="925"/>
      <c r="W15" s="945"/>
      <c r="X15" s="943"/>
      <c r="Y15" s="925"/>
      <c r="Z15" s="925"/>
      <c r="AA15" s="955" t="s">
        <v>110</v>
      </c>
      <c r="AB15" s="946"/>
      <c r="AC15" s="925"/>
      <c r="AD15" s="925"/>
      <c r="AE15" s="956">
        <f t="shared" ref="AE15:AE20" si="54">S15+AC15</f>
        <v>9686050</v>
      </c>
      <c r="AF15" s="956"/>
      <c r="AG15" s="957">
        <f t="shared" si="42"/>
        <v>9686050</v>
      </c>
      <c r="AH15" s="919"/>
      <c r="AI15" s="957">
        <f t="shared" ref="AI15:AI20" si="55">AG15+AH15</f>
        <v>9686050</v>
      </c>
      <c r="AJ15" s="919">
        <f t="shared" si="51"/>
        <v>242151.25</v>
      </c>
      <c r="AK15" s="920">
        <f t="shared" si="26"/>
        <v>9928201.25</v>
      </c>
      <c r="AL15" s="919">
        <f t="shared" si="2"/>
        <v>248205.03125</v>
      </c>
      <c r="AM15" s="920">
        <f t="shared" si="27"/>
        <v>10176406.28125</v>
      </c>
      <c r="AN15" s="919">
        <f t="shared" si="3"/>
        <v>254410.15703125001</v>
      </c>
      <c r="AO15" s="920">
        <f t="shared" si="43"/>
        <v>10430816.438281249</v>
      </c>
      <c r="AP15" s="919">
        <f t="shared" si="4"/>
        <v>260770.41095703124</v>
      </c>
      <c r="AQ15" s="920">
        <f t="shared" si="5"/>
        <v>10691586.84923828</v>
      </c>
      <c r="AR15" s="919">
        <f t="shared" si="6"/>
        <v>320747.60547714838</v>
      </c>
      <c r="AS15" s="920">
        <f t="shared" si="7"/>
        <v>11012334.454715429</v>
      </c>
      <c r="AT15" s="920">
        <f t="shared" si="28"/>
        <v>330370.03364146285</v>
      </c>
      <c r="AU15" s="919">
        <f t="shared" si="8"/>
        <v>440493.37818861718</v>
      </c>
      <c r="AV15" s="919"/>
      <c r="AW15" s="920">
        <f t="shared" si="9"/>
        <v>11452827.832904046</v>
      </c>
      <c r="AX15" s="920">
        <f t="shared" si="29"/>
        <v>343584.8349871214</v>
      </c>
      <c r="AY15" s="919">
        <f t="shared" si="10"/>
        <v>458113.11331616185</v>
      </c>
      <c r="AZ15" s="919"/>
      <c r="BA15" s="920">
        <f t="shared" si="11"/>
        <v>11910940.946220208</v>
      </c>
      <c r="BB15" s="920">
        <f t="shared" si="30"/>
        <v>357328.22838660621</v>
      </c>
      <c r="BC15" s="919">
        <f t="shared" si="12"/>
        <v>476437.63784880831</v>
      </c>
      <c r="BD15" s="919"/>
      <c r="BE15" s="975">
        <f t="shared" si="13"/>
        <v>12387378.584069015</v>
      </c>
      <c r="BF15" s="975">
        <f t="shared" si="31"/>
        <v>371621.35752207047</v>
      </c>
      <c r="BG15" s="919">
        <f t="shared" si="14"/>
        <v>495495.1433627606</v>
      </c>
      <c r="BH15" s="975"/>
      <c r="BI15" s="975">
        <f t="shared" si="15"/>
        <v>12882873.727431776</v>
      </c>
      <c r="BJ15" s="975">
        <f t="shared" si="32"/>
        <v>386486.21182295325</v>
      </c>
      <c r="BK15" s="919">
        <f t="shared" si="16"/>
        <v>515314.94909727108</v>
      </c>
      <c r="BL15" s="975"/>
      <c r="BM15" s="975">
        <f t="shared" si="17"/>
        <v>13398188.676529046</v>
      </c>
      <c r="BN15" s="926">
        <f t="shared" si="18"/>
        <v>1004864.1507396784</v>
      </c>
      <c r="BO15" s="926">
        <f t="shared" si="19"/>
        <v>334954.71691322618</v>
      </c>
      <c r="BP15" s="926">
        <f t="shared" si="20"/>
        <v>1607782.6411834855</v>
      </c>
      <c r="BQ15" s="926">
        <f t="shared" si="21"/>
        <v>16345790.185365438</v>
      </c>
      <c r="BR15" s="926">
        <f t="shared" si="22"/>
        <v>200857.58399318554</v>
      </c>
      <c r="BS15" s="958">
        <v>0.4</v>
      </c>
      <c r="BT15" s="954">
        <f t="shared" ref="BT15:BT20" si="56">BQ15*BS15</f>
        <v>6538316.0741461758</v>
      </c>
      <c r="BU15" s="926">
        <v>200000</v>
      </c>
      <c r="BV15" s="954">
        <f t="shared" ref="BV15:BV20" si="57">(BT15-BU15)/(BW15)</f>
        <v>905473.72487802512</v>
      </c>
      <c r="BW15" s="869">
        <f t="shared" ref="BW15:BW16" si="58">CA15</f>
        <v>7</v>
      </c>
      <c r="BX15" s="954">
        <f t="shared" ref="BX15:BX20" si="59">BQ15-BT15</f>
        <v>9807474.1112192627</v>
      </c>
      <c r="BY15" s="949"/>
      <c r="BZ15" s="959">
        <v>46082</v>
      </c>
      <c r="CA15" s="960">
        <f t="shared" ref="CA15:CA20" si="60">(YEAR(BZ15)-YEAR($CA$5))*12+MONTH(BZ15)-MONTH($CA$5)</f>
        <v>7</v>
      </c>
      <c r="CB15" s="960">
        <f t="shared" si="38"/>
        <v>8</v>
      </c>
      <c r="CC15" s="949"/>
      <c r="CD15" s="949"/>
      <c r="CE15" s="949"/>
      <c r="CF15" s="949"/>
      <c r="CG15" s="949"/>
      <c r="CH15" s="949"/>
      <c r="CI15" s="949"/>
      <c r="CJ15" s="949"/>
      <c r="CK15" s="949"/>
      <c r="CL15" s="949"/>
      <c r="CM15" s="949"/>
      <c r="CN15" s="949"/>
      <c r="CO15" s="949"/>
      <c r="CP15" s="949"/>
      <c r="CQ15" s="949"/>
      <c r="CR15" s="949"/>
      <c r="CS15" s="949"/>
      <c r="CT15" s="949"/>
      <c r="CU15" s="949"/>
      <c r="CV15" s="949"/>
      <c r="CW15" s="949"/>
      <c r="CX15" s="949"/>
      <c r="CY15" s="949"/>
      <c r="CZ15" s="949"/>
      <c r="DA15" s="949"/>
      <c r="DB15" s="949"/>
      <c r="DC15" s="949"/>
      <c r="DD15" s="949"/>
      <c r="DE15" s="949"/>
      <c r="DF15" s="949"/>
      <c r="DG15" s="949"/>
      <c r="DH15" s="949"/>
      <c r="DI15" s="949"/>
      <c r="DJ15" s="949"/>
      <c r="DK15" s="949"/>
      <c r="DL15" s="949"/>
      <c r="DM15" s="949"/>
      <c r="DN15" s="949"/>
      <c r="DO15" s="949"/>
      <c r="DP15" s="949"/>
      <c r="DQ15" s="949"/>
      <c r="DR15" s="949"/>
      <c r="DS15" s="949"/>
      <c r="DT15" s="949"/>
      <c r="DU15" s="949"/>
      <c r="DV15" s="949"/>
      <c r="DW15" s="949"/>
      <c r="DX15" s="949"/>
      <c r="DY15" s="949"/>
      <c r="DZ15" s="949"/>
      <c r="EA15" s="949"/>
      <c r="EB15" s="949"/>
      <c r="EC15" s="949"/>
      <c r="ED15" s="949"/>
      <c r="EE15" s="949"/>
      <c r="EF15" s="949"/>
      <c r="EG15" s="949"/>
      <c r="EH15" s="949"/>
      <c r="EI15" s="949"/>
      <c r="EJ15" s="949"/>
      <c r="EK15" s="949"/>
      <c r="EL15" s="949"/>
      <c r="EM15" s="949"/>
      <c r="EN15" s="949"/>
      <c r="EO15" s="949"/>
      <c r="EP15" s="949"/>
      <c r="EQ15" s="949"/>
      <c r="ER15" s="949"/>
      <c r="ES15" s="949"/>
      <c r="ET15" s="949"/>
      <c r="EU15" s="949"/>
      <c r="EV15" s="949"/>
      <c r="EW15" s="949"/>
      <c r="EX15" s="949"/>
      <c r="EY15" s="949"/>
      <c r="EZ15" s="949"/>
      <c r="FA15" s="949"/>
      <c r="FB15" s="949"/>
      <c r="FC15" s="949"/>
      <c r="FD15" s="949"/>
      <c r="FE15" s="949"/>
      <c r="FF15" s="949"/>
      <c r="FG15" s="949"/>
      <c r="FH15" s="949"/>
      <c r="FI15" s="949"/>
      <c r="FJ15" s="949"/>
      <c r="FK15" s="949"/>
      <c r="FL15" s="949"/>
      <c r="FM15" s="949"/>
      <c r="FN15" s="949"/>
      <c r="FO15" s="949"/>
      <c r="FP15" s="949"/>
      <c r="FQ15" s="949"/>
      <c r="FR15" s="949"/>
      <c r="FS15" s="949"/>
      <c r="FT15" s="949"/>
      <c r="FU15" s="949"/>
      <c r="FV15" s="949"/>
      <c r="FW15" s="949"/>
      <c r="FX15" s="949"/>
      <c r="FY15" s="949"/>
      <c r="FZ15" s="949"/>
      <c r="GA15" s="949"/>
      <c r="GB15" s="949"/>
      <c r="GC15" s="949"/>
      <c r="GD15" s="949"/>
      <c r="GE15" s="949"/>
      <c r="GF15" s="949"/>
    </row>
    <row r="16" spans="1:188" s="951" customFormat="1" x14ac:dyDescent="0.2">
      <c r="A16" s="952">
        <f t="shared" ref="A16:B20" si="61">A15+1</f>
        <v>3</v>
      </c>
      <c r="B16" s="953">
        <f t="shared" si="61"/>
        <v>3</v>
      </c>
      <c r="C16" s="952" t="s">
        <v>558</v>
      </c>
      <c r="D16" s="952"/>
      <c r="E16" s="952" t="s">
        <v>123</v>
      </c>
      <c r="F16" s="869" t="s">
        <v>433</v>
      </c>
      <c r="G16" s="869" t="s">
        <v>111</v>
      </c>
      <c r="H16" s="869" t="s">
        <v>567</v>
      </c>
      <c r="I16" s="869" t="s">
        <v>566</v>
      </c>
      <c r="J16" s="926">
        <v>47.78</v>
      </c>
      <c r="K16" s="926"/>
      <c r="L16" s="926">
        <v>41.72</v>
      </c>
      <c r="M16" s="926">
        <f t="shared" ref="M16:M20" si="62">J16+L16</f>
        <v>89.5</v>
      </c>
      <c r="N16" s="926">
        <f t="shared" si="52"/>
        <v>6450300</v>
      </c>
      <c r="O16" s="926">
        <f t="shared" si="53"/>
        <v>4172000</v>
      </c>
      <c r="P16" s="954">
        <f t="shared" ref="P16:P20" si="63">N16+O16</f>
        <v>10622300</v>
      </c>
      <c r="Q16" s="926"/>
      <c r="R16" s="926"/>
      <c r="S16" s="926">
        <f>SUM(P16:R16)</f>
        <v>10622300</v>
      </c>
      <c r="T16" s="926"/>
      <c r="U16" s="943"/>
      <c r="V16" s="925"/>
      <c r="W16" s="945"/>
      <c r="X16" s="943"/>
      <c r="Y16" s="925"/>
      <c r="Z16" s="925"/>
      <c r="AA16" s="955" t="s">
        <v>114</v>
      </c>
      <c r="AB16" s="946"/>
      <c r="AC16" s="925"/>
      <c r="AD16" s="925"/>
      <c r="AE16" s="956">
        <f t="shared" si="54"/>
        <v>10622300</v>
      </c>
      <c r="AF16" s="956"/>
      <c r="AG16" s="957">
        <f t="shared" si="42"/>
        <v>10622300</v>
      </c>
      <c r="AH16" s="919"/>
      <c r="AI16" s="957">
        <f t="shared" si="55"/>
        <v>10622300</v>
      </c>
      <c r="AJ16" s="919">
        <f t="shared" si="51"/>
        <v>265557.5</v>
      </c>
      <c r="AK16" s="920">
        <f t="shared" si="26"/>
        <v>10887857.5</v>
      </c>
      <c r="AL16" s="919">
        <f t="shared" si="2"/>
        <v>272196.4375</v>
      </c>
      <c r="AM16" s="982">
        <f t="shared" si="27"/>
        <v>11160053.9375</v>
      </c>
      <c r="AN16" s="919">
        <f t="shared" si="3"/>
        <v>279001.34843750001</v>
      </c>
      <c r="AO16" s="920">
        <f t="shared" si="43"/>
        <v>11439055.285937499</v>
      </c>
      <c r="AP16" s="919">
        <f t="shared" si="4"/>
        <v>285976.38214843749</v>
      </c>
      <c r="AQ16" s="920">
        <f t="shared" si="5"/>
        <v>11725031.668085936</v>
      </c>
      <c r="AR16" s="919">
        <f t="shared" si="6"/>
        <v>351750.9500425781</v>
      </c>
      <c r="AS16" s="920">
        <f t="shared" si="7"/>
        <v>12076782.618128514</v>
      </c>
      <c r="AT16" s="920">
        <f t="shared" si="28"/>
        <v>362303.47854385542</v>
      </c>
      <c r="AU16" s="919">
        <f t="shared" si="8"/>
        <v>483071.30472514057</v>
      </c>
      <c r="AV16" s="919"/>
      <c r="AW16" s="920">
        <f t="shared" si="9"/>
        <v>12559853.922853654</v>
      </c>
      <c r="AX16" s="920">
        <f t="shared" si="29"/>
        <v>376795.61768560961</v>
      </c>
      <c r="AY16" s="919">
        <f t="shared" si="10"/>
        <v>502394.15691414615</v>
      </c>
      <c r="AZ16" s="919"/>
      <c r="BA16" s="920">
        <f t="shared" si="11"/>
        <v>13062248.079767801</v>
      </c>
      <c r="BB16" s="920">
        <f t="shared" si="30"/>
        <v>391867.442393034</v>
      </c>
      <c r="BC16" s="919">
        <f t="shared" si="12"/>
        <v>522489.92319071206</v>
      </c>
      <c r="BD16" s="919"/>
      <c r="BE16" s="975">
        <f t="shared" si="13"/>
        <v>13584738.002958514</v>
      </c>
      <c r="BF16" s="975">
        <f t="shared" si="31"/>
        <v>407542.1400887554</v>
      </c>
      <c r="BG16" s="919">
        <f t="shared" si="14"/>
        <v>543389.52011834062</v>
      </c>
      <c r="BH16" s="975"/>
      <c r="BI16" s="975">
        <f t="shared" si="15"/>
        <v>14128127.523076855</v>
      </c>
      <c r="BJ16" s="975">
        <f t="shared" si="32"/>
        <v>423843.82569230563</v>
      </c>
      <c r="BK16" s="919">
        <f t="shared" si="16"/>
        <v>565125.10092307418</v>
      </c>
      <c r="BL16" s="975"/>
      <c r="BM16" s="975">
        <f t="shared" si="17"/>
        <v>14693252.623999929</v>
      </c>
      <c r="BN16" s="926">
        <f t="shared" si="18"/>
        <v>1101993.9467999947</v>
      </c>
      <c r="BO16" s="926">
        <f t="shared" si="19"/>
        <v>367331.31559999823</v>
      </c>
      <c r="BP16" s="926">
        <f t="shared" si="20"/>
        <v>1763190.3148799913</v>
      </c>
      <c r="BQ16" s="926">
        <f t="shared" si="21"/>
        <v>17925768.201279916</v>
      </c>
      <c r="BR16" s="926">
        <f t="shared" si="22"/>
        <v>200287.91286346276</v>
      </c>
      <c r="BS16" s="958">
        <v>0.4</v>
      </c>
      <c r="BT16" s="954">
        <f t="shared" si="56"/>
        <v>7170307.2805119669</v>
      </c>
      <c r="BU16" s="926">
        <v>200000</v>
      </c>
      <c r="BV16" s="954">
        <f t="shared" si="57"/>
        <v>995758.18293028104</v>
      </c>
      <c r="BW16" s="869">
        <f t="shared" si="58"/>
        <v>7</v>
      </c>
      <c r="BX16" s="954">
        <f t="shared" si="59"/>
        <v>10755460.920767948</v>
      </c>
      <c r="BY16" s="949"/>
      <c r="BZ16" s="959">
        <v>46082</v>
      </c>
      <c r="CA16" s="960">
        <f t="shared" si="60"/>
        <v>7</v>
      </c>
      <c r="CB16" s="960">
        <f t="shared" si="38"/>
        <v>8</v>
      </c>
      <c r="CC16" s="949"/>
      <c r="CD16" s="949"/>
      <c r="CE16" s="949"/>
      <c r="CF16" s="949"/>
      <c r="CG16" s="949"/>
      <c r="CH16" s="949"/>
      <c r="CI16" s="949"/>
      <c r="CJ16" s="949"/>
      <c r="CK16" s="949"/>
      <c r="CL16" s="949"/>
      <c r="CM16" s="949"/>
      <c r="CN16" s="949"/>
      <c r="CO16" s="949"/>
      <c r="CP16" s="949"/>
      <c r="CQ16" s="949"/>
      <c r="CR16" s="949"/>
      <c r="CS16" s="949"/>
      <c r="CT16" s="949"/>
      <c r="CU16" s="949"/>
      <c r="CV16" s="949"/>
      <c r="CW16" s="949"/>
      <c r="CX16" s="949"/>
      <c r="CY16" s="949"/>
      <c r="CZ16" s="949"/>
      <c r="DA16" s="949"/>
      <c r="DB16" s="949"/>
      <c r="DC16" s="949"/>
      <c r="DD16" s="949"/>
      <c r="DE16" s="949"/>
      <c r="DF16" s="949"/>
      <c r="DG16" s="949"/>
      <c r="DH16" s="949"/>
      <c r="DI16" s="949"/>
      <c r="DJ16" s="949"/>
      <c r="DK16" s="949"/>
      <c r="DL16" s="949"/>
      <c r="DM16" s="949"/>
      <c r="DN16" s="949"/>
      <c r="DO16" s="949"/>
      <c r="DP16" s="949"/>
      <c r="DQ16" s="949"/>
      <c r="DR16" s="949"/>
      <c r="DS16" s="949"/>
      <c r="DT16" s="949"/>
      <c r="DU16" s="949"/>
      <c r="DV16" s="949"/>
      <c r="DW16" s="949"/>
      <c r="DX16" s="949"/>
      <c r="DY16" s="949"/>
      <c r="DZ16" s="949"/>
      <c r="EA16" s="949"/>
      <c r="EB16" s="949"/>
      <c r="EC16" s="949"/>
      <c r="ED16" s="949"/>
      <c r="EE16" s="949"/>
      <c r="EF16" s="949"/>
      <c r="EG16" s="949"/>
      <c r="EH16" s="949"/>
      <c r="EI16" s="949"/>
      <c r="EJ16" s="949"/>
      <c r="EK16" s="949"/>
      <c r="EL16" s="949"/>
      <c r="EM16" s="949"/>
      <c r="EN16" s="949"/>
      <c r="EO16" s="949"/>
      <c r="EP16" s="949"/>
      <c r="EQ16" s="949"/>
      <c r="ER16" s="949"/>
      <c r="ES16" s="949"/>
      <c r="ET16" s="949"/>
      <c r="EU16" s="949"/>
      <c r="EV16" s="949"/>
      <c r="EW16" s="949"/>
      <c r="EX16" s="949"/>
      <c r="EY16" s="949"/>
      <c r="EZ16" s="949"/>
      <c r="FA16" s="949"/>
      <c r="FB16" s="949"/>
      <c r="FC16" s="949"/>
      <c r="FD16" s="949"/>
      <c r="FE16" s="949"/>
      <c r="FF16" s="949"/>
      <c r="FG16" s="949"/>
      <c r="FH16" s="949"/>
      <c r="FI16" s="949"/>
      <c r="FJ16" s="949"/>
      <c r="FK16" s="949"/>
      <c r="FL16" s="949"/>
      <c r="FM16" s="949"/>
      <c r="FN16" s="949"/>
      <c r="FO16" s="949"/>
      <c r="FP16" s="949"/>
      <c r="FQ16" s="949"/>
      <c r="FR16" s="949"/>
      <c r="FS16" s="949"/>
      <c r="FT16" s="949"/>
      <c r="FU16" s="949"/>
      <c r="FV16" s="949"/>
      <c r="FW16" s="949"/>
      <c r="FX16" s="949"/>
      <c r="FY16" s="949"/>
      <c r="FZ16" s="949"/>
      <c r="GA16" s="949"/>
      <c r="GB16" s="949"/>
      <c r="GC16" s="949"/>
      <c r="GD16" s="949"/>
      <c r="GE16" s="949"/>
      <c r="GF16" s="949"/>
    </row>
    <row r="17" spans="1:191" s="951" customFormat="1" x14ac:dyDescent="0.2">
      <c r="A17" s="952">
        <f t="shared" ref="A17" si="64">A16+1</f>
        <v>4</v>
      </c>
      <c r="B17" s="953">
        <f t="shared" si="61"/>
        <v>4</v>
      </c>
      <c r="C17" s="952" t="s">
        <v>558</v>
      </c>
      <c r="D17" s="952"/>
      <c r="E17" s="952" t="s">
        <v>123</v>
      </c>
      <c r="F17" s="869" t="s">
        <v>433</v>
      </c>
      <c r="G17" s="869" t="s">
        <v>115</v>
      </c>
      <c r="H17" s="869" t="s">
        <v>568</v>
      </c>
      <c r="I17" s="869" t="s">
        <v>566</v>
      </c>
      <c r="J17" s="926">
        <v>53.99</v>
      </c>
      <c r="K17" s="926"/>
      <c r="L17" s="926">
        <v>46.69</v>
      </c>
      <c r="M17" s="926">
        <f t="shared" si="62"/>
        <v>100.68</v>
      </c>
      <c r="N17" s="926">
        <f t="shared" si="52"/>
        <v>7288650</v>
      </c>
      <c r="O17" s="926">
        <f t="shared" si="53"/>
        <v>4669000</v>
      </c>
      <c r="P17" s="954">
        <f t="shared" si="63"/>
        <v>11957650</v>
      </c>
      <c r="Q17" s="926"/>
      <c r="R17" s="926"/>
      <c r="S17" s="926">
        <f>SUM(P17:R17)</f>
        <v>11957650</v>
      </c>
      <c r="T17" s="926"/>
      <c r="U17" s="943"/>
      <c r="V17" s="925"/>
      <c r="W17" s="945"/>
      <c r="X17" s="943"/>
      <c r="Y17" s="925"/>
      <c r="Z17" s="925"/>
      <c r="AA17" s="955" t="s">
        <v>114</v>
      </c>
      <c r="AB17" s="946"/>
      <c r="AC17" s="925"/>
      <c r="AD17" s="925"/>
      <c r="AE17" s="956">
        <f t="shared" si="54"/>
        <v>11957650</v>
      </c>
      <c r="AF17" s="956"/>
      <c r="AG17" s="957">
        <f t="shared" si="42"/>
        <v>11957650</v>
      </c>
      <c r="AH17" s="919"/>
      <c r="AI17" s="957">
        <f t="shared" si="55"/>
        <v>11957650</v>
      </c>
      <c r="AJ17" s="919">
        <f t="shared" si="51"/>
        <v>298941.25</v>
      </c>
      <c r="AK17" s="920">
        <f t="shared" si="26"/>
        <v>12256591.25</v>
      </c>
      <c r="AL17" s="919">
        <f t="shared" si="2"/>
        <v>306414.78125</v>
      </c>
      <c r="AM17" s="982">
        <f t="shared" si="27"/>
        <v>12563006.03125</v>
      </c>
      <c r="AN17" s="919">
        <f t="shared" si="3"/>
        <v>314075.15078125003</v>
      </c>
      <c r="AO17" s="920">
        <f t="shared" si="43"/>
        <v>12877081.18203125</v>
      </c>
      <c r="AP17" s="919">
        <f t="shared" si="4"/>
        <v>321927.02955078124</v>
      </c>
      <c r="AQ17" s="920">
        <f t="shared" si="5"/>
        <v>13199008.211582031</v>
      </c>
      <c r="AR17" s="919">
        <f t="shared" si="6"/>
        <v>395970.2463474609</v>
      </c>
      <c r="AS17" s="920">
        <f t="shared" si="7"/>
        <v>13594978.457929492</v>
      </c>
      <c r="AT17" s="920">
        <f t="shared" si="28"/>
        <v>407849.35373788472</v>
      </c>
      <c r="AU17" s="919">
        <f t="shared" si="8"/>
        <v>543799.13831717963</v>
      </c>
      <c r="AV17" s="919"/>
      <c r="AW17" s="920">
        <f t="shared" si="9"/>
        <v>14138777.596246671</v>
      </c>
      <c r="AX17" s="920">
        <f t="shared" si="29"/>
        <v>424163.32788740011</v>
      </c>
      <c r="AY17" s="919">
        <f t="shared" si="10"/>
        <v>565551.10384986689</v>
      </c>
      <c r="AZ17" s="919"/>
      <c r="BA17" s="920">
        <f t="shared" si="11"/>
        <v>14704328.700096538</v>
      </c>
      <c r="BB17" s="920">
        <f t="shared" si="30"/>
        <v>441129.86100289616</v>
      </c>
      <c r="BC17" s="919">
        <f t="shared" si="12"/>
        <v>588173.14800386154</v>
      </c>
      <c r="BD17" s="919"/>
      <c r="BE17" s="975">
        <f t="shared" si="13"/>
        <v>15292501.8481004</v>
      </c>
      <c r="BF17" s="975">
        <f t="shared" si="31"/>
        <v>458775.05544301198</v>
      </c>
      <c r="BG17" s="919">
        <f t="shared" si="14"/>
        <v>611700.07392401597</v>
      </c>
      <c r="BH17" s="975"/>
      <c r="BI17" s="975">
        <f t="shared" si="15"/>
        <v>15904201.922024416</v>
      </c>
      <c r="BJ17" s="975">
        <f t="shared" si="32"/>
        <v>477126.05766073248</v>
      </c>
      <c r="BK17" s="919">
        <f t="shared" si="16"/>
        <v>636168.07688097667</v>
      </c>
      <c r="BL17" s="975"/>
      <c r="BM17" s="975">
        <f t="shared" si="17"/>
        <v>16540369.998905392</v>
      </c>
      <c r="BN17" s="926">
        <f t="shared" si="18"/>
        <v>1240527.7499179044</v>
      </c>
      <c r="BO17" s="926">
        <f t="shared" si="19"/>
        <v>413509.24997263483</v>
      </c>
      <c r="BP17" s="926">
        <f t="shared" si="20"/>
        <v>1984844.3998686471</v>
      </c>
      <c r="BQ17" s="926">
        <f t="shared" si="21"/>
        <v>20179251.398664579</v>
      </c>
      <c r="BR17" s="926">
        <f t="shared" si="22"/>
        <v>200429.59275590561</v>
      </c>
      <c r="BS17" s="958">
        <v>0.4</v>
      </c>
      <c r="BT17" s="954">
        <f t="shared" si="56"/>
        <v>8071700.5594658321</v>
      </c>
      <c r="BU17" s="926">
        <v>200000</v>
      </c>
      <c r="BV17" s="954">
        <f t="shared" si="57"/>
        <v>1124528.6513522617</v>
      </c>
      <c r="BW17" s="869">
        <f>CA17</f>
        <v>7</v>
      </c>
      <c r="BX17" s="954">
        <f t="shared" si="59"/>
        <v>12107550.839198746</v>
      </c>
      <c r="BY17" s="949"/>
      <c r="BZ17" s="959">
        <v>46082</v>
      </c>
      <c r="CA17" s="960">
        <f t="shared" si="60"/>
        <v>7</v>
      </c>
      <c r="CB17" s="960">
        <f t="shared" si="38"/>
        <v>8</v>
      </c>
      <c r="CC17" s="949"/>
      <c r="CD17" s="949"/>
      <c r="CE17" s="949"/>
      <c r="CF17" s="949"/>
      <c r="CG17" s="949"/>
      <c r="CH17" s="949"/>
      <c r="CI17" s="949"/>
      <c r="CJ17" s="949"/>
      <c r="CK17" s="949"/>
      <c r="CL17" s="949"/>
      <c r="CM17" s="949"/>
      <c r="CN17" s="949"/>
      <c r="CO17" s="949"/>
      <c r="CP17" s="949"/>
      <c r="CQ17" s="949"/>
      <c r="CR17" s="949"/>
      <c r="CS17" s="949"/>
      <c r="CT17" s="949"/>
      <c r="CU17" s="949"/>
      <c r="CV17" s="949"/>
      <c r="CW17" s="949"/>
      <c r="CX17" s="949"/>
      <c r="CY17" s="949"/>
      <c r="CZ17" s="949"/>
      <c r="DA17" s="949"/>
      <c r="DB17" s="949"/>
      <c r="DC17" s="949"/>
      <c r="DD17" s="949"/>
      <c r="DE17" s="949"/>
      <c r="DF17" s="949"/>
      <c r="DG17" s="949"/>
      <c r="DH17" s="949"/>
      <c r="DI17" s="949"/>
      <c r="DJ17" s="949"/>
      <c r="DK17" s="949"/>
      <c r="DL17" s="949"/>
      <c r="DM17" s="949"/>
      <c r="DN17" s="949"/>
      <c r="DO17" s="949"/>
      <c r="DP17" s="949"/>
      <c r="DQ17" s="949"/>
      <c r="DR17" s="949"/>
      <c r="DS17" s="949"/>
      <c r="DT17" s="949"/>
      <c r="DU17" s="949"/>
      <c r="DV17" s="949"/>
      <c r="DW17" s="949"/>
      <c r="DX17" s="949"/>
      <c r="DY17" s="949"/>
      <c r="DZ17" s="949"/>
      <c r="EA17" s="949"/>
      <c r="EB17" s="949"/>
      <c r="EC17" s="949"/>
      <c r="ED17" s="949"/>
      <c r="EE17" s="949"/>
      <c r="EF17" s="949"/>
      <c r="EG17" s="949"/>
      <c r="EH17" s="949"/>
      <c r="EI17" s="949"/>
      <c r="EJ17" s="949"/>
      <c r="EK17" s="949"/>
      <c r="EL17" s="949"/>
      <c r="EM17" s="949"/>
      <c r="EN17" s="949"/>
      <c r="EO17" s="949"/>
      <c r="EP17" s="949"/>
      <c r="EQ17" s="949"/>
      <c r="ER17" s="949"/>
      <c r="ES17" s="949"/>
      <c r="ET17" s="949"/>
      <c r="EU17" s="949"/>
      <c r="EV17" s="949"/>
      <c r="EW17" s="949"/>
      <c r="EX17" s="949"/>
      <c r="EY17" s="949"/>
      <c r="EZ17" s="949"/>
      <c r="FA17" s="949"/>
      <c r="FB17" s="949"/>
      <c r="FC17" s="949"/>
      <c r="FD17" s="949"/>
      <c r="FE17" s="949"/>
      <c r="FF17" s="949"/>
      <c r="FG17" s="949"/>
      <c r="FH17" s="949"/>
      <c r="FI17" s="949"/>
      <c r="FJ17" s="949"/>
      <c r="FK17" s="949"/>
      <c r="FL17" s="949"/>
      <c r="FM17" s="949"/>
      <c r="FN17" s="949"/>
      <c r="FO17" s="949"/>
      <c r="FP17" s="949"/>
      <c r="FQ17" s="949"/>
      <c r="FR17" s="949"/>
      <c r="FS17" s="949"/>
      <c r="FT17" s="949"/>
      <c r="FU17" s="949"/>
      <c r="FV17" s="949"/>
      <c r="FW17" s="949"/>
      <c r="FX17" s="949"/>
      <c r="FY17" s="949"/>
      <c r="FZ17" s="949"/>
      <c r="GA17" s="949"/>
      <c r="GB17" s="949"/>
      <c r="GC17" s="949"/>
      <c r="GD17" s="949"/>
      <c r="GE17" s="949"/>
      <c r="GF17" s="949"/>
    </row>
    <row r="18" spans="1:191" s="951" customFormat="1" x14ac:dyDescent="0.2">
      <c r="A18" s="952">
        <f t="shared" ref="A18" si="65">A17+1</f>
        <v>5</v>
      </c>
      <c r="B18" s="953">
        <f t="shared" si="61"/>
        <v>5</v>
      </c>
      <c r="C18" s="952" t="s">
        <v>558</v>
      </c>
      <c r="D18" s="952"/>
      <c r="E18" s="952" t="s">
        <v>123</v>
      </c>
      <c r="F18" s="869" t="s">
        <v>433</v>
      </c>
      <c r="G18" s="869" t="s">
        <v>117</v>
      </c>
      <c r="H18" s="869" t="s">
        <v>569</v>
      </c>
      <c r="I18" s="869" t="s">
        <v>566</v>
      </c>
      <c r="J18" s="926">
        <v>58.67</v>
      </c>
      <c r="K18" s="926"/>
      <c r="L18" s="926">
        <v>51.1</v>
      </c>
      <c r="M18" s="926">
        <f t="shared" si="62"/>
        <v>109.77000000000001</v>
      </c>
      <c r="N18" s="926">
        <f t="shared" si="52"/>
        <v>7920450</v>
      </c>
      <c r="O18" s="926">
        <f t="shared" si="53"/>
        <v>5110000</v>
      </c>
      <c r="P18" s="954">
        <f t="shared" si="63"/>
        <v>13030450</v>
      </c>
      <c r="Q18" s="926"/>
      <c r="R18" s="926"/>
      <c r="S18" s="926">
        <f t="shared" ref="S18:S20" si="66">SUM(P18:R18)</f>
        <v>13030450</v>
      </c>
      <c r="T18" s="926"/>
      <c r="U18" s="943"/>
      <c r="V18" s="925"/>
      <c r="W18" s="945"/>
      <c r="X18" s="943"/>
      <c r="Y18" s="925"/>
      <c r="Z18" s="925"/>
      <c r="AA18" s="955" t="s">
        <v>114</v>
      </c>
      <c r="AB18" s="946"/>
      <c r="AC18" s="925"/>
      <c r="AD18" s="925"/>
      <c r="AE18" s="956">
        <f t="shared" si="54"/>
        <v>13030450</v>
      </c>
      <c r="AF18" s="956"/>
      <c r="AG18" s="957">
        <f t="shared" si="42"/>
        <v>13030450</v>
      </c>
      <c r="AH18" s="919"/>
      <c r="AI18" s="957">
        <f t="shared" si="55"/>
        <v>13030450</v>
      </c>
      <c r="AJ18" s="919">
        <f t="shared" si="51"/>
        <v>325761.25</v>
      </c>
      <c r="AK18" s="920">
        <f t="shared" si="26"/>
        <v>13356211.25</v>
      </c>
      <c r="AL18" s="919">
        <f t="shared" si="2"/>
        <v>333905.28125</v>
      </c>
      <c r="AM18" s="982">
        <f t="shared" si="27"/>
        <v>13690116.53125</v>
      </c>
      <c r="AN18" s="919">
        <f t="shared" si="3"/>
        <v>342252.91328125005</v>
      </c>
      <c r="AO18" s="920">
        <f t="shared" si="43"/>
        <v>14032369.444531251</v>
      </c>
      <c r="AP18" s="919">
        <f t="shared" si="4"/>
        <v>350809.23611328128</v>
      </c>
      <c r="AQ18" s="920">
        <f t="shared" si="5"/>
        <v>14383178.680644533</v>
      </c>
      <c r="AR18" s="919">
        <f t="shared" si="6"/>
        <v>431495.36041933595</v>
      </c>
      <c r="AS18" s="920">
        <f t="shared" si="7"/>
        <v>14814674.041063869</v>
      </c>
      <c r="AT18" s="920">
        <f t="shared" si="28"/>
        <v>444440.22123191605</v>
      </c>
      <c r="AU18" s="919">
        <f t="shared" si="8"/>
        <v>592586.96164255484</v>
      </c>
      <c r="AV18" s="919"/>
      <c r="AW18" s="920">
        <f t="shared" si="9"/>
        <v>15407261.002706423</v>
      </c>
      <c r="AX18" s="920">
        <f t="shared" si="29"/>
        <v>462217.83008119266</v>
      </c>
      <c r="AY18" s="919">
        <f t="shared" si="10"/>
        <v>616290.440108257</v>
      </c>
      <c r="AZ18" s="919"/>
      <c r="BA18" s="920">
        <f t="shared" si="11"/>
        <v>16023551.44281468</v>
      </c>
      <c r="BB18" s="920">
        <f t="shared" si="30"/>
        <v>480706.54328444035</v>
      </c>
      <c r="BC18" s="919">
        <f t="shared" si="12"/>
        <v>640942.05771258718</v>
      </c>
      <c r="BD18" s="919"/>
      <c r="BE18" s="975">
        <f t="shared" si="13"/>
        <v>16664493.500527266</v>
      </c>
      <c r="BF18" s="975">
        <f t="shared" si="31"/>
        <v>499934.80501581798</v>
      </c>
      <c r="BG18" s="919">
        <f t="shared" si="14"/>
        <v>666579.74002109072</v>
      </c>
      <c r="BH18" s="975"/>
      <c r="BI18" s="975">
        <f t="shared" si="15"/>
        <v>17331073.240548357</v>
      </c>
      <c r="BJ18" s="975">
        <f t="shared" si="32"/>
        <v>519932.1972164507</v>
      </c>
      <c r="BK18" s="919">
        <f t="shared" si="16"/>
        <v>693242.92962193431</v>
      </c>
      <c r="BL18" s="975"/>
      <c r="BM18" s="975">
        <f t="shared" si="17"/>
        <v>18024316.170170292</v>
      </c>
      <c r="BN18" s="926">
        <f t="shared" si="18"/>
        <v>1351823.7127627719</v>
      </c>
      <c r="BO18" s="926">
        <f t="shared" si="19"/>
        <v>450607.90425425733</v>
      </c>
      <c r="BP18" s="926">
        <f t="shared" si="20"/>
        <v>2162917.9404204348</v>
      </c>
      <c r="BQ18" s="926">
        <f t="shared" si="21"/>
        <v>21989665.727607757</v>
      </c>
      <c r="BR18" s="926">
        <f t="shared" si="22"/>
        <v>200324.91325141437</v>
      </c>
      <c r="BS18" s="958">
        <v>0.4</v>
      </c>
      <c r="BT18" s="954">
        <f t="shared" si="56"/>
        <v>8795866.2910431027</v>
      </c>
      <c r="BU18" s="926">
        <v>200000</v>
      </c>
      <c r="BV18" s="954">
        <f t="shared" si="57"/>
        <v>1227980.8987204432</v>
      </c>
      <c r="BW18" s="869">
        <f t="shared" ref="BW18:BW20" si="67">CA18</f>
        <v>7</v>
      </c>
      <c r="BX18" s="954">
        <f t="shared" si="59"/>
        <v>13193799.436564654</v>
      </c>
      <c r="BY18" s="949"/>
      <c r="BZ18" s="959">
        <v>46082</v>
      </c>
      <c r="CA18" s="960">
        <f t="shared" si="60"/>
        <v>7</v>
      </c>
      <c r="CB18" s="960">
        <f t="shared" si="38"/>
        <v>8</v>
      </c>
      <c r="CC18" s="949"/>
      <c r="CD18" s="949"/>
      <c r="CE18" s="949"/>
      <c r="CF18" s="949"/>
      <c r="CG18" s="949"/>
      <c r="CH18" s="949"/>
      <c r="CI18" s="949"/>
      <c r="CJ18" s="949"/>
      <c r="CK18" s="949"/>
      <c r="CL18" s="949"/>
      <c r="CM18" s="949"/>
      <c r="CN18" s="949"/>
      <c r="CO18" s="949"/>
      <c r="CP18" s="949"/>
      <c r="CQ18" s="949"/>
      <c r="CR18" s="949"/>
      <c r="CS18" s="949"/>
      <c r="CT18" s="949"/>
      <c r="CU18" s="949"/>
      <c r="CV18" s="949"/>
      <c r="CW18" s="949"/>
      <c r="CX18" s="949"/>
      <c r="CY18" s="949"/>
      <c r="CZ18" s="949"/>
      <c r="DA18" s="949"/>
      <c r="DB18" s="949"/>
      <c r="DC18" s="949"/>
      <c r="DD18" s="949"/>
      <c r="DE18" s="949"/>
      <c r="DF18" s="949"/>
      <c r="DG18" s="949"/>
      <c r="DH18" s="949"/>
      <c r="DI18" s="949"/>
      <c r="DJ18" s="949"/>
      <c r="DK18" s="949"/>
      <c r="DL18" s="949"/>
      <c r="DM18" s="949"/>
      <c r="DN18" s="949"/>
      <c r="DO18" s="949"/>
      <c r="DP18" s="949"/>
      <c r="DQ18" s="949"/>
      <c r="DR18" s="949"/>
      <c r="DS18" s="949"/>
      <c r="DT18" s="949"/>
      <c r="DU18" s="949"/>
      <c r="DV18" s="949"/>
      <c r="DW18" s="949"/>
      <c r="DX18" s="949"/>
      <c r="DY18" s="949"/>
      <c r="DZ18" s="949"/>
      <c r="EA18" s="949"/>
      <c r="EB18" s="949"/>
      <c r="EC18" s="949"/>
      <c r="ED18" s="949"/>
      <c r="EE18" s="949"/>
      <c r="EF18" s="949"/>
      <c r="EG18" s="949"/>
      <c r="EH18" s="949"/>
      <c r="EI18" s="949"/>
      <c r="EJ18" s="949"/>
      <c r="EK18" s="949"/>
      <c r="EL18" s="949"/>
      <c r="EM18" s="949"/>
      <c r="EN18" s="949"/>
      <c r="EO18" s="949"/>
      <c r="EP18" s="949"/>
      <c r="EQ18" s="949"/>
      <c r="ER18" s="949"/>
      <c r="ES18" s="949"/>
      <c r="ET18" s="949"/>
      <c r="EU18" s="949"/>
      <c r="EV18" s="949"/>
      <c r="EW18" s="949"/>
      <c r="EX18" s="949"/>
      <c r="EY18" s="949"/>
      <c r="EZ18" s="949"/>
      <c r="FA18" s="949"/>
      <c r="FB18" s="949"/>
      <c r="FC18" s="949"/>
      <c r="FD18" s="949"/>
      <c r="FE18" s="949"/>
      <c r="FF18" s="949"/>
      <c r="FG18" s="949"/>
      <c r="FH18" s="949"/>
      <c r="FI18" s="949"/>
      <c r="FJ18" s="949"/>
      <c r="FK18" s="949"/>
      <c r="FL18" s="949"/>
      <c r="FM18" s="949"/>
      <c r="FN18" s="949"/>
      <c r="FO18" s="949"/>
      <c r="FP18" s="949"/>
      <c r="FQ18" s="949"/>
      <c r="FR18" s="949"/>
      <c r="FS18" s="949"/>
      <c r="FT18" s="949"/>
      <c r="FU18" s="949"/>
      <c r="FV18" s="949"/>
      <c r="FW18" s="949"/>
      <c r="FX18" s="949"/>
      <c r="FY18" s="949"/>
      <c r="FZ18" s="949"/>
      <c r="GA18" s="949"/>
      <c r="GB18" s="949"/>
      <c r="GC18" s="949"/>
      <c r="GD18" s="949"/>
      <c r="GE18" s="949"/>
      <c r="GF18" s="949"/>
    </row>
    <row r="19" spans="1:191" s="951" customFormat="1" x14ac:dyDescent="0.2">
      <c r="A19" s="952">
        <f t="shared" ref="A19" si="68">A18+1</f>
        <v>6</v>
      </c>
      <c r="B19" s="953">
        <f t="shared" si="61"/>
        <v>6</v>
      </c>
      <c r="C19" s="952" t="s">
        <v>558</v>
      </c>
      <c r="D19" s="952"/>
      <c r="E19" s="952" t="s">
        <v>123</v>
      </c>
      <c r="F19" s="869" t="s">
        <v>433</v>
      </c>
      <c r="G19" s="869" t="s">
        <v>119</v>
      </c>
      <c r="H19" s="869" t="s">
        <v>570</v>
      </c>
      <c r="I19" s="869" t="s">
        <v>566</v>
      </c>
      <c r="J19" s="926">
        <v>63.33</v>
      </c>
      <c r="K19" s="926"/>
      <c r="L19" s="926">
        <v>55.75</v>
      </c>
      <c r="M19" s="926">
        <f t="shared" si="62"/>
        <v>119.08</v>
      </c>
      <c r="N19" s="926">
        <f t="shared" si="52"/>
        <v>8549550</v>
      </c>
      <c r="O19" s="926">
        <f t="shared" si="53"/>
        <v>5575000</v>
      </c>
      <c r="P19" s="954">
        <f t="shared" si="63"/>
        <v>14124550</v>
      </c>
      <c r="Q19" s="926"/>
      <c r="R19" s="926"/>
      <c r="S19" s="926">
        <f t="shared" si="66"/>
        <v>14124550</v>
      </c>
      <c r="T19" s="926"/>
      <c r="U19" s="943"/>
      <c r="V19" s="925"/>
      <c r="W19" s="945"/>
      <c r="X19" s="943"/>
      <c r="Y19" s="925"/>
      <c r="Z19" s="925"/>
      <c r="AA19" s="955" t="s">
        <v>114</v>
      </c>
      <c r="AB19" s="946"/>
      <c r="AC19" s="925"/>
      <c r="AD19" s="925"/>
      <c r="AE19" s="956">
        <f t="shared" si="54"/>
        <v>14124550</v>
      </c>
      <c r="AF19" s="956"/>
      <c r="AG19" s="957">
        <f t="shared" si="42"/>
        <v>14124550</v>
      </c>
      <c r="AH19" s="919"/>
      <c r="AI19" s="957">
        <f t="shared" si="55"/>
        <v>14124550</v>
      </c>
      <c r="AJ19" s="919">
        <f t="shared" si="51"/>
        <v>353113.75</v>
      </c>
      <c r="AK19" s="920">
        <f t="shared" si="26"/>
        <v>14477663.75</v>
      </c>
      <c r="AL19" s="919">
        <f t="shared" si="2"/>
        <v>361941.59375</v>
      </c>
      <c r="AM19" s="982">
        <f t="shared" si="27"/>
        <v>14839605.34375</v>
      </c>
      <c r="AN19" s="919">
        <f t="shared" si="3"/>
        <v>370990.13359375001</v>
      </c>
      <c r="AO19" s="920">
        <f t="shared" si="43"/>
        <v>15210595.477343749</v>
      </c>
      <c r="AP19" s="919">
        <f t="shared" si="4"/>
        <v>380264.88693359378</v>
      </c>
      <c r="AQ19" s="920">
        <f t="shared" si="5"/>
        <v>15590860.364277342</v>
      </c>
      <c r="AR19" s="919">
        <f t="shared" si="6"/>
        <v>467725.81092832028</v>
      </c>
      <c r="AS19" s="920">
        <f t="shared" si="7"/>
        <v>16058586.175205663</v>
      </c>
      <c r="AT19" s="920">
        <f t="shared" si="28"/>
        <v>481757.58525616984</v>
      </c>
      <c r="AU19" s="919">
        <f t="shared" si="8"/>
        <v>642343.44700822653</v>
      </c>
      <c r="AV19" s="919"/>
      <c r="AW19" s="920">
        <f t="shared" si="9"/>
        <v>16700929.622213889</v>
      </c>
      <c r="AX19" s="920">
        <f t="shared" si="29"/>
        <v>501027.88866641663</v>
      </c>
      <c r="AY19" s="919">
        <f t="shared" si="10"/>
        <v>668037.18488855555</v>
      </c>
      <c r="AZ19" s="919"/>
      <c r="BA19" s="920">
        <f t="shared" si="11"/>
        <v>17368966.807102446</v>
      </c>
      <c r="BB19" s="920">
        <f t="shared" si="30"/>
        <v>521069.00421307335</v>
      </c>
      <c r="BC19" s="919">
        <f t="shared" si="12"/>
        <v>694758.67228409788</v>
      </c>
      <c r="BD19" s="919"/>
      <c r="BE19" s="975">
        <f t="shared" si="13"/>
        <v>18063725.479386542</v>
      </c>
      <c r="BF19" s="975">
        <f t="shared" si="31"/>
        <v>541911.76438159624</v>
      </c>
      <c r="BG19" s="919">
        <f t="shared" si="14"/>
        <v>722549.01917546173</v>
      </c>
      <c r="BH19" s="975"/>
      <c r="BI19" s="975">
        <f t="shared" si="15"/>
        <v>18786274.498562004</v>
      </c>
      <c r="BJ19" s="975">
        <f t="shared" si="32"/>
        <v>563588.23495686008</v>
      </c>
      <c r="BK19" s="919">
        <f t="shared" si="16"/>
        <v>751450.97994248022</v>
      </c>
      <c r="BL19" s="975"/>
      <c r="BM19" s="975">
        <f t="shared" si="17"/>
        <v>19537725.478504486</v>
      </c>
      <c r="BN19" s="926">
        <f t="shared" si="18"/>
        <v>1465329.4108878365</v>
      </c>
      <c r="BO19" s="926">
        <f t="shared" si="19"/>
        <v>488443.13696261216</v>
      </c>
      <c r="BP19" s="926">
        <f t="shared" si="20"/>
        <v>2344527.0574205383</v>
      </c>
      <c r="BQ19" s="926">
        <f t="shared" si="21"/>
        <v>23836025.083775472</v>
      </c>
      <c r="BR19" s="926">
        <f t="shared" si="22"/>
        <v>200168.16496284408</v>
      </c>
      <c r="BS19" s="958">
        <v>0.4</v>
      </c>
      <c r="BT19" s="954">
        <f t="shared" si="56"/>
        <v>9534410.0335101895</v>
      </c>
      <c r="BU19" s="926">
        <v>200000</v>
      </c>
      <c r="BV19" s="954">
        <f t="shared" si="57"/>
        <v>1333487.1476443128</v>
      </c>
      <c r="BW19" s="869">
        <f t="shared" si="67"/>
        <v>7</v>
      </c>
      <c r="BX19" s="954">
        <f t="shared" si="59"/>
        <v>14301615.050265282</v>
      </c>
      <c r="BY19" s="949"/>
      <c r="BZ19" s="959">
        <v>46082</v>
      </c>
      <c r="CA19" s="960">
        <f t="shared" si="60"/>
        <v>7</v>
      </c>
      <c r="CB19" s="960">
        <f t="shared" si="38"/>
        <v>8</v>
      </c>
      <c r="CC19" s="949"/>
      <c r="CD19" s="949"/>
      <c r="CE19" s="949"/>
      <c r="CF19" s="949"/>
      <c r="CG19" s="949"/>
      <c r="CH19" s="949"/>
      <c r="CI19" s="949"/>
      <c r="CJ19" s="949"/>
      <c r="CK19" s="949"/>
      <c r="CL19" s="949"/>
      <c r="CM19" s="949"/>
      <c r="CN19" s="949"/>
      <c r="CO19" s="949"/>
      <c r="CP19" s="949"/>
      <c r="CQ19" s="949"/>
      <c r="CR19" s="949"/>
      <c r="CS19" s="949"/>
      <c r="CT19" s="949"/>
      <c r="CU19" s="949"/>
      <c r="CV19" s="949"/>
      <c r="CW19" s="949"/>
      <c r="CX19" s="949"/>
      <c r="CY19" s="949"/>
      <c r="CZ19" s="949"/>
      <c r="DA19" s="949"/>
      <c r="DB19" s="949"/>
      <c r="DC19" s="949"/>
      <c r="DD19" s="949"/>
      <c r="DE19" s="949"/>
      <c r="DF19" s="949"/>
      <c r="DG19" s="949"/>
      <c r="DH19" s="949"/>
      <c r="DI19" s="949"/>
      <c r="DJ19" s="949"/>
      <c r="DK19" s="949"/>
      <c r="DL19" s="949"/>
      <c r="DM19" s="949"/>
      <c r="DN19" s="949"/>
      <c r="DO19" s="949"/>
      <c r="DP19" s="949"/>
      <c r="DQ19" s="949"/>
      <c r="DR19" s="949"/>
      <c r="DS19" s="949"/>
      <c r="DT19" s="949"/>
      <c r="DU19" s="949"/>
      <c r="DV19" s="949"/>
      <c r="DW19" s="949"/>
      <c r="DX19" s="949"/>
      <c r="DY19" s="949"/>
      <c r="DZ19" s="949"/>
      <c r="EA19" s="949"/>
      <c r="EB19" s="949"/>
      <c r="EC19" s="949"/>
      <c r="ED19" s="949"/>
      <c r="EE19" s="949"/>
      <c r="EF19" s="949"/>
      <c r="EG19" s="949"/>
      <c r="EH19" s="949"/>
      <c r="EI19" s="949"/>
      <c r="EJ19" s="949"/>
      <c r="EK19" s="949"/>
      <c r="EL19" s="949"/>
      <c r="EM19" s="949"/>
      <c r="EN19" s="949"/>
      <c r="EO19" s="949"/>
      <c r="EP19" s="949"/>
      <c r="EQ19" s="949"/>
      <c r="ER19" s="949"/>
      <c r="ES19" s="949"/>
      <c r="ET19" s="949"/>
      <c r="EU19" s="949"/>
      <c r="EV19" s="949"/>
      <c r="EW19" s="949"/>
      <c r="EX19" s="949"/>
      <c r="EY19" s="949"/>
      <c r="EZ19" s="949"/>
      <c r="FA19" s="949"/>
      <c r="FB19" s="949"/>
      <c r="FC19" s="949"/>
      <c r="FD19" s="949"/>
      <c r="FE19" s="949"/>
      <c r="FF19" s="949"/>
      <c r="FG19" s="949"/>
      <c r="FH19" s="949"/>
      <c r="FI19" s="949"/>
      <c r="FJ19" s="949"/>
      <c r="FK19" s="949"/>
      <c r="FL19" s="949"/>
      <c r="FM19" s="949"/>
      <c r="FN19" s="949"/>
      <c r="FO19" s="949"/>
      <c r="FP19" s="949"/>
      <c r="FQ19" s="949"/>
      <c r="FR19" s="949"/>
      <c r="FS19" s="949"/>
      <c r="FT19" s="949"/>
      <c r="FU19" s="949"/>
      <c r="FV19" s="949"/>
      <c r="FW19" s="949"/>
      <c r="FX19" s="949"/>
      <c r="FY19" s="949"/>
      <c r="FZ19" s="949"/>
      <c r="GA19" s="949"/>
      <c r="GB19" s="949"/>
      <c r="GC19" s="949"/>
      <c r="GD19" s="949"/>
      <c r="GE19" s="949"/>
      <c r="GF19" s="949"/>
    </row>
    <row r="20" spans="1:191" s="951" customFormat="1" x14ac:dyDescent="0.2">
      <c r="A20" s="952">
        <f t="shared" ref="A20" si="69">A19+1</f>
        <v>7</v>
      </c>
      <c r="B20" s="953">
        <f t="shared" si="61"/>
        <v>7</v>
      </c>
      <c r="C20" s="952" t="s">
        <v>558</v>
      </c>
      <c r="D20" s="952"/>
      <c r="E20" s="952" t="s">
        <v>123</v>
      </c>
      <c r="F20" s="869" t="s">
        <v>433</v>
      </c>
      <c r="G20" s="869" t="s">
        <v>121</v>
      </c>
      <c r="H20" s="869" t="s">
        <v>571</v>
      </c>
      <c r="I20" s="869" t="s">
        <v>566</v>
      </c>
      <c r="J20" s="926">
        <v>86.33</v>
      </c>
      <c r="K20" s="926"/>
      <c r="L20" s="926">
        <v>78.78</v>
      </c>
      <c r="M20" s="926">
        <f t="shared" si="62"/>
        <v>165.11</v>
      </c>
      <c r="N20" s="926">
        <f t="shared" si="52"/>
        <v>11654550</v>
      </c>
      <c r="O20" s="926">
        <f t="shared" si="53"/>
        <v>7878000</v>
      </c>
      <c r="P20" s="954">
        <f t="shared" si="63"/>
        <v>19532550</v>
      </c>
      <c r="Q20" s="926"/>
      <c r="R20" s="926"/>
      <c r="S20" s="926">
        <f t="shared" si="66"/>
        <v>19532550</v>
      </c>
      <c r="T20" s="926"/>
      <c r="U20" s="943"/>
      <c r="V20" s="925"/>
      <c r="W20" s="945"/>
      <c r="X20" s="943"/>
      <c r="Y20" s="925"/>
      <c r="Z20" s="925"/>
      <c r="AA20" s="961" t="s">
        <v>110</v>
      </c>
      <c r="AB20" s="946"/>
      <c r="AC20" s="925"/>
      <c r="AD20" s="925"/>
      <c r="AE20" s="956">
        <f t="shared" si="54"/>
        <v>19532550</v>
      </c>
      <c r="AF20" s="956"/>
      <c r="AG20" s="957">
        <f t="shared" si="42"/>
        <v>19532550</v>
      </c>
      <c r="AH20" s="919"/>
      <c r="AI20" s="957">
        <f t="shared" si="55"/>
        <v>19532550</v>
      </c>
      <c r="AJ20" s="919">
        <f t="shared" si="51"/>
        <v>488313.75</v>
      </c>
      <c r="AK20" s="920">
        <f t="shared" si="26"/>
        <v>20020863.75</v>
      </c>
      <c r="AL20" s="919">
        <f t="shared" si="2"/>
        <v>500521.59375</v>
      </c>
      <c r="AM20" s="982">
        <f t="shared" si="27"/>
        <v>20521385.34375</v>
      </c>
      <c r="AN20" s="919">
        <f t="shared" si="3"/>
        <v>513034.63359375001</v>
      </c>
      <c r="AO20" s="920">
        <f t="shared" si="43"/>
        <v>21034419.977343749</v>
      </c>
      <c r="AP20" s="919">
        <f t="shared" si="4"/>
        <v>525860.49943359371</v>
      </c>
      <c r="AQ20" s="920">
        <f t="shared" si="5"/>
        <v>21560280.476777341</v>
      </c>
      <c r="AR20" s="919">
        <f t="shared" si="6"/>
        <v>646808.41430332023</v>
      </c>
      <c r="AS20" s="920">
        <f t="shared" si="7"/>
        <v>22207088.891080663</v>
      </c>
      <c r="AT20" s="920">
        <f t="shared" si="28"/>
        <v>666212.66673241986</v>
      </c>
      <c r="AU20" s="919">
        <f t="shared" si="8"/>
        <v>888283.55564322649</v>
      </c>
      <c r="AV20" s="919"/>
      <c r="AW20" s="920">
        <f t="shared" si="9"/>
        <v>23095372.44672389</v>
      </c>
      <c r="AX20" s="920">
        <f t="shared" si="29"/>
        <v>692861.17340171663</v>
      </c>
      <c r="AY20" s="919">
        <f t="shared" si="10"/>
        <v>923814.89786895562</v>
      </c>
      <c r="AZ20" s="919"/>
      <c r="BA20" s="920">
        <f t="shared" si="11"/>
        <v>24019187.344592847</v>
      </c>
      <c r="BB20" s="920">
        <f t="shared" si="30"/>
        <v>720575.62033778534</v>
      </c>
      <c r="BC20" s="919">
        <f t="shared" si="12"/>
        <v>960767.4937837139</v>
      </c>
      <c r="BD20" s="919"/>
      <c r="BE20" s="975">
        <f t="shared" si="13"/>
        <v>24979954.838376559</v>
      </c>
      <c r="BF20" s="975">
        <f t="shared" si="31"/>
        <v>749398.64515129675</v>
      </c>
      <c r="BG20" s="919">
        <f t="shared" si="14"/>
        <v>999198.19353506237</v>
      </c>
      <c r="BH20" s="975"/>
      <c r="BI20" s="975">
        <f t="shared" si="15"/>
        <v>25979153.031911623</v>
      </c>
      <c r="BJ20" s="975">
        <f t="shared" si="32"/>
        <v>779374.5909573487</v>
      </c>
      <c r="BK20" s="919">
        <f t="shared" si="16"/>
        <v>1039166.1212764649</v>
      </c>
      <c r="BL20" s="975"/>
      <c r="BM20" s="975">
        <f t="shared" si="17"/>
        <v>27018319.153188087</v>
      </c>
      <c r="BN20" s="926">
        <f t="shared" si="18"/>
        <v>2026373.9364891064</v>
      </c>
      <c r="BO20" s="926">
        <f t="shared" si="19"/>
        <v>675457.97882970225</v>
      </c>
      <c r="BP20" s="926">
        <f t="shared" si="20"/>
        <v>3242198.2983825705</v>
      </c>
      <c r="BQ20" s="926">
        <f t="shared" si="21"/>
        <v>32962349.366889462</v>
      </c>
      <c r="BR20" s="926">
        <f t="shared" si="22"/>
        <v>199638.72186354225</v>
      </c>
      <c r="BS20" s="958">
        <v>0.4</v>
      </c>
      <c r="BT20" s="954">
        <f t="shared" si="56"/>
        <v>13184939.746755786</v>
      </c>
      <c r="BU20" s="926">
        <v>200000</v>
      </c>
      <c r="BV20" s="954">
        <f t="shared" si="57"/>
        <v>1854991.3923936838</v>
      </c>
      <c r="BW20" s="869">
        <f t="shared" si="67"/>
        <v>7</v>
      </c>
      <c r="BX20" s="954">
        <f t="shared" si="59"/>
        <v>19777409.620133676</v>
      </c>
      <c r="BY20" s="949"/>
      <c r="BZ20" s="959">
        <v>46082</v>
      </c>
      <c r="CA20" s="960">
        <f t="shared" si="60"/>
        <v>7</v>
      </c>
      <c r="CB20" s="960">
        <f t="shared" si="38"/>
        <v>8</v>
      </c>
      <c r="CC20" s="949"/>
      <c r="CD20" s="949"/>
      <c r="CE20" s="949"/>
      <c r="CF20" s="949"/>
      <c r="CG20" s="949"/>
      <c r="CH20" s="949"/>
      <c r="CI20" s="949"/>
      <c r="CJ20" s="949"/>
      <c r="CK20" s="949"/>
      <c r="CL20" s="949"/>
      <c r="CM20" s="949"/>
      <c r="CN20" s="949"/>
      <c r="CO20" s="949"/>
      <c r="CP20" s="949"/>
      <c r="CQ20" s="949"/>
      <c r="CR20" s="949"/>
      <c r="CS20" s="949"/>
      <c r="CT20" s="949"/>
      <c r="CU20" s="949"/>
      <c r="CV20" s="949"/>
      <c r="CW20" s="949"/>
      <c r="CX20" s="949"/>
      <c r="CY20" s="949"/>
      <c r="CZ20" s="949"/>
      <c r="DA20" s="949"/>
      <c r="DB20" s="949"/>
      <c r="DC20" s="949"/>
      <c r="DD20" s="949"/>
      <c r="DE20" s="949"/>
      <c r="DF20" s="949"/>
      <c r="DG20" s="949"/>
      <c r="DH20" s="949"/>
      <c r="DI20" s="949"/>
      <c r="DJ20" s="949"/>
      <c r="DK20" s="949"/>
      <c r="DL20" s="949"/>
      <c r="DM20" s="949"/>
      <c r="DN20" s="949"/>
      <c r="DO20" s="949"/>
      <c r="DP20" s="949"/>
      <c r="DQ20" s="949"/>
      <c r="DR20" s="949"/>
      <c r="DS20" s="949"/>
      <c r="DT20" s="949"/>
      <c r="DU20" s="949"/>
      <c r="DV20" s="949"/>
      <c r="DW20" s="949"/>
      <c r="DX20" s="949"/>
      <c r="DY20" s="949"/>
      <c r="DZ20" s="949"/>
      <c r="EA20" s="949"/>
      <c r="EB20" s="949"/>
      <c r="EC20" s="949"/>
      <c r="ED20" s="949"/>
      <c r="EE20" s="949"/>
      <c r="EF20" s="949"/>
      <c r="EG20" s="949"/>
      <c r="EH20" s="949"/>
      <c r="EI20" s="949"/>
      <c r="EJ20" s="949"/>
      <c r="EK20" s="949"/>
      <c r="EL20" s="949"/>
      <c r="EM20" s="949"/>
      <c r="EN20" s="949"/>
      <c r="EO20" s="949"/>
      <c r="EP20" s="949"/>
      <c r="EQ20" s="949"/>
      <c r="ER20" s="949"/>
      <c r="ES20" s="949"/>
      <c r="ET20" s="949"/>
      <c r="EU20" s="949"/>
      <c r="EV20" s="949"/>
      <c r="EW20" s="949"/>
      <c r="EX20" s="949"/>
      <c r="EY20" s="949"/>
      <c r="EZ20" s="949"/>
      <c r="FA20" s="949"/>
      <c r="FB20" s="949"/>
      <c r="FC20" s="949"/>
      <c r="FD20" s="949"/>
      <c r="FE20" s="949"/>
      <c r="FF20" s="949"/>
      <c r="FG20" s="949"/>
      <c r="FH20" s="949"/>
      <c r="FI20" s="949"/>
      <c r="FJ20" s="949"/>
      <c r="FK20" s="949"/>
      <c r="FL20" s="949"/>
      <c r="FM20" s="949"/>
      <c r="FN20" s="949"/>
      <c r="FO20" s="949"/>
      <c r="FP20" s="949"/>
      <c r="FQ20" s="949"/>
      <c r="FR20" s="949"/>
      <c r="FS20" s="949"/>
      <c r="FT20" s="949"/>
      <c r="FU20" s="949"/>
      <c r="FV20" s="949"/>
      <c r="FW20" s="949"/>
      <c r="FX20" s="949"/>
      <c r="FY20" s="949"/>
      <c r="FZ20" s="949"/>
      <c r="GA20" s="949"/>
      <c r="GB20" s="949"/>
      <c r="GC20" s="949"/>
      <c r="GD20" s="949"/>
      <c r="GE20" s="949"/>
      <c r="GF20" s="949"/>
    </row>
    <row r="21" spans="1:191" s="929" customFormat="1" x14ac:dyDescent="0.2">
      <c r="A21" s="952">
        <f>A13+1</f>
        <v>8</v>
      </c>
      <c r="B21" s="952">
        <v>1</v>
      </c>
      <c r="C21" s="952" t="s">
        <v>558</v>
      </c>
      <c r="D21" s="952"/>
      <c r="E21" s="952" t="s">
        <v>105</v>
      </c>
      <c r="F21" s="869" t="s">
        <v>106</v>
      </c>
      <c r="G21" s="869" t="s">
        <v>107</v>
      </c>
      <c r="H21" s="869" t="s">
        <v>108</v>
      </c>
      <c r="I21" s="869" t="s">
        <v>572</v>
      </c>
      <c r="J21" s="926">
        <v>99.98</v>
      </c>
      <c r="K21" s="962">
        <v>10.29</v>
      </c>
      <c r="L21" s="962">
        <v>0</v>
      </c>
      <c r="M21" s="926">
        <f t="shared" ref="M21:M116" si="70">J21+K21</f>
        <v>110.27000000000001</v>
      </c>
      <c r="N21" s="926"/>
      <c r="O21" s="926"/>
      <c r="P21" s="926"/>
      <c r="Q21" s="926">
        <f>J21*$Q$5</f>
        <v>13197360</v>
      </c>
      <c r="R21" s="926">
        <f>K21*$R$5</f>
        <v>679140</v>
      </c>
      <c r="S21" s="926">
        <f t="shared" si="23"/>
        <v>13876500</v>
      </c>
      <c r="T21" s="926"/>
      <c r="U21" s="869">
        <v>1</v>
      </c>
      <c r="V21" s="926">
        <f>M21*U21*$V$5</f>
        <v>55135.000000000007</v>
      </c>
      <c r="W21" s="926"/>
      <c r="X21" s="954">
        <f>S21*$X$5</f>
        <v>69382.5</v>
      </c>
      <c r="Y21" s="926">
        <f>M21*$Y$5</f>
        <v>220540.00000000003</v>
      </c>
      <c r="Z21" s="926">
        <f>M21*$Z$5</f>
        <v>110270.00000000001</v>
      </c>
      <c r="AA21" s="961" t="s">
        <v>110</v>
      </c>
      <c r="AB21" s="961" t="s">
        <v>573</v>
      </c>
      <c r="AC21" s="926">
        <f>SUM(V21:Z21)</f>
        <v>455327.5</v>
      </c>
      <c r="AD21" s="926"/>
      <c r="AE21" s="956">
        <f t="shared" si="24"/>
        <v>14331827.5</v>
      </c>
      <c r="AF21" s="956">
        <f t="shared" ref="AF21:AF79" si="71">AE21*$AF$5</f>
        <v>441420.28700000001</v>
      </c>
      <c r="AG21" s="957">
        <f t="shared" ref="AG21:AG84" si="72">AE21+AF21</f>
        <v>14773247.787</v>
      </c>
      <c r="AH21" s="919">
        <f t="shared" ref="AH21:AH79" si="73">AG21*$AH$5</f>
        <v>335352.72476490005</v>
      </c>
      <c r="AI21" s="957">
        <f t="shared" si="25"/>
        <v>15108600.511764901</v>
      </c>
      <c r="AJ21" s="919">
        <f t="shared" ref="AJ21:AJ78" si="74">AI21*$AJ$5</f>
        <v>377715.01279412257</v>
      </c>
      <c r="AK21" s="920">
        <f t="shared" ref="AK21:AK79" si="75">AI21+AJ21</f>
        <v>15486315.524559023</v>
      </c>
      <c r="AL21" s="919">
        <f t="shared" si="2"/>
        <v>387157.88811397558</v>
      </c>
      <c r="AM21" s="982">
        <f t="shared" si="27"/>
        <v>15873473.412672998</v>
      </c>
      <c r="AN21" s="919">
        <f t="shared" si="3"/>
        <v>396836.83531682496</v>
      </c>
      <c r="AO21" s="920">
        <f t="shared" si="43"/>
        <v>16270310.247989824</v>
      </c>
      <c r="AP21" s="919">
        <f t="shared" si="4"/>
        <v>406757.75619974564</v>
      </c>
      <c r="AQ21" s="920">
        <f t="shared" si="5"/>
        <v>16677068.00418957</v>
      </c>
      <c r="AR21" s="919">
        <f t="shared" si="6"/>
        <v>500312.04012568708</v>
      </c>
      <c r="AS21" s="920">
        <f t="shared" si="7"/>
        <v>17177380.044315256</v>
      </c>
      <c r="AT21" s="920">
        <f t="shared" si="28"/>
        <v>515321.40132945764</v>
      </c>
      <c r="AU21" s="919">
        <f t="shared" si="8"/>
        <v>687095.20177261031</v>
      </c>
      <c r="AV21" s="919"/>
      <c r="AW21" s="920">
        <f t="shared" si="9"/>
        <v>17864475.246087868</v>
      </c>
      <c r="AX21" s="920">
        <f t="shared" si="29"/>
        <v>535934.25738263596</v>
      </c>
      <c r="AY21" s="919">
        <f t="shared" si="10"/>
        <v>714579.00984351477</v>
      </c>
      <c r="AZ21" s="919"/>
      <c r="BA21" s="920">
        <f t="shared" si="11"/>
        <v>18579054.255931381</v>
      </c>
      <c r="BB21" s="920">
        <f t="shared" si="30"/>
        <v>557371.62767794146</v>
      </c>
      <c r="BC21" s="919">
        <f t="shared" si="12"/>
        <v>743162.17023725528</v>
      </c>
      <c r="BD21" s="919"/>
      <c r="BE21" s="975">
        <f t="shared" si="13"/>
        <v>19322216.426168635</v>
      </c>
      <c r="BF21" s="975">
        <f t="shared" si="31"/>
        <v>579666.49278505903</v>
      </c>
      <c r="BG21" s="919">
        <f t="shared" si="14"/>
        <v>772888.65704674541</v>
      </c>
      <c r="BH21" s="975"/>
      <c r="BI21" s="975">
        <f t="shared" si="15"/>
        <v>20095105.083215382</v>
      </c>
      <c r="BJ21" s="975">
        <f t="shared" si="32"/>
        <v>602853.15249646141</v>
      </c>
      <c r="BK21" s="919">
        <f t="shared" si="16"/>
        <v>803804.20332861529</v>
      </c>
      <c r="BL21" s="975"/>
      <c r="BM21" s="975">
        <f t="shared" si="17"/>
        <v>20898909.286543999</v>
      </c>
      <c r="BN21" s="926">
        <f t="shared" si="18"/>
        <v>1567418.1964907998</v>
      </c>
      <c r="BO21" s="926">
        <f t="shared" si="19"/>
        <v>522472.73216359998</v>
      </c>
      <c r="BP21" s="926">
        <f t="shared" si="20"/>
        <v>2507869.1143852798</v>
      </c>
      <c r="BQ21" s="926">
        <f t="shared" si="21"/>
        <v>25496669.329583678</v>
      </c>
      <c r="BR21" s="926">
        <f t="shared" si="22"/>
        <v>231220.36210740614</v>
      </c>
      <c r="BS21" s="963">
        <v>0.15</v>
      </c>
      <c r="BT21" s="954">
        <f>BQ21*BS21</f>
        <v>3824500.3994375514</v>
      </c>
      <c r="BU21" s="926">
        <v>50000</v>
      </c>
      <c r="BV21" s="954">
        <f t="shared" ref="BV21:BV84" si="76">(BT21-BU21)/(BW21)</f>
        <v>539214.34277679306</v>
      </c>
      <c r="BW21" s="869">
        <f t="shared" si="35"/>
        <v>7</v>
      </c>
      <c r="BX21" s="954">
        <f t="shared" ref="BX21:BX84" si="77">BQ21-BT21</f>
        <v>21672168.930146128</v>
      </c>
      <c r="BY21" s="931"/>
      <c r="BZ21" s="959">
        <v>46082</v>
      </c>
      <c r="CA21" s="960">
        <f t="shared" si="37"/>
        <v>7</v>
      </c>
      <c r="CB21" s="960">
        <f t="shared" si="38"/>
        <v>8</v>
      </c>
      <c r="CC21" s="931"/>
      <c r="CD21" s="931"/>
      <c r="CE21" s="931"/>
      <c r="CF21" s="931"/>
      <c r="CG21" s="931"/>
      <c r="CH21" s="931"/>
      <c r="CI21" s="931"/>
      <c r="CJ21" s="931"/>
      <c r="CK21" s="931"/>
      <c r="CL21" s="931"/>
      <c r="CM21" s="931"/>
      <c r="CN21" s="931"/>
      <c r="CO21" s="931"/>
      <c r="CP21" s="931"/>
      <c r="CQ21" s="931"/>
      <c r="CR21" s="931"/>
      <c r="CS21" s="931"/>
      <c r="CT21" s="931"/>
      <c r="CU21" s="931"/>
      <c r="CV21" s="931"/>
      <c r="CW21" s="931"/>
      <c r="CX21" s="931"/>
      <c r="CY21" s="931"/>
      <c r="CZ21" s="931"/>
      <c r="DA21" s="931"/>
      <c r="DB21" s="931"/>
      <c r="DC21" s="931"/>
      <c r="DD21" s="931"/>
      <c r="DE21" s="931"/>
      <c r="DF21" s="931"/>
      <c r="DG21" s="931"/>
      <c r="DH21" s="931"/>
      <c r="DI21" s="931"/>
      <c r="DJ21" s="931"/>
      <c r="DK21" s="931"/>
      <c r="DL21" s="931"/>
      <c r="DM21" s="931"/>
      <c r="DN21" s="931"/>
      <c r="DO21" s="931"/>
      <c r="DP21" s="931"/>
      <c r="DQ21" s="931"/>
      <c r="DR21" s="931"/>
      <c r="DS21" s="931"/>
      <c r="DT21" s="931"/>
      <c r="DU21" s="931"/>
      <c r="DV21" s="931"/>
      <c r="DW21" s="931"/>
      <c r="DX21" s="931"/>
      <c r="DY21" s="931"/>
      <c r="DZ21" s="931"/>
      <c r="EA21" s="931"/>
      <c r="EB21" s="931"/>
      <c r="EC21" s="931"/>
      <c r="ED21" s="931"/>
      <c r="EE21" s="931"/>
      <c r="EF21" s="931"/>
      <c r="EG21" s="931"/>
      <c r="EH21" s="931"/>
      <c r="EI21" s="931"/>
      <c r="EJ21" s="931"/>
      <c r="EK21" s="931"/>
      <c r="EL21" s="931"/>
      <c r="EM21" s="931"/>
      <c r="EN21" s="931"/>
      <c r="EO21" s="931"/>
      <c r="EP21" s="931"/>
      <c r="EQ21" s="931"/>
      <c r="ER21" s="931"/>
      <c r="ES21" s="931"/>
      <c r="ET21" s="931"/>
      <c r="EU21" s="931"/>
      <c r="EV21" s="931"/>
      <c r="EW21" s="931"/>
      <c r="EX21" s="931"/>
      <c r="EY21" s="931"/>
      <c r="EZ21" s="931"/>
      <c r="FA21" s="931"/>
      <c r="FB21" s="931"/>
      <c r="FC21" s="931"/>
      <c r="FD21" s="931"/>
      <c r="FE21" s="931"/>
      <c r="FF21" s="931"/>
      <c r="FG21" s="931"/>
      <c r="FH21" s="931"/>
      <c r="FI21" s="931"/>
      <c r="FJ21" s="931"/>
      <c r="FK21" s="931"/>
      <c r="FL21" s="931"/>
      <c r="FM21" s="931"/>
      <c r="FN21" s="931"/>
      <c r="FO21" s="931"/>
      <c r="FP21" s="931"/>
      <c r="FQ21" s="931"/>
      <c r="FR21" s="931"/>
      <c r="FS21" s="931"/>
      <c r="FT21" s="931"/>
      <c r="FU21" s="931"/>
      <c r="FV21" s="931"/>
      <c r="FW21" s="964"/>
      <c r="FX21" s="964"/>
      <c r="FY21" s="964"/>
      <c r="FZ21" s="964"/>
      <c r="GA21" s="964"/>
      <c r="GB21" s="964"/>
      <c r="GC21" s="964"/>
      <c r="GD21" s="964"/>
      <c r="GE21" s="964"/>
      <c r="GF21" s="964"/>
      <c r="GI21" s="912"/>
    </row>
    <row r="22" spans="1:191" s="929" customFormat="1" x14ac:dyDescent="0.2">
      <c r="A22" s="952">
        <f t="shared" ref="A22" si="78">A21+1</f>
        <v>9</v>
      </c>
      <c r="B22" s="952">
        <f>B21+1</f>
        <v>2</v>
      </c>
      <c r="C22" s="952" t="s">
        <v>558</v>
      </c>
      <c r="D22" s="952"/>
      <c r="E22" s="952" t="s">
        <v>105</v>
      </c>
      <c r="F22" s="869" t="s">
        <v>106</v>
      </c>
      <c r="G22" s="869" t="s">
        <v>111</v>
      </c>
      <c r="H22" s="869" t="s">
        <v>112</v>
      </c>
      <c r="I22" s="869" t="s">
        <v>113</v>
      </c>
      <c r="J22" s="926">
        <v>52.86</v>
      </c>
      <c r="K22" s="962">
        <v>5.09</v>
      </c>
      <c r="L22" s="962">
        <v>0</v>
      </c>
      <c r="M22" s="926">
        <f t="shared" si="70"/>
        <v>57.95</v>
      </c>
      <c r="N22" s="926"/>
      <c r="O22" s="926"/>
      <c r="P22" s="965"/>
      <c r="Q22" s="926">
        <f t="shared" ref="Q22:Q85" si="79">J22*$Q$5</f>
        <v>6977520</v>
      </c>
      <c r="R22" s="926">
        <f t="shared" ref="R22:R85" si="80">K22*$R$5</f>
        <v>335940</v>
      </c>
      <c r="S22" s="926">
        <f t="shared" si="23"/>
        <v>7313460</v>
      </c>
      <c r="T22" s="926"/>
      <c r="U22" s="869">
        <v>1</v>
      </c>
      <c r="V22" s="926">
        <f t="shared" ref="V22:V85" si="81">M22*U22*$V$5</f>
        <v>28975</v>
      </c>
      <c r="W22" s="926"/>
      <c r="X22" s="954">
        <f t="shared" ref="X22:X85" si="82">S22*$X$5</f>
        <v>36567.300000000003</v>
      </c>
      <c r="Y22" s="961"/>
      <c r="Z22" s="926">
        <f t="shared" ref="Z22:Z25" si="83">M22*$Z$5</f>
        <v>57950</v>
      </c>
      <c r="AA22" s="961" t="s">
        <v>114</v>
      </c>
      <c r="AB22" s="961" t="s">
        <v>573</v>
      </c>
      <c r="AC22" s="926">
        <f t="shared" ref="AC22:AC46" si="84">SUM(V22:Z22)</f>
        <v>123492.3</v>
      </c>
      <c r="AD22" s="926"/>
      <c r="AE22" s="956">
        <f t="shared" si="24"/>
        <v>7436952.2999999998</v>
      </c>
      <c r="AF22" s="956">
        <f t="shared" si="71"/>
        <v>229058.13084</v>
      </c>
      <c r="AG22" s="957">
        <f t="shared" si="72"/>
        <v>7666010.4308399996</v>
      </c>
      <c r="AH22" s="919">
        <f t="shared" si="73"/>
        <v>174018.436780068</v>
      </c>
      <c r="AI22" s="957">
        <f t="shared" si="25"/>
        <v>7840028.8676200677</v>
      </c>
      <c r="AJ22" s="919">
        <f t="shared" si="74"/>
        <v>196000.7216905017</v>
      </c>
      <c r="AK22" s="920">
        <f t="shared" si="75"/>
        <v>8036029.5893105697</v>
      </c>
      <c r="AL22" s="919">
        <f t="shared" si="2"/>
        <v>200900.73973276425</v>
      </c>
      <c r="AM22" s="982">
        <f t="shared" si="27"/>
        <v>8236930.3290433343</v>
      </c>
      <c r="AN22" s="919">
        <f t="shared" si="3"/>
        <v>205923.25822608336</v>
      </c>
      <c r="AO22" s="920">
        <f t="shared" si="43"/>
        <v>8442853.5872694179</v>
      </c>
      <c r="AP22" s="919">
        <f t="shared" si="4"/>
        <v>211071.33968173547</v>
      </c>
      <c r="AQ22" s="920">
        <f t="shared" si="5"/>
        <v>8653924.9269511532</v>
      </c>
      <c r="AR22" s="919">
        <f t="shared" si="6"/>
        <v>259617.74780853459</v>
      </c>
      <c r="AS22" s="920">
        <f t="shared" si="7"/>
        <v>8913542.6747596879</v>
      </c>
      <c r="AT22" s="920">
        <f t="shared" si="28"/>
        <v>267406.28024279064</v>
      </c>
      <c r="AU22" s="919">
        <f t="shared" si="8"/>
        <v>356541.70699038752</v>
      </c>
      <c r="AV22" s="919"/>
      <c r="AW22" s="920">
        <f t="shared" si="9"/>
        <v>9270084.3817500751</v>
      </c>
      <c r="AX22" s="920">
        <f t="shared" si="29"/>
        <v>278102.53145250224</v>
      </c>
      <c r="AY22" s="919">
        <f t="shared" si="10"/>
        <v>370803.37527000299</v>
      </c>
      <c r="AZ22" s="919"/>
      <c r="BA22" s="920">
        <f t="shared" si="11"/>
        <v>9640887.7570200786</v>
      </c>
      <c r="BB22" s="920">
        <f t="shared" si="30"/>
        <v>289226.63271060237</v>
      </c>
      <c r="BC22" s="919">
        <f t="shared" si="12"/>
        <v>385635.51028080314</v>
      </c>
      <c r="BD22" s="919"/>
      <c r="BE22" s="975">
        <f t="shared" si="13"/>
        <v>10026523.267300881</v>
      </c>
      <c r="BF22" s="975">
        <f t="shared" si="31"/>
        <v>300795.69801902643</v>
      </c>
      <c r="BG22" s="919">
        <f t="shared" si="14"/>
        <v>401060.93069203524</v>
      </c>
      <c r="BH22" s="975"/>
      <c r="BI22" s="975">
        <f t="shared" si="15"/>
        <v>10427584.197992917</v>
      </c>
      <c r="BJ22" s="975">
        <f t="shared" si="32"/>
        <v>312827.52593978751</v>
      </c>
      <c r="BK22" s="919">
        <f t="shared" si="16"/>
        <v>417103.36791971669</v>
      </c>
      <c r="BL22" s="975"/>
      <c r="BM22" s="975">
        <f t="shared" si="17"/>
        <v>10844687.565912634</v>
      </c>
      <c r="BN22" s="926">
        <f t="shared" si="18"/>
        <v>813351.56744344754</v>
      </c>
      <c r="BO22" s="926">
        <f t="shared" si="19"/>
        <v>271117.18914781586</v>
      </c>
      <c r="BP22" s="926">
        <f t="shared" si="20"/>
        <v>1301362.5079095161</v>
      </c>
      <c r="BQ22" s="926">
        <f t="shared" si="21"/>
        <v>13230518.830413412</v>
      </c>
      <c r="BR22" s="926">
        <f t="shared" si="22"/>
        <v>228309.21191395016</v>
      </c>
      <c r="BS22" s="963">
        <v>0.15</v>
      </c>
      <c r="BT22" s="954">
        <f t="shared" ref="BT22:BT112" si="85">BQ22*BS22</f>
        <v>1984577.8245620118</v>
      </c>
      <c r="BU22" s="926">
        <v>50000</v>
      </c>
      <c r="BV22" s="954">
        <f t="shared" si="76"/>
        <v>276368.26065171597</v>
      </c>
      <c r="BW22" s="869">
        <f t="shared" si="35"/>
        <v>7</v>
      </c>
      <c r="BX22" s="954">
        <f t="shared" si="77"/>
        <v>11245941.005851401</v>
      </c>
      <c r="BY22" s="931"/>
      <c r="BZ22" s="959">
        <v>46082</v>
      </c>
      <c r="CA22" s="960">
        <f t="shared" si="37"/>
        <v>7</v>
      </c>
      <c r="CB22" s="960">
        <f t="shared" si="38"/>
        <v>8</v>
      </c>
      <c r="CC22" s="931"/>
      <c r="CD22" s="931"/>
      <c r="CE22" s="931"/>
      <c r="CF22" s="931"/>
      <c r="CG22" s="931"/>
      <c r="CH22" s="931"/>
      <c r="CI22" s="931"/>
      <c r="CJ22" s="931"/>
      <c r="CK22" s="931"/>
      <c r="CL22" s="931"/>
      <c r="CM22" s="931"/>
      <c r="CN22" s="931"/>
      <c r="CO22" s="931"/>
      <c r="CP22" s="931"/>
      <c r="CQ22" s="931"/>
      <c r="CR22" s="931"/>
      <c r="CS22" s="931"/>
      <c r="CT22" s="931"/>
      <c r="CU22" s="931"/>
      <c r="CV22" s="931"/>
      <c r="CW22" s="931"/>
      <c r="CX22" s="931"/>
      <c r="CY22" s="931"/>
      <c r="CZ22" s="931"/>
      <c r="DA22" s="931"/>
      <c r="DB22" s="931"/>
      <c r="DC22" s="931"/>
      <c r="DD22" s="931"/>
      <c r="DE22" s="931"/>
      <c r="DF22" s="931"/>
      <c r="DG22" s="931"/>
      <c r="DH22" s="931"/>
      <c r="DI22" s="931"/>
      <c r="DJ22" s="931"/>
      <c r="DK22" s="931"/>
      <c r="DL22" s="931"/>
      <c r="DM22" s="931"/>
      <c r="DN22" s="931"/>
      <c r="DO22" s="931"/>
      <c r="DP22" s="931"/>
      <c r="DQ22" s="931"/>
      <c r="DR22" s="931"/>
      <c r="DS22" s="931"/>
      <c r="DT22" s="931"/>
      <c r="DU22" s="931"/>
      <c r="DV22" s="931"/>
      <c r="DW22" s="931"/>
      <c r="DX22" s="931"/>
      <c r="DY22" s="931"/>
      <c r="DZ22" s="931"/>
      <c r="EA22" s="931"/>
      <c r="EB22" s="931"/>
      <c r="EC22" s="931"/>
      <c r="ED22" s="931"/>
      <c r="EE22" s="931"/>
      <c r="EF22" s="931"/>
      <c r="EG22" s="931"/>
      <c r="EH22" s="931"/>
      <c r="EI22" s="931"/>
      <c r="EJ22" s="931"/>
      <c r="EK22" s="931"/>
      <c r="EL22" s="931"/>
      <c r="EM22" s="931"/>
      <c r="EN22" s="931"/>
      <c r="EO22" s="931"/>
      <c r="EP22" s="931"/>
      <c r="EQ22" s="931"/>
      <c r="ER22" s="931"/>
      <c r="ES22" s="931"/>
      <c r="ET22" s="931"/>
      <c r="EU22" s="931"/>
      <c r="EV22" s="931"/>
      <c r="EW22" s="931"/>
      <c r="EX22" s="931"/>
      <c r="EY22" s="931"/>
      <c r="EZ22" s="931"/>
      <c r="FA22" s="931"/>
      <c r="FB22" s="931"/>
      <c r="FC22" s="931"/>
      <c r="FD22" s="931"/>
      <c r="FE22" s="931"/>
      <c r="FF22" s="931"/>
      <c r="FG22" s="931"/>
      <c r="FH22" s="931"/>
      <c r="FI22" s="931"/>
      <c r="FJ22" s="931"/>
      <c r="FK22" s="931"/>
      <c r="FL22" s="931"/>
      <c r="FM22" s="931"/>
      <c r="FN22" s="931"/>
      <c r="FO22" s="931"/>
      <c r="FP22" s="931"/>
      <c r="FQ22" s="931"/>
      <c r="FR22" s="931"/>
      <c r="FS22" s="931"/>
      <c r="FT22" s="931"/>
      <c r="FU22" s="931"/>
      <c r="FV22" s="931"/>
      <c r="FW22" s="964"/>
      <c r="FX22" s="964"/>
      <c r="FY22" s="964"/>
      <c r="FZ22" s="964"/>
      <c r="GA22" s="964"/>
      <c r="GB22" s="964"/>
      <c r="GC22" s="964"/>
      <c r="GD22" s="964"/>
      <c r="GE22" s="964"/>
      <c r="GF22" s="964"/>
      <c r="GI22" s="912"/>
    </row>
    <row r="23" spans="1:191" s="929" customFormat="1" x14ac:dyDescent="0.2">
      <c r="A23" s="952">
        <f t="shared" ref="A23" si="86">A22+1</f>
        <v>10</v>
      </c>
      <c r="B23" s="952">
        <f t="shared" ref="B23:B33" si="87">B22+1</f>
        <v>3</v>
      </c>
      <c r="C23" s="952" t="s">
        <v>558</v>
      </c>
      <c r="D23" s="952"/>
      <c r="E23" s="952" t="s">
        <v>105</v>
      </c>
      <c r="F23" s="869" t="s">
        <v>106</v>
      </c>
      <c r="G23" s="869" t="s">
        <v>115</v>
      </c>
      <c r="H23" s="869" t="s">
        <v>116</v>
      </c>
      <c r="I23" s="869" t="s">
        <v>109</v>
      </c>
      <c r="J23" s="926">
        <v>57.5</v>
      </c>
      <c r="K23" s="962">
        <v>5.09</v>
      </c>
      <c r="L23" s="962">
        <v>0</v>
      </c>
      <c r="M23" s="926">
        <f t="shared" si="70"/>
        <v>62.59</v>
      </c>
      <c r="N23" s="926"/>
      <c r="O23" s="926"/>
      <c r="P23" s="965"/>
      <c r="Q23" s="926">
        <f t="shared" si="79"/>
        <v>7590000</v>
      </c>
      <c r="R23" s="926">
        <f t="shared" si="80"/>
        <v>335940</v>
      </c>
      <c r="S23" s="926">
        <f t="shared" si="23"/>
        <v>7925940</v>
      </c>
      <c r="T23" s="926"/>
      <c r="U23" s="869">
        <v>1</v>
      </c>
      <c r="V23" s="926">
        <f t="shared" si="81"/>
        <v>31295</v>
      </c>
      <c r="W23" s="926"/>
      <c r="X23" s="954">
        <f t="shared" si="82"/>
        <v>39629.700000000004</v>
      </c>
      <c r="Y23" s="961"/>
      <c r="Z23" s="926">
        <f t="shared" si="83"/>
        <v>62590</v>
      </c>
      <c r="AA23" s="961" t="s">
        <v>114</v>
      </c>
      <c r="AB23" s="961" t="s">
        <v>573</v>
      </c>
      <c r="AC23" s="926">
        <f t="shared" si="84"/>
        <v>133514.70000000001</v>
      </c>
      <c r="AD23" s="926"/>
      <c r="AE23" s="956">
        <f t="shared" si="24"/>
        <v>8059454.7000000002</v>
      </c>
      <c r="AF23" s="956">
        <f t="shared" si="71"/>
        <v>248231.20476000002</v>
      </c>
      <c r="AG23" s="957">
        <f t="shared" si="72"/>
        <v>8307685.9047600003</v>
      </c>
      <c r="AH23" s="919">
        <f t="shared" si="73"/>
        <v>188584.47003805201</v>
      </c>
      <c r="AI23" s="957">
        <f t="shared" si="25"/>
        <v>8496270.374798052</v>
      </c>
      <c r="AJ23" s="919">
        <f t="shared" si="74"/>
        <v>212406.75936995132</v>
      </c>
      <c r="AK23" s="920">
        <f t="shared" si="75"/>
        <v>8708677.1341680028</v>
      </c>
      <c r="AL23" s="919">
        <f t="shared" si="2"/>
        <v>217716.92835420009</v>
      </c>
      <c r="AM23" s="982">
        <f t="shared" si="27"/>
        <v>8926394.0625222027</v>
      </c>
      <c r="AN23" s="919">
        <f t="shared" si="3"/>
        <v>223159.85156305507</v>
      </c>
      <c r="AO23" s="920">
        <f t="shared" si="43"/>
        <v>9149553.9140852578</v>
      </c>
      <c r="AP23" s="919">
        <f t="shared" si="4"/>
        <v>228738.84785213147</v>
      </c>
      <c r="AQ23" s="920">
        <f t="shared" si="5"/>
        <v>9378292.7619373892</v>
      </c>
      <c r="AR23" s="919">
        <f t="shared" si="6"/>
        <v>281348.78285812167</v>
      </c>
      <c r="AS23" s="920">
        <f t="shared" si="7"/>
        <v>9659641.5447955113</v>
      </c>
      <c r="AT23" s="920">
        <f t="shared" si="28"/>
        <v>289789.24634386535</v>
      </c>
      <c r="AU23" s="919">
        <f t="shared" si="8"/>
        <v>386385.66179182049</v>
      </c>
      <c r="AV23" s="919"/>
      <c r="AW23" s="920">
        <f t="shared" si="9"/>
        <v>10046027.206587331</v>
      </c>
      <c r="AX23" s="920">
        <f t="shared" si="29"/>
        <v>301380.81619761995</v>
      </c>
      <c r="AY23" s="919">
        <f t="shared" si="10"/>
        <v>401841.08826349326</v>
      </c>
      <c r="AZ23" s="919"/>
      <c r="BA23" s="920">
        <f t="shared" si="11"/>
        <v>10447868.294850824</v>
      </c>
      <c r="BB23" s="920">
        <f t="shared" si="30"/>
        <v>313436.04884552473</v>
      </c>
      <c r="BC23" s="919">
        <f t="shared" si="12"/>
        <v>417914.73179403297</v>
      </c>
      <c r="BD23" s="919"/>
      <c r="BE23" s="975">
        <f t="shared" si="13"/>
        <v>10865783.026644858</v>
      </c>
      <c r="BF23" s="975">
        <f t="shared" si="31"/>
        <v>325973.49079934572</v>
      </c>
      <c r="BG23" s="919">
        <f t="shared" si="14"/>
        <v>434631.32106579433</v>
      </c>
      <c r="BH23" s="975"/>
      <c r="BI23" s="975">
        <f t="shared" si="15"/>
        <v>11300414.347710652</v>
      </c>
      <c r="BJ23" s="975">
        <f t="shared" si="32"/>
        <v>339012.43043131958</v>
      </c>
      <c r="BK23" s="919">
        <f t="shared" si="16"/>
        <v>452016.5739084261</v>
      </c>
      <c r="BL23" s="975"/>
      <c r="BM23" s="975">
        <f t="shared" si="17"/>
        <v>11752430.921619078</v>
      </c>
      <c r="BN23" s="926">
        <f t="shared" si="18"/>
        <v>881432.31912143086</v>
      </c>
      <c r="BO23" s="926">
        <f t="shared" si="19"/>
        <v>293810.77304047695</v>
      </c>
      <c r="BP23" s="926">
        <f t="shared" si="20"/>
        <v>1410291.7105942892</v>
      </c>
      <c r="BQ23" s="926">
        <f t="shared" si="21"/>
        <v>14337965.724375276</v>
      </c>
      <c r="BR23" s="926">
        <f t="shared" si="22"/>
        <v>229077.57987498443</v>
      </c>
      <c r="BS23" s="963">
        <v>0.15</v>
      </c>
      <c r="BT23" s="954">
        <f t="shared" si="85"/>
        <v>2150694.8586562914</v>
      </c>
      <c r="BU23" s="926">
        <v>50000</v>
      </c>
      <c r="BV23" s="954">
        <f t="shared" si="76"/>
        <v>300099.26552232733</v>
      </c>
      <c r="BW23" s="869">
        <f t="shared" si="35"/>
        <v>7</v>
      </c>
      <c r="BX23" s="954">
        <f t="shared" si="77"/>
        <v>12187270.865718985</v>
      </c>
      <c r="BY23" s="931"/>
      <c r="BZ23" s="959">
        <v>46082</v>
      </c>
      <c r="CA23" s="960">
        <f t="shared" si="37"/>
        <v>7</v>
      </c>
      <c r="CB23" s="960">
        <f t="shared" si="38"/>
        <v>8</v>
      </c>
      <c r="CC23" s="931"/>
      <c r="CD23" s="931"/>
      <c r="CE23" s="931"/>
      <c r="CF23" s="931"/>
      <c r="CG23" s="931"/>
      <c r="CH23" s="931"/>
      <c r="CI23" s="931"/>
      <c r="CJ23" s="931"/>
      <c r="CK23" s="931"/>
      <c r="CL23" s="931"/>
      <c r="CM23" s="931"/>
      <c r="CN23" s="931"/>
      <c r="CO23" s="931"/>
      <c r="CP23" s="931"/>
      <c r="CQ23" s="931"/>
      <c r="CR23" s="931"/>
      <c r="CS23" s="931"/>
      <c r="CT23" s="931"/>
      <c r="CU23" s="931"/>
      <c r="CV23" s="931"/>
      <c r="CW23" s="931"/>
      <c r="CX23" s="931"/>
      <c r="CY23" s="931"/>
      <c r="CZ23" s="931"/>
      <c r="DA23" s="931"/>
      <c r="DB23" s="931"/>
      <c r="DC23" s="931"/>
      <c r="DD23" s="931"/>
      <c r="DE23" s="931"/>
      <c r="DF23" s="931"/>
      <c r="DG23" s="931"/>
      <c r="DH23" s="931"/>
      <c r="DI23" s="931"/>
      <c r="DJ23" s="931"/>
      <c r="DK23" s="931"/>
      <c r="DL23" s="931"/>
      <c r="DM23" s="931"/>
      <c r="DN23" s="931"/>
      <c r="DO23" s="931"/>
      <c r="DP23" s="931"/>
      <c r="DQ23" s="931"/>
      <c r="DR23" s="931"/>
      <c r="DS23" s="931"/>
      <c r="DT23" s="931"/>
      <c r="DU23" s="931"/>
      <c r="DV23" s="931"/>
      <c r="DW23" s="931"/>
      <c r="DX23" s="931"/>
      <c r="DY23" s="931"/>
      <c r="DZ23" s="931"/>
      <c r="EA23" s="931"/>
      <c r="EB23" s="931"/>
      <c r="EC23" s="931"/>
      <c r="ED23" s="931"/>
      <c r="EE23" s="931"/>
      <c r="EF23" s="931"/>
      <c r="EG23" s="931"/>
      <c r="EH23" s="931"/>
      <c r="EI23" s="931"/>
      <c r="EJ23" s="931"/>
      <c r="EK23" s="931"/>
      <c r="EL23" s="931"/>
      <c r="EM23" s="931"/>
      <c r="EN23" s="931"/>
      <c r="EO23" s="931"/>
      <c r="EP23" s="931"/>
      <c r="EQ23" s="931"/>
      <c r="ER23" s="931"/>
      <c r="ES23" s="931"/>
      <c r="ET23" s="931"/>
      <c r="EU23" s="931"/>
      <c r="EV23" s="931"/>
      <c r="EW23" s="931"/>
      <c r="EX23" s="931"/>
      <c r="EY23" s="931"/>
      <c r="EZ23" s="931"/>
      <c r="FA23" s="931"/>
      <c r="FB23" s="931"/>
      <c r="FC23" s="931"/>
      <c r="FD23" s="931"/>
      <c r="FE23" s="931"/>
      <c r="FF23" s="931"/>
      <c r="FG23" s="931"/>
      <c r="FH23" s="931"/>
      <c r="FI23" s="931"/>
      <c r="FJ23" s="931"/>
      <c r="FK23" s="931"/>
      <c r="FL23" s="931"/>
      <c r="FM23" s="931"/>
      <c r="FN23" s="931"/>
      <c r="FO23" s="931"/>
      <c r="FP23" s="931"/>
      <c r="FQ23" s="931"/>
      <c r="FR23" s="931"/>
      <c r="FS23" s="931"/>
      <c r="FT23" s="931"/>
      <c r="FU23" s="931"/>
      <c r="FV23" s="931"/>
      <c r="FW23" s="964"/>
      <c r="FX23" s="964"/>
      <c r="FY23" s="964"/>
      <c r="FZ23" s="964"/>
      <c r="GA23" s="964"/>
      <c r="GB23" s="964"/>
      <c r="GC23" s="964"/>
      <c r="GD23" s="964"/>
      <c r="GE23" s="964"/>
      <c r="GF23" s="964"/>
      <c r="GI23" s="912"/>
    </row>
    <row r="24" spans="1:191" s="929" customFormat="1" x14ac:dyDescent="0.2">
      <c r="A24" s="952">
        <f t="shared" ref="A24" si="88">A23+1</f>
        <v>11</v>
      </c>
      <c r="B24" s="952">
        <f t="shared" si="87"/>
        <v>4</v>
      </c>
      <c r="C24" s="952" t="s">
        <v>104</v>
      </c>
      <c r="D24" s="952"/>
      <c r="E24" s="952" t="s">
        <v>105</v>
      </c>
      <c r="F24" s="869" t="s">
        <v>106</v>
      </c>
      <c r="G24" s="869" t="s">
        <v>117</v>
      </c>
      <c r="H24" s="869" t="s">
        <v>118</v>
      </c>
      <c r="I24" s="869" t="s">
        <v>109</v>
      </c>
      <c r="J24" s="926">
        <v>62.11</v>
      </c>
      <c r="K24" s="962">
        <v>5.19</v>
      </c>
      <c r="L24" s="962">
        <v>0</v>
      </c>
      <c r="M24" s="926">
        <f t="shared" si="70"/>
        <v>67.3</v>
      </c>
      <c r="N24" s="926"/>
      <c r="O24" s="926"/>
      <c r="P24" s="965"/>
      <c r="Q24" s="926">
        <f t="shared" si="79"/>
        <v>8198520</v>
      </c>
      <c r="R24" s="926">
        <f t="shared" si="80"/>
        <v>342540</v>
      </c>
      <c r="S24" s="926">
        <f t="shared" si="23"/>
        <v>8541060</v>
      </c>
      <c r="T24" s="926"/>
      <c r="U24" s="869">
        <v>1</v>
      </c>
      <c r="V24" s="926">
        <f t="shared" si="81"/>
        <v>33650</v>
      </c>
      <c r="W24" s="926"/>
      <c r="X24" s="954">
        <f t="shared" si="82"/>
        <v>42705.3</v>
      </c>
      <c r="Y24" s="961"/>
      <c r="Z24" s="926">
        <f t="shared" si="83"/>
        <v>67300</v>
      </c>
      <c r="AA24" s="961" t="s">
        <v>114</v>
      </c>
      <c r="AB24" s="961" t="s">
        <v>573</v>
      </c>
      <c r="AC24" s="926">
        <f t="shared" si="84"/>
        <v>143655.29999999999</v>
      </c>
      <c r="AD24" s="926"/>
      <c r="AE24" s="956">
        <f t="shared" si="24"/>
        <v>8684715.3000000007</v>
      </c>
      <c r="AF24" s="956">
        <f t="shared" si="71"/>
        <v>267489.23124000005</v>
      </c>
      <c r="AG24" s="957">
        <f t="shared" si="72"/>
        <v>8952204.5312400013</v>
      </c>
      <c r="AH24" s="919">
        <f t="shared" si="73"/>
        <v>203215.04285914803</v>
      </c>
      <c r="AI24" s="957">
        <f t="shared" si="25"/>
        <v>9155419.5740991496</v>
      </c>
      <c r="AJ24" s="919">
        <f t="shared" si="74"/>
        <v>228885.48935247876</v>
      </c>
      <c r="AK24" s="920">
        <f t="shared" si="75"/>
        <v>9384305.0634516291</v>
      </c>
      <c r="AL24" s="919">
        <f t="shared" si="2"/>
        <v>234607.62658629075</v>
      </c>
      <c r="AM24" s="920">
        <f t="shared" si="27"/>
        <v>9618912.6900379192</v>
      </c>
      <c r="AN24" s="919">
        <f t="shared" si="3"/>
        <v>240472.81725094799</v>
      </c>
      <c r="AO24" s="920">
        <f t="shared" si="43"/>
        <v>9859385.5072888676</v>
      </c>
      <c r="AP24" s="919">
        <f t="shared" si="4"/>
        <v>246484.63768222171</v>
      </c>
      <c r="AQ24" s="920">
        <f t="shared" si="5"/>
        <v>10105870.144971089</v>
      </c>
      <c r="AR24" s="919">
        <f t="shared" si="6"/>
        <v>303176.10434913269</v>
      </c>
      <c r="AS24" s="920">
        <f t="shared" si="7"/>
        <v>10409046.249320222</v>
      </c>
      <c r="AT24" s="920">
        <f t="shared" si="28"/>
        <v>312271.38747960667</v>
      </c>
      <c r="AU24" s="919">
        <f t="shared" si="8"/>
        <v>416361.84997280891</v>
      </c>
      <c r="AV24" s="919"/>
      <c r="AW24" s="920">
        <f t="shared" si="9"/>
        <v>10825408.099293031</v>
      </c>
      <c r="AX24" s="920">
        <f t="shared" si="29"/>
        <v>324762.24297879089</v>
      </c>
      <c r="AY24" s="919">
        <f t="shared" si="10"/>
        <v>433016.32397172123</v>
      </c>
      <c r="AZ24" s="919"/>
      <c r="BA24" s="920">
        <f t="shared" si="11"/>
        <v>11258424.423264751</v>
      </c>
      <c r="BB24" s="920">
        <f t="shared" si="30"/>
        <v>337752.73269794253</v>
      </c>
      <c r="BC24" s="919">
        <f t="shared" si="12"/>
        <v>450336.97693059006</v>
      </c>
      <c r="BD24" s="919"/>
      <c r="BE24" s="975">
        <f t="shared" si="13"/>
        <v>11708761.400195342</v>
      </c>
      <c r="BF24" s="975">
        <f t="shared" si="31"/>
        <v>351262.84200586024</v>
      </c>
      <c r="BG24" s="919">
        <f t="shared" si="14"/>
        <v>468350.45600781369</v>
      </c>
      <c r="BH24" s="975"/>
      <c r="BI24" s="975">
        <f t="shared" si="15"/>
        <v>12177111.856203156</v>
      </c>
      <c r="BJ24" s="975">
        <f t="shared" si="32"/>
        <v>365313.35568609467</v>
      </c>
      <c r="BK24" s="919">
        <f t="shared" si="16"/>
        <v>487084.47424812621</v>
      </c>
      <c r="BL24" s="975">
        <f>BK24-BJ24</f>
        <v>121771.11856203154</v>
      </c>
      <c r="BM24" s="975">
        <f t="shared" si="17"/>
        <v>12664196.330451282</v>
      </c>
      <c r="BN24" s="926">
        <f t="shared" si="18"/>
        <v>949814.72478384606</v>
      </c>
      <c r="BO24" s="926">
        <f t="shared" si="19"/>
        <v>316604.90826128208</v>
      </c>
      <c r="BP24" s="926">
        <f t="shared" si="20"/>
        <v>1519703.5596541537</v>
      </c>
      <c r="BQ24" s="926">
        <f t="shared" si="21"/>
        <v>15450319.523150563</v>
      </c>
      <c r="BR24" s="926">
        <f t="shared" si="22"/>
        <v>229573.84135439174</v>
      </c>
      <c r="BS24" s="963">
        <v>0.15</v>
      </c>
      <c r="BT24" s="954">
        <f t="shared" si="85"/>
        <v>2317547.9284725846</v>
      </c>
      <c r="BU24" s="926">
        <v>50000</v>
      </c>
      <c r="BV24" s="954">
        <f t="shared" si="76"/>
        <v>323935.41835322639</v>
      </c>
      <c r="BW24" s="869">
        <f t="shared" si="35"/>
        <v>7</v>
      </c>
      <c r="BX24" s="954">
        <f t="shared" si="77"/>
        <v>13132771.594677979</v>
      </c>
      <c r="BY24" s="931"/>
      <c r="BZ24" s="959">
        <v>46082</v>
      </c>
      <c r="CA24" s="960">
        <f t="shared" si="37"/>
        <v>7</v>
      </c>
      <c r="CB24" s="960">
        <f t="shared" si="38"/>
        <v>8</v>
      </c>
      <c r="CC24" s="931"/>
      <c r="CD24" s="931"/>
      <c r="CE24" s="931"/>
      <c r="CF24" s="931"/>
      <c r="CG24" s="931"/>
      <c r="CH24" s="931"/>
      <c r="CI24" s="931"/>
      <c r="CJ24" s="931"/>
      <c r="CK24" s="931"/>
      <c r="CL24" s="931"/>
      <c r="CM24" s="931"/>
      <c r="CN24" s="931"/>
      <c r="CO24" s="931"/>
      <c r="CP24" s="931"/>
      <c r="CQ24" s="931"/>
      <c r="CR24" s="931"/>
      <c r="CS24" s="931"/>
      <c r="CT24" s="931"/>
      <c r="CU24" s="931"/>
      <c r="CV24" s="931"/>
      <c r="CW24" s="931"/>
      <c r="CX24" s="931"/>
      <c r="CY24" s="931"/>
      <c r="CZ24" s="931"/>
      <c r="DA24" s="931"/>
      <c r="DB24" s="931"/>
      <c r="DC24" s="931"/>
      <c r="DD24" s="931"/>
      <c r="DE24" s="931"/>
      <c r="DF24" s="931"/>
      <c r="DG24" s="931"/>
      <c r="DH24" s="931"/>
      <c r="DI24" s="931"/>
      <c r="DJ24" s="931"/>
      <c r="DK24" s="931"/>
      <c r="DL24" s="931"/>
      <c r="DM24" s="931"/>
      <c r="DN24" s="931"/>
      <c r="DO24" s="931"/>
      <c r="DP24" s="931"/>
      <c r="DQ24" s="931"/>
      <c r="DR24" s="931"/>
      <c r="DS24" s="931"/>
      <c r="DT24" s="931"/>
      <c r="DU24" s="931"/>
      <c r="DV24" s="931"/>
      <c r="DW24" s="931"/>
      <c r="DX24" s="931"/>
      <c r="DY24" s="931"/>
      <c r="DZ24" s="931"/>
      <c r="EA24" s="931"/>
      <c r="EB24" s="931"/>
      <c r="EC24" s="931"/>
      <c r="ED24" s="931"/>
      <c r="EE24" s="931"/>
      <c r="EF24" s="931"/>
      <c r="EG24" s="931"/>
      <c r="EH24" s="931"/>
      <c r="EI24" s="931"/>
      <c r="EJ24" s="931"/>
      <c r="EK24" s="931"/>
      <c r="EL24" s="931"/>
      <c r="EM24" s="931"/>
      <c r="EN24" s="931"/>
      <c r="EO24" s="931"/>
      <c r="EP24" s="931"/>
      <c r="EQ24" s="931"/>
      <c r="ER24" s="931"/>
      <c r="ES24" s="931"/>
      <c r="ET24" s="931"/>
      <c r="EU24" s="931"/>
      <c r="EV24" s="931"/>
      <c r="EW24" s="931"/>
      <c r="EX24" s="931"/>
      <c r="EY24" s="931"/>
      <c r="EZ24" s="931"/>
      <c r="FA24" s="931"/>
      <c r="FB24" s="931"/>
      <c r="FC24" s="931"/>
      <c r="FD24" s="931"/>
      <c r="FE24" s="931"/>
      <c r="FF24" s="931"/>
      <c r="FG24" s="931"/>
      <c r="FH24" s="931"/>
      <c r="FI24" s="931"/>
      <c r="FJ24" s="931"/>
      <c r="FK24" s="931"/>
      <c r="FL24" s="931"/>
      <c r="FM24" s="931"/>
      <c r="FN24" s="931"/>
      <c r="FO24" s="931"/>
      <c r="FP24" s="931"/>
      <c r="FQ24" s="931"/>
      <c r="FR24" s="931"/>
      <c r="FS24" s="931"/>
      <c r="FT24" s="931"/>
      <c r="FU24" s="931"/>
      <c r="FV24" s="931"/>
      <c r="FW24" s="964"/>
      <c r="FX24" s="964"/>
      <c r="FY24" s="964"/>
      <c r="FZ24" s="964"/>
      <c r="GA24" s="964"/>
      <c r="GB24" s="964"/>
      <c r="GC24" s="964"/>
      <c r="GD24" s="964"/>
      <c r="GE24" s="964"/>
      <c r="GF24" s="964"/>
      <c r="GI24" s="912"/>
    </row>
    <row r="25" spans="1:191" s="929" customFormat="1" x14ac:dyDescent="0.2">
      <c r="A25" s="952">
        <f t="shared" si="39"/>
        <v>12</v>
      </c>
      <c r="B25" s="952">
        <f t="shared" si="87"/>
        <v>5</v>
      </c>
      <c r="C25" s="952" t="s">
        <v>558</v>
      </c>
      <c r="D25" s="952"/>
      <c r="E25" s="952" t="s">
        <v>105</v>
      </c>
      <c r="F25" s="869" t="s">
        <v>106</v>
      </c>
      <c r="G25" s="869" t="s">
        <v>119</v>
      </c>
      <c r="H25" s="869" t="s">
        <v>120</v>
      </c>
      <c r="I25" s="869" t="s">
        <v>109</v>
      </c>
      <c r="J25" s="926">
        <v>80.900000000000006</v>
      </c>
      <c r="K25" s="962">
        <v>15.65</v>
      </c>
      <c r="L25" s="962">
        <v>0</v>
      </c>
      <c r="M25" s="926">
        <f t="shared" si="70"/>
        <v>96.550000000000011</v>
      </c>
      <c r="N25" s="926"/>
      <c r="O25" s="926"/>
      <c r="P25" s="965"/>
      <c r="Q25" s="926">
        <f t="shared" si="79"/>
        <v>10678800</v>
      </c>
      <c r="R25" s="926">
        <f t="shared" si="80"/>
        <v>1032900</v>
      </c>
      <c r="S25" s="926">
        <f t="shared" si="23"/>
        <v>11711700</v>
      </c>
      <c r="T25" s="926"/>
      <c r="U25" s="869">
        <v>1</v>
      </c>
      <c r="V25" s="926">
        <f t="shared" si="81"/>
        <v>48275.000000000007</v>
      </c>
      <c r="W25" s="926"/>
      <c r="X25" s="954">
        <f t="shared" si="82"/>
        <v>58558.5</v>
      </c>
      <c r="Y25" s="926">
        <f>M25*$Y$5</f>
        <v>193100.00000000003</v>
      </c>
      <c r="Z25" s="926">
        <f t="shared" si="83"/>
        <v>96550.000000000015</v>
      </c>
      <c r="AA25" s="961" t="s">
        <v>110</v>
      </c>
      <c r="AB25" s="961" t="s">
        <v>573</v>
      </c>
      <c r="AC25" s="926">
        <f t="shared" si="84"/>
        <v>396483.5</v>
      </c>
      <c r="AD25" s="926"/>
      <c r="AE25" s="956">
        <f t="shared" si="24"/>
        <v>12108183.5</v>
      </c>
      <c r="AF25" s="956">
        <f t="shared" si="71"/>
        <v>372932.05180000002</v>
      </c>
      <c r="AG25" s="957">
        <f t="shared" si="72"/>
        <v>12481115.5518</v>
      </c>
      <c r="AH25" s="919">
        <f t="shared" si="73"/>
        <v>283321.32302586001</v>
      </c>
      <c r="AI25" s="957">
        <f t="shared" si="25"/>
        <v>12764436.874825859</v>
      </c>
      <c r="AJ25" s="919">
        <f t="shared" si="74"/>
        <v>319110.92187064653</v>
      </c>
      <c r="AK25" s="920">
        <f t="shared" si="75"/>
        <v>13083547.796696506</v>
      </c>
      <c r="AL25" s="919">
        <f t="shared" si="2"/>
        <v>327088.69491741271</v>
      </c>
      <c r="AM25" s="982">
        <f t="shared" si="27"/>
        <v>13410636.491613919</v>
      </c>
      <c r="AN25" s="919">
        <f t="shared" si="3"/>
        <v>335265.91229034797</v>
      </c>
      <c r="AO25" s="920">
        <f t="shared" si="43"/>
        <v>13745902.403904267</v>
      </c>
      <c r="AP25" s="919">
        <f t="shared" si="4"/>
        <v>343647.56009760668</v>
      </c>
      <c r="AQ25" s="920">
        <f t="shared" si="5"/>
        <v>14089549.964001874</v>
      </c>
      <c r="AR25" s="919">
        <f t="shared" si="6"/>
        <v>422686.49892005621</v>
      </c>
      <c r="AS25" s="920">
        <f t="shared" si="7"/>
        <v>14512236.46292193</v>
      </c>
      <c r="AT25" s="920">
        <f t="shared" si="28"/>
        <v>435367.09388765792</v>
      </c>
      <c r="AU25" s="919">
        <f t="shared" si="8"/>
        <v>580489.45851687726</v>
      </c>
      <c r="AV25" s="919"/>
      <c r="AW25" s="920">
        <f t="shared" si="9"/>
        <v>15092725.921438808</v>
      </c>
      <c r="AX25" s="920">
        <f t="shared" si="29"/>
        <v>452781.77764316421</v>
      </c>
      <c r="AY25" s="919">
        <f t="shared" si="10"/>
        <v>603709.03685755236</v>
      </c>
      <c r="AZ25" s="919"/>
      <c r="BA25" s="920">
        <f t="shared" si="11"/>
        <v>15696434.95829636</v>
      </c>
      <c r="BB25" s="920">
        <f t="shared" si="30"/>
        <v>470893.04874889081</v>
      </c>
      <c r="BC25" s="919">
        <f t="shared" si="12"/>
        <v>627857.39833185438</v>
      </c>
      <c r="BD25" s="919"/>
      <c r="BE25" s="975">
        <f t="shared" si="13"/>
        <v>16324292.356628215</v>
      </c>
      <c r="BF25" s="975">
        <f t="shared" si="31"/>
        <v>489728.77069884643</v>
      </c>
      <c r="BG25" s="919">
        <f t="shared" si="14"/>
        <v>652971.69426512858</v>
      </c>
      <c r="BH25" s="975"/>
      <c r="BI25" s="975">
        <f t="shared" si="15"/>
        <v>16977264.050893344</v>
      </c>
      <c r="BJ25" s="975">
        <f t="shared" si="32"/>
        <v>509317.92152680032</v>
      </c>
      <c r="BK25" s="919">
        <f t="shared" si="16"/>
        <v>679090.56203573372</v>
      </c>
      <c r="BL25" s="975"/>
      <c r="BM25" s="975">
        <f t="shared" si="17"/>
        <v>17656354.612929076</v>
      </c>
      <c r="BN25" s="926">
        <f t="shared" si="18"/>
        <v>1324226.5959696807</v>
      </c>
      <c r="BO25" s="926">
        <f t="shared" si="19"/>
        <v>441408.8653232269</v>
      </c>
      <c r="BP25" s="926">
        <f t="shared" si="20"/>
        <v>2118762.553551489</v>
      </c>
      <c r="BQ25" s="926">
        <f t="shared" si="21"/>
        <v>21540752.627773471</v>
      </c>
      <c r="BR25" s="926">
        <f t="shared" si="22"/>
        <v>223104.63622758642</v>
      </c>
      <c r="BS25" s="963">
        <v>0.15</v>
      </c>
      <c r="BT25" s="954">
        <f t="shared" si="85"/>
        <v>3231112.8941660207</v>
      </c>
      <c r="BU25" s="926">
        <v>50000</v>
      </c>
      <c r="BV25" s="954">
        <f t="shared" si="76"/>
        <v>454444.6991665744</v>
      </c>
      <c r="BW25" s="869">
        <f t="shared" si="35"/>
        <v>7</v>
      </c>
      <c r="BX25" s="954">
        <f t="shared" si="77"/>
        <v>18309639.733607449</v>
      </c>
      <c r="BY25" s="931"/>
      <c r="BZ25" s="959">
        <v>46082</v>
      </c>
      <c r="CA25" s="960">
        <f t="shared" si="37"/>
        <v>7</v>
      </c>
      <c r="CB25" s="960">
        <f t="shared" si="38"/>
        <v>8</v>
      </c>
      <c r="CC25" s="931"/>
      <c r="CD25" s="931"/>
      <c r="CE25" s="931"/>
      <c r="CF25" s="931"/>
      <c r="CG25" s="931"/>
      <c r="CH25" s="931"/>
      <c r="CI25" s="931"/>
      <c r="CJ25" s="931"/>
      <c r="CK25" s="931"/>
      <c r="CL25" s="931"/>
      <c r="CM25" s="931"/>
      <c r="CN25" s="931"/>
      <c r="CO25" s="931"/>
      <c r="CP25" s="931"/>
      <c r="CQ25" s="931"/>
      <c r="CR25" s="931"/>
      <c r="CS25" s="931"/>
      <c r="CT25" s="931"/>
      <c r="CU25" s="931"/>
      <c r="CV25" s="931"/>
      <c r="CW25" s="931"/>
      <c r="CX25" s="931"/>
      <c r="CY25" s="931"/>
      <c r="CZ25" s="931"/>
      <c r="DA25" s="931"/>
      <c r="DB25" s="931"/>
      <c r="DC25" s="931"/>
      <c r="DD25" s="931"/>
      <c r="DE25" s="931"/>
      <c r="DF25" s="931"/>
      <c r="DG25" s="931"/>
      <c r="DH25" s="931"/>
      <c r="DI25" s="931"/>
      <c r="DJ25" s="931"/>
      <c r="DK25" s="931"/>
      <c r="DL25" s="931"/>
      <c r="DM25" s="931"/>
      <c r="DN25" s="931"/>
      <c r="DO25" s="931"/>
      <c r="DP25" s="931"/>
      <c r="DQ25" s="931"/>
      <c r="DR25" s="931"/>
      <c r="DS25" s="931"/>
      <c r="DT25" s="931"/>
      <c r="DU25" s="931"/>
      <c r="DV25" s="931"/>
      <c r="DW25" s="931"/>
      <c r="DX25" s="931"/>
      <c r="DY25" s="931"/>
      <c r="DZ25" s="931"/>
      <c r="EA25" s="931"/>
      <c r="EB25" s="931"/>
      <c r="EC25" s="931"/>
      <c r="ED25" s="931"/>
      <c r="EE25" s="931"/>
      <c r="EF25" s="931"/>
      <c r="EG25" s="931"/>
      <c r="EH25" s="931"/>
      <c r="EI25" s="931"/>
      <c r="EJ25" s="931"/>
      <c r="EK25" s="931"/>
      <c r="EL25" s="931"/>
      <c r="EM25" s="931"/>
      <c r="EN25" s="931"/>
      <c r="EO25" s="931"/>
      <c r="EP25" s="931"/>
      <c r="EQ25" s="931"/>
      <c r="ER25" s="931"/>
      <c r="ES25" s="931"/>
      <c r="ET25" s="931"/>
      <c r="EU25" s="931"/>
      <c r="EV25" s="931"/>
      <c r="EW25" s="931"/>
      <c r="EX25" s="931"/>
      <c r="EY25" s="931"/>
      <c r="EZ25" s="931"/>
      <c r="FA25" s="931"/>
      <c r="FB25" s="931"/>
      <c r="FC25" s="931"/>
      <c r="FD25" s="931"/>
      <c r="FE25" s="931"/>
      <c r="FF25" s="931"/>
      <c r="FG25" s="931"/>
      <c r="FH25" s="931"/>
      <c r="FI25" s="931"/>
      <c r="FJ25" s="931"/>
      <c r="FK25" s="931"/>
      <c r="FL25" s="931"/>
      <c r="FM25" s="931"/>
      <c r="FN25" s="931"/>
      <c r="FO25" s="931"/>
      <c r="FP25" s="931"/>
      <c r="FQ25" s="931"/>
      <c r="FR25" s="931"/>
      <c r="FS25" s="931"/>
      <c r="FT25" s="931"/>
      <c r="FU25" s="931"/>
      <c r="FV25" s="931"/>
      <c r="FW25" s="964"/>
      <c r="FX25" s="964"/>
      <c r="FY25" s="964"/>
      <c r="FZ25" s="964"/>
      <c r="GA25" s="964"/>
      <c r="GB25" s="964"/>
      <c r="GC25" s="964"/>
      <c r="GD25" s="964"/>
      <c r="GE25" s="964"/>
      <c r="GF25" s="964"/>
      <c r="GI25" s="912"/>
    </row>
    <row r="26" spans="1:191" s="929" customFormat="1" x14ac:dyDescent="0.2">
      <c r="A26" s="952">
        <f t="shared" si="39"/>
        <v>13</v>
      </c>
      <c r="B26" s="952">
        <f t="shared" si="87"/>
        <v>6</v>
      </c>
      <c r="C26" s="952" t="s">
        <v>558</v>
      </c>
      <c r="D26" s="952"/>
      <c r="E26" s="952" t="s">
        <v>105</v>
      </c>
      <c r="F26" s="869" t="s">
        <v>106</v>
      </c>
      <c r="G26" s="869" t="s">
        <v>121</v>
      </c>
      <c r="H26" s="869" t="s">
        <v>122</v>
      </c>
      <c r="I26" s="869" t="s">
        <v>109</v>
      </c>
      <c r="J26" s="926">
        <v>61.56</v>
      </c>
      <c r="K26" s="962">
        <v>4.0999999999999996</v>
      </c>
      <c r="L26" s="962">
        <v>0</v>
      </c>
      <c r="M26" s="926">
        <f t="shared" si="70"/>
        <v>65.66</v>
      </c>
      <c r="N26" s="926"/>
      <c r="O26" s="926"/>
      <c r="P26" s="965"/>
      <c r="Q26" s="926">
        <f t="shared" si="79"/>
        <v>8125920</v>
      </c>
      <c r="R26" s="926">
        <f t="shared" si="80"/>
        <v>270600</v>
      </c>
      <c r="S26" s="926">
        <f t="shared" si="23"/>
        <v>8396520</v>
      </c>
      <c r="T26" s="926"/>
      <c r="U26" s="869">
        <v>1</v>
      </c>
      <c r="V26" s="926">
        <f t="shared" si="81"/>
        <v>32830</v>
      </c>
      <c r="W26" s="926"/>
      <c r="X26" s="954">
        <f t="shared" si="82"/>
        <v>41982.6</v>
      </c>
      <c r="Y26" s="961"/>
      <c r="Z26" s="926"/>
      <c r="AA26" s="961" t="s">
        <v>114</v>
      </c>
      <c r="AB26" s="961"/>
      <c r="AC26" s="926">
        <f t="shared" si="84"/>
        <v>74812.600000000006</v>
      </c>
      <c r="AD26" s="926"/>
      <c r="AE26" s="956">
        <f t="shared" si="24"/>
        <v>8471332.5999999996</v>
      </c>
      <c r="AF26" s="956">
        <f t="shared" si="71"/>
        <v>260917.04407999999</v>
      </c>
      <c r="AG26" s="957">
        <f t="shared" si="72"/>
        <v>8732249.64408</v>
      </c>
      <c r="AH26" s="919">
        <f t="shared" si="73"/>
        <v>198222.06692061602</v>
      </c>
      <c r="AI26" s="957">
        <f t="shared" si="25"/>
        <v>8930471.7110006157</v>
      </c>
      <c r="AJ26" s="919">
        <f t="shared" si="74"/>
        <v>223261.7927750154</v>
      </c>
      <c r="AK26" s="920">
        <f t="shared" si="75"/>
        <v>9153733.503775632</v>
      </c>
      <c r="AL26" s="919">
        <f t="shared" si="2"/>
        <v>228843.33759439082</v>
      </c>
      <c r="AM26" s="982">
        <f t="shared" si="27"/>
        <v>9382576.8413700219</v>
      </c>
      <c r="AN26" s="919">
        <f t="shared" si="3"/>
        <v>234564.42103425055</v>
      </c>
      <c r="AO26" s="920">
        <f t="shared" si="43"/>
        <v>9617141.2624042723</v>
      </c>
      <c r="AP26" s="919">
        <f t="shared" si="4"/>
        <v>240428.53156010681</v>
      </c>
      <c r="AQ26" s="920">
        <f t="shared" si="5"/>
        <v>9857569.7939643785</v>
      </c>
      <c r="AR26" s="919">
        <f t="shared" si="6"/>
        <v>295727.09381893132</v>
      </c>
      <c r="AS26" s="920">
        <f t="shared" si="7"/>
        <v>10153296.887783309</v>
      </c>
      <c r="AT26" s="920">
        <f t="shared" si="28"/>
        <v>304598.90663349925</v>
      </c>
      <c r="AU26" s="919">
        <f t="shared" si="8"/>
        <v>406131.87551133242</v>
      </c>
      <c r="AV26" s="919"/>
      <c r="AW26" s="920">
        <f t="shared" si="9"/>
        <v>10559428.763294641</v>
      </c>
      <c r="AX26" s="920">
        <f t="shared" si="29"/>
        <v>316782.86289883923</v>
      </c>
      <c r="AY26" s="919">
        <f t="shared" si="10"/>
        <v>422377.15053178562</v>
      </c>
      <c r="AZ26" s="919"/>
      <c r="BA26" s="920">
        <f t="shared" si="11"/>
        <v>10981805.913826426</v>
      </c>
      <c r="BB26" s="920">
        <f t="shared" si="30"/>
        <v>329454.17741479276</v>
      </c>
      <c r="BC26" s="919">
        <f t="shared" si="12"/>
        <v>439272.2365530571</v>
      </c>
      <c r="BD26" s="919"/>
      <c r="BE26" s="975">
        <f t="shared" si="13"/>
        <v>11421078.150379483</v>
      </c>
      <c r="BF26" s="975">
        <f t="shared" si="31"/>
        <v>342632.34451138449</v>
      </c>
      <c r="BG26" s="919">
        <f t="shared" si="14"/>
        <v>456843.12601517932</v>
      </c>
      <c r="BH26" s="975"/>
      <c r="BI26" s="975">
        <f t="shared" si="15"/>
        <v>11877921.276394662</v>
      </c>
      <c r="BJ26" s="975">
        <f t="shared" si="32"/>
        <v>356337.63829183986</v>
      </c>
      <c r="BK26" s="919">
        <f t="shared" si="16"/>
        <v>475116.85105578648</v>
      </c>
      <c r="BL26" s="975"/>
      <c r="BM26" s="975">
        <f t="shared" si="17"/>
        <v>12353038.127450448</v>
      </c>
      <c r="BN26" s="926">
        <f t="shared" si="18"/>
        <v>926477.85955878359</v>
      </c>
      <c r="BO26" s="926">
        <f t="shared" si="19"/>
        <v>308825.95318626118</v>
      </c>
      <c r="BP26" s="926">
        <f t="shared" si="20"/>
        <v>1482364.5752940536</v>
      </c>
      <c r="BQ26" s="926">
        <f t="shared" si="21"/>
        <v>15070706.515489545</v>
      </c>
      <c r="BR26" s="926">
        <f t="shared" si="22"/>
        <v>229526.44708330103</v>
      </c>
      <c r="BS26" s="963">
        <v>0.15</v>
      </c>
      <c r="BT26" s="954">
        <f t="shared" si="85"/>
        <v>2260605.9773234315</v>
      </c>
      <c r="BU26" s="926">
        <v>50000</v>
      </c>
      <c r="BV26" s="954">
        <f t="shared" si="76"/>
        <v>315800.85390334734</v>
      </c>
      <c r="BW26" s="869">
        <f t="shared" si="35"/>
        <v>7</v>
      </c>
      <c r="BX26" s="954">
        <f t="shared" si="77"/>
        <v>12810100.538166113</v>
      </c>
      <c r="BY26" s="931"/>
      <c r="BZ26" s="959">
        <v>46082</v>
      </c>
      <c r="CA26" s="960">
        <f t="shared" si="37"/>
        <v>7</v>
      </c>
      <c r="CB26" s="960">
        <f t="shared" si="38"/>
        <v>8</v>
      </c>
      <c r="CC26" s="931"/>
      <c r="CD26" s="931"/>
      <c r="CE26" s="931"/>
      <c r="CF26" s="931"/>
      <c r="CG26" s="931"/>
      <c r="CH26" s="931"/>
      <c r="CI26" s="931"/>
      <c r="CJ26" s="931"/>
      <c r="CK26" s="931"/>
      <c r="CL26" s="931"/>
      <c r="CM26" s="931"/>
      <c r="CN26" s="931"/>
      <c r="CO26" s="931"/>
      <c r="CP26" s="931"/>
      <c r="CQ26" s="931"/>
      <c r="CR26" s="931"/>
      <c r="CS26" s="931"/>
      <c r="CT26" s="931"/>
      <c r="CU26" s="931"/>
      <c r="CV26" s="931"/>
      <c r="CW26" s="931"/>
      <c r="CX26" s="931"/>
      <c r="CY26" s="931"/>
      <c r="CZ26" s="931"/>
      <c r="DA26" s="931"/>
      <c r="DB26" s="931"/>
      <c r="DC26" s="931"/>
      <c r="DD26" s="931"/>
      <c r="DE26" s="931"/>
      <c r="DF26" s="931"/>
      <c r="DG26" s="931"/>
      <c r="DH26" s="931"/>
      <c r="DI26" s="931"/>
      <c r="DJ26" s="931"/>
      <c r="DK26" s="931"/>
      <c r="DL26" s="931"/>
      <c r="DM26" s="931"/>
      <c r="DN26" s="931"/>
      <c r="DO26" s="931"/>
      <c r="DP26" s="931"/>
      <c r="DQ26" s="931"/>
      <c r="DR26" s="931"/>
      <c r="DS26" s="931"/>
      <c r="DT26" s="931"/>
      <c r="DU26" s="931"/>
      <c r="DV26" s="931"/>
      <c r="DW26" s="931"/>
      <c r="DX26" s="931"/>
      <c r="DY26" s="931"/>
      <c r="DZ26" s="931"/>
      <c r="EA26" s="931"/>
      <c r="EB26" s="931"/>
      <c r="EC26" s="931"/>
      <c r="ED26" s="931"/>
      <c r="EE26" s="931"/>
      <c r="EF26" s="931"/>
      <c r="EG26" s="931"/>
      <c r="EH26" s="931"/>
      <c r="EI26" s="931"/>
      <c r="EJ26" s="931"/>
      <c r="EK26" s="931"/>
      <c r="EL26" s="931"/>
      <c r="EM26" s="931"/>
      <c r="EN26" s="931"/>
      <c r="EO26" s="931"/>
      <c r="EP26" s="931"/>
      <c r="EQ26" s="931"/>
      <c r="ER26" s="931"/>
      <c r="ES26" s="931"/>
      <c r="ET26" s="931"/>
      <c r="EU26" s="931"/>
      <c r="EV26" s="931"/>
      <c r="EW26" s="931"/>
      <c r="EX26" s="931"/>
      <c r="EY26" s="931"/>
      <c r="EZ26" s="931"/>
      <c r="FA26" s="931"/>
      <c r="FB26" s="931"/>
      <c r="FC26" s="931"/>
      <c r="FD26" s="931"/>
      <c r="FE26" s="931"/>
      <c r="FF26" s="931"/>
      <c r="FG26" s="931"/>
      <c r="FH26" s="931"/>
      <c r="FI26" s="931"/>
      <c r="FJ26" s="931"/>
      <c r="FK26" s="931"/>
      <c r="FL26" s="931"/>
      <c r="FM26" s="931"/>
      <c r="FN26" s="931"/>
      <c r="FO26" s="931"/>
      <c r="FP26" s="931"/>
      <c r="FQ26" s="931"/>
      <c r="FR26" s="931"/>
      <c r="FS26" s="931"/>
      <c r="FT26" s="931"/>
      <c r="FU26" s="931"/>
      <c r="FV26" s="931"/>
      <c r="FW26" s="964"/>
      <c r="FX26" s="964"/>
      <c r="FY26" s="964"/>
      <c r="FZ26" s="964"/>
      <c r="GA26" s="964"/>
      <c r="GB26" s="964"/>
      <c r="GC26" s="964"/>
      <c r="GD26" s="964"/>
      <c r="GE26" s="964"/>
      <c r="GF26" s="964"/>
      <c r="GI26" s="912"/>
    </row>
    <row r="27" spans="1:191" s="929" customFormat="1" x14ac:dyDescent="0.2">
      <c r="A27" s="952">
        <f t="shared" si="39"/>
        <v>14</v>
      </c>
      <c r="B27" s="952">
        <f t="shared" si="87"/>
        <v>7</v>
      </c>
      <c r="C27" s="952" t="s">
        <v>558</v>
      </c>
      <c r="D27" s="952"/>
      <c r="E27" s="952" t="s">
        <v>105</v>
      </c>
      <c r="F27" s="869" t="s">
        <v>106</v>
      </c>
      <c r="G27" s="869" t="s">
        <v>123</v>
      </c>
      <c r="H27" s="869" t="s">
        <v>124</v>
      </c>
      <c r="I27" s="869" t="s">
        <v>109</v>
      </c>
      <c r="J27" s="926">
        <v>95.44</v>
      </c>
      <c r="K27" s="962">
        <v>13.34</v>
      </c>
      <c r="L27" s="962">
        <v>0</v>
      </c>
      <c r="M27" s="926">
        <f t="shared" si="70"/>
        <v>108.78</v>
      </c>
      <c r="N27" s="926"/>
      <c r="O27" s="926"/>
      <c r="P27" s="965"/>
      <c r="Q27" s="926">
        <f t="shared" si="79"/>
        <v>12598080</v>
      </c>
      <c r="R27" s="926">
        <f t="shared" si="80"/>
        <v>880440</v>
      </c>
      <c r="S27" s="926">
        <f t="shared" si="23"/>
        <v>13478520</v>
      </c>
      <c r="T27" s="926"/>
      <c r="U27" s="869">
        <v>1</v>
      </c>
      <c r="V27" s="926">
        <f t="shared" si="81"/>
        <v>54390</v>
      </c>
      <c r="W27" s="926"/>
      <c r="X27" s="954">
        <f t="shared" si="82"/>
        <v>67392.600000000006</v>
      </c>
      <c r="Y27" s="926">
        <f>M27*$Y$5</f>
        <v>217560</v>
      </c>
      <c r="Z27" s="926"/>
      <c r="AA27" s="961" t="s">
        <v>110</v>
      </c>
      <c r="AB27" s="961"/>
      <c r="AC27" s="926">
        <f t="shared" si="84"/>
        <v>339342.6</v>
      </c>
      <c r="AD27" s="926"/>
      <c r="AE27" s="956">
        <f t="shared" si="24"/>
        <v>13817862.6</v>
      </c>
      <c r="AF27" s="956">
        <f t="shared" si="71"/>
        <v>425590.16807999997</v>
      </c>
      <c r="AG27" s="957">
        <f t="shared" si="72"/>
        <v>14243452.76808</v>
      </c>
      <c r="AH27" s="919">
        <f t="shared" si="73"/>
        <v>323326.377835416</v>
      </c>
      <c r="AI27" s="957">
        <f t="shared" si="25"/>
        <v>14566779.145915415</v>
      </c>
      <c r="AJ27" s="919">
        <f t="shared" si="74"/>
        <v>364169.47864788538</v>
      </c>
      <c r="AK27" s="920">
        <f t="shared" si="75"/>
        <v>14930948.624563301</v>
      </c>
      <c r="AL27" s="919">
        <f t="shared" si="2"/>
        <v>373273.71561408252</v>
      </c>
      <c r="AM27" s="982">
        <f t="shared" si="27"/>
        <v>15304222.340177383</v>
      </c>
      <c r="AN27" s="919">
        <f t="shared" si="3"/>
        <v>382605.55850443459</v>
      </c>
      <c r="AO27" s="920">
        <f t="shared" si="43"/>
        <v>15686827.898681818</v>
      </c>
      <c r="AP27" s="919">
        <f t="shared" si="4"/>
        <v>392170.69746704545</v>
      </c>
      <c r="AQ27" s="920">
        <f t="shared" si="5"/>
        <v>16078998.596148863</v>
      </c>
      <c r="AR27" s="919">
        <f t="shared" si="6"/>
        <v>482369.95788446587</v>
      </c>
      <c r="AS27" s="920">
        <f t="shared" si="7"/>
        <v>16561368.55403333</v>
      </c>
      <c r="AT27" s="920">
        <f t="shared" si="28"/>
        <v>496841.05662099988</v>
      </c>
      <c r="AU27" s="919">
        <f t="shared" si="8"/>
        <v>662454.74216133321</v>
      </c>
      <c r="AV27" s="919"/>
      <c r="AW27" s="920">
        <f t="shared" si="9"/>
        <v>17223823.296194661</v>
      </c>
      <c r="AX27" s="920">
        <f t="shared" si="29"/>
        <v>516714.69888583984</v>
      </c>
      <c r="AY27" s="919">
        <f t="shared" si="10"/>
        <v>688952.93184778641</v>
      </c>
      <c r="AZ27" s="919"/>
      <c r="BA27" s="920">
        <f t="shared" si="11"/>
        <v>17912776.228042446</v>
      </c>
      <c r="BB27" s="920">
        <f t="shared" si="30"/>
        <v>537383.28684127331</v>
      </c>
      <c r="BC27" s="919">
        <f t="shared" si="12"/>
        <v>716511.0491216979</v>
      </c>
      <c r="BD27" s="919"/>
      <c r="BE27" s="975">
        <f t="shared" si="13"/>
        <v>18629287.277164143</v>
      </c>
      <c r="BF27" s="975">
        <f t="shared" si="31"/>
        <v>558878.6183149243</v>
      </c>
      <c r="BG27" s="919">
        <f t="shared" si="14"/>
        <v>745171.49108656577</v>
      </c>
      <c r="BH27" s="975"/>
      <c r="BI27" s="975">
        <f t="shared" si="15"/>
        <v>19374458.768250708</v>
      </c>
      <c r="BJ27" s="975">
        <f t="shared" si="32"/>
        <v>581233.76304752124</v>
      </c>
      <c r="BK27" s="919">
        <f t="shared" si="16"/>
        <v>774978.35073002835</v>
      </c>
      <c r="BL27" s="975"/>
      <c r="BM27" s="975">
        <f t="shared" si="17"/>
        <v>20149437.118980736</v>
      </c>
      <c r="BN27" s="926">
        <f t="shared" si="18"/>
        <v>1511207.7839235552</v>
      </c>
      <c r="BO27" s="926">
        <f t="shared" si="19"/>
        <v>503735.92797451839</v>
      </c>
      <c r="BP27" s="926">
        <f t="shared" si="20"/>
        <v>2417932.4542776882</v>
      </c>
      <c r="BQ27" s="926">
        <f t="shared" si="21"/>
        <v>24582313.285156496</v>
      </c>
      <c r="BR27" s="926">
        <f t="shared" si="22"/>
        <v>225981.92025332319</v>
      </c>
      <c r="BS27" s="963">
        <v>0.15</v>
      </c>
      <c r="BT27" s="954">
        <f t="shared" si="85"/>
        <v>3687346.9927734742</v>
      </c>
      <c r="BU27" s="926">
        <v>50000</v>
      </c>
      <c r="BV27" s="954">
        <f t="shared" si="76"/>
        <v>519620.99896763917</v>
      </c>
      <c r="BW27" s="869">
        <f t="shared" si="35"/>
        <v>7</v>
      </c>
      <c r="BX27" s="954">
        <f t="shared" si="77"/>
        <v>20894966.292383023</v>
      </c>
      <c r="BY27" s="931"/>
      <c r="BZ27" s="959">
        <v>46082</v>
      </c>
      <c r="CA27" s="960">
        <f t="shared" si="37"/>
        <v>7</v>
      </c>
      <c r="CB27" s="960">
        <f t="shared" si="38"/>
        <v>8</v>
      </c>
      <c r="CC27" s="931"/>
      <c r="CD27" s="931"/>
      <c r="CE27" s="931"/>
      <c r="CF27" s="931"/>
      <c r="CG27" s="931"/>
      <c r="CH27" s="931"/>
      <c r="CI27" s="931"/>
      <c r="CJ27" s="931"/>
      <c r="CK27" s="931"/>
      <c r="CL27" s="931"/>
      <c r="CM27" s="931"/>
      <c r="CN27" s="931"/>
      <c r="CO27" s="931"/>
      <c r="CP27" s="931"/>
      <c r="CQ27" s="931"/>
      <c r="CR27" s="931"/>
      <c r="CS27" s="931"/>
      <c r="CT27" s="931"/>
      <c r="CU27" s="931"/>
      <c r="CV27" s="931"/>
      <c r="CW27" s="931"/>
      <c r="CX27" s="931"/>
      <c r="CY27" s="931"/>
      <c r="CZ27" s="931"/>
      <c r="DA27" s="931"/>
      <c r="DB27" s="931"/>
      <c r="DC27" s="931"/>
      <c r="DD27" s="931"/>
      <c r="DE27" s="931"/>
      <c r="DF27" s="931"/>
      <c r="DG27" s="931"/>
      <c r="DH27" s="931"/>
      <c r="DI27" s="931"/>
      <c r="DJ27" s="931"/>
      <c r="DK27" s="931"/>
      <c r="DL27" s="931"/>
      <c r="DM27" s="931"/>
      <c r="DN27" s="931"/>
      <c r="DO27" s="931"/>
      <c r="DP27" s="931"/>
      <c r="DQ27" s="931"/>
      <c r="DR27" s="931"/>
      <c r="DS27" s="931"/>
      <c r="DT27" s="931"/>
      <c r="DU27" s="931"/>
      <c r="DV27" s="931"/>
      <c r="DW27" s="931"/>
      <c r="DX27" s="931"/>
      <c r="DY27" s="931"/>
      <c r="DZ27" s="931"/>
      <c r="EA27" s="931"/>
      <c r="EB27" s="931"/>
      <c r="EC27" s="931"/>
      <c r="ED27" s="931"/>
      <c r="EE27" s="931"/>
      <c r="EF27" s="931"/>
      <c r="EG27" s="931"/>
      <c r="EH27" s="931"/>
      <c r="EI27" s="931"/>
      <c r="EJ27" s="931"/>
      <c r="EK27" s="931"/>
      <c r="EL27" s="931"/>
      <c r="EM27" s="931"/>
      <c r="EN27" s="931"/>
      <c r="EO27" s="931"/>
      <c r="EP27" s="931"/>
      <c r="EQ27" s="931"/>
      <c r="ER27" s="931"/>
      <c r="ES27" s="931"/>
      <c r="ET27" s="931"/>
      <c r="EU27" s="931"/>
      <c r="EV27" s="931"/>
      <c r="EW27" s="931"/>
      <c r="EX27" s="931"/>
      <c r="EY27" s="931"/>
      <c r="EZ27" s="931"/>
      <c r="FA27" s="931"/>
      <c r="FB27" s="931"/>
      <c r="FC27" s="931"/>
      <c r="FD27" s="931"/>
      <c r="FE27" s="931"/>
      <c r="FF27" s="931"/>
      <c r="FG27" s="931"/>
      <c r="FH27" s="931"/>
      <c r="FI27" s="931"/>
      <c r="FJ27" s="931"/>
      <c r="FK27" s="931"/>
      <c r="FL27" s="931"/>
      <c r="FM27" s="931"/>
      <c r="FN27" s="931"/>
      <c r="FO27" s="931"/>
      <c r="FP27" s="931"/>
      <c r="FQ27" s="931"/>
      <c r="FR27" s="931"/>
      <c r="FS27" s="931"/>
      <c r="FT27" s="931"/>
      <c r="FU27" s="931"/>
      <c r="FV27" s="931"/>
      <c r="FW27" s="964"/>
      <c r="FX27" s="964"/>
      <c r="FY27" s="964"/>
      <c r="FZ27" s="964"/>
      <c r="GA27" s="964"/>
      <c r="GB27" s="964"/>
      <c r="GC27" s="964"/>
      <c r="GD27" s="964"/>
      <c r="GE27" s="964"/>
      <c r="GF27" s="964"/>
      <c r="GI27" s="912"/>
    </row>
    <row r="28" spans="1:191" s="929" customFormat="1" x14ac:dyDescent="0.2">
      <c r="A28" s="952">
        <f t="shared" si="39"/>
        <v>15</v>
      </c>
      <c r="B28" s="952">
        <f t="shared" si="87"/>
        <v>8</v>
      </c>
      <c r="C28" s="952" t="s">
        <v>104</v>
      </c>
      <c r="D28" s="952"/>
      <c r="E28" s="952" t="s">
        <v>105</v>
      </c>
      <c r="F28" s="869" t="s">
        <v>106</v>
      </c>
      <c r="G28" s="869" t="s">
        <v>125</v>
      </c>
      <c r="H28" s="869" t="s">
        <v>126</v>
      </c>
      <c r="I28" s="869" t="s">
        <v>109</v>
      </c>
      <c r="J28" s="926">
        <v>69.2</v>
      </c>
      <c r="K28" s="962">
        <v>4.7699999999999996</v>
      </c>
      <c r="L28" s="962">
        <v>0</v>
      </c>
      <c r="M28" s="926">
        <f t="shared" si="70"/>
        <v>73.97</v>
      </c>
      <c r="N28" s="926"/>
      <c r="O28" s="926"/>
      <c r="P28" s="965"/>
      <c r="Q28" s="926">
        <f t="shared" si="79"/>
        <v>9134400</v>
      </c>
      <c r="R28" s="926">
        <f t="shared" si="80"/>
        <v>314820</v>
      </c>
      <c r="S28" s="926">
        <f t="shared" si="23"/>
        <v>9449220</v>
      </c>
      <c r="T28" s="926"/>
      <c r="U28" s="869">
        <v>1</v>
      </c>
      <c r="V28" s="926">
        <f t="shared" si="81"/>
        <v>36985</v>
      </c>
      <c r="W28" s="926"/>
      <c r="X28" s="954">
        <f t="shared" si="82"/>
        <v>47246.1</v>
      </c>
      <c r="Y28" s="961"/>
      <c r="Z28" s="926"/>
      <c r="AA28" s="961" t="s">
        <v>114</v>
      </c>
      <c r="AB28" s="961"/>
      <c r="AC28" s="926">
        <f t="shared" si="84"/>
        <v>84231.1</v>
      </c>
      <c r="AD28" s="926"/>
      <c r="AE28" s="956">
        <f t="shared" si="24"/>
        <v>9533451.0999999996</v>
      </c>
      <c r="AF28" s="956">
        <f t="shared" si="71"/>
        <v>293630.29388000001</v>
      </c>
      <c r="AG28" s="957">
        <f t="shared" si="72"/>
        <v>9827081.3938800003</v>
      </c>
      <c r="AH28" s="919">
        <f t="shared" si="73"/>
        <v>223074.74764107601</v>
      </c>
      <c r="AI28" s="957">
        <f t="shared" si="25"/>
        <v>10050156.141521076</v>
      </c>
      <c r="AJ28" s="919">
        <f t="shared" si="74"/>
        <v>251253.90353802691</v>
      </c>
      <c r="AK28" s="920">
        <f t="shared" si="75"/>
        <v>10301410.045059104</v>
      </c>
      <c r="AL28" s="919">
        <f t="shared" si="2"/>
        <v>257535.25112647761</v>
      </c>
      <c r="AM28" s="920">
        <f t="shared" si="27"/>
        <v>10558945.296185581</v>
      </c>
      <c r="AN28" s="919">
        <f t="shared" si="3"/>
        <v>263973.63240463956</v>
      </c>
      <c r="AO28" s="920">
        <f t="shared" si="43"/>
        <v>10822918.928590221</v>
      </c>
      <c r="AP28" s="919">
        <f t="shared" si="4"/>
        <v>270572.97321475553</v>
      </c>
      <c r="AQ28" s="920">
        <f t="shared" si="5"/>
        <v>11093491.901804976</v>
      </c>
      <c r="AR28" s="919">
        <f t="shared" si="6"/>
        <v>332804.75705414929</v>
      </c>
      <c r="AS28" s="920">
        <f t="shared" si="7"/>
        <v>11426296.658859126</v>
      </c>
      <c r="AT28" s="920">
        <f t="shared" si="28"/>
        <v>342788.89976577379</v>
      </c>
      <c r="AU28" s="919">
        <f t="shared" si="8"/>
        <v>457051.86635436508</v>
      </c>
      <c r="AV28" s="919"/>
      <c r="AW28" s="920">
        <f t="shared" si="9"/>
        <v>11883348.525213491</v>
      </c>
      <c r="AX28" s="920">
        <f t="shared" si="29"/>
        <v>356500.45575640473</v>
      </c>
      <c r="AY28" s="919">
        <f t="shared" si="10"/>
        <v>475333.94100853964</v>
      </c>
      <c r="AZ28" s="919"/>
      <c r="BA28" s="920">
        <f t="shared" si="11"/>
        <v>12358682.466222031</v>
      </c>
      <c r="BB28" s="920">
        <f t="shared" si="30"/>
        <v>370760.47398666095</v>
      </c>
      <c r="BC28" s="919">
        <f t="shared" si="12"/>
        <v>494347.29864888126</v>
      </c>
      <c r="BD28" s="919"/>
      <c r="BE28" s="975">
        <f t="shared" si="13"/>
        <v>12853029.764870912</v>
      </c>
      <c r="BF28" s="975">
        <f t="shared" si="31"/>
        <v>385590.89294612734</v>
      </c>
      <c r="BG28" s="919">
        <f t="shared" si="14"/>
        <v>514121.19059483649</v>
      </c>
      <c r="BH28" s="975"/>
      <c r="BI28" s="975">
        <f t="shared" si="15"/>
        <v>13367150.955465749</v>
      </c>
      <c r="BJ28" s="975">
        <f t="shared" si="32"/>
        <v>401014.52866397245</v>
      </c>
      <c r="BK28" s="919">
        <f t="shared" si="16"/>
        <v>534686.03821863001</v>
      </c>
      <c r="BL28" s="975">
        <f>BK28-BJ28</f>
        <v>133671.50955465756</v>
      </c>
      <c r="BM28" s="975">
        <f t="shared" si="17"/>
        <v>13901836.993684379</v>
      </c>
      <c r="BN28" s="926">
        <f t="shared" si="18"/>
        <v>1042637.7745263284</v>
      </c>
      <c r="BO28" s="926">
        <f t="shared" si="19"/>
        <v>347545.9248421095</v>
      </c>
      <c r="BP28" s="926">
        <f t="shared" si="20"/>
        <v>1668220.4392421255</v>
      </c>
      <c r="BQ28" s="926">
        <f t="shared" si="21"/>
        <v>16960241.132294942</v>
      </c>
      <c r="BR28" s="926">
        <f t="shared" si="22"/>
        <v>229285.40127477277</v>
      </c>
      <c r="BS28" s="963">
        <v>0.15</v>
      </c>
      <c r="BT28" s="954">
        <f t="shared" si="85"/>
        <v>2544036.1698442413</v>
      </c>
      <c r="BU28" s="926">
        <v>50000</v>
      </c>
      <c r="BV28" s="954">
        <f t="shared" si="76"/>
        <v>356290.8814063202</v>
      </c>
      <c r="BW28" s="869">
        <f t="shared" si="35"/>
        <v>7</v>
      </c>
      <c r="BX28" s="954">
        <f t="shared" si="77"/>
        <v>14416204.9624507</v>
      </c>
      <c r="BY28" s="931"/>
      <c r="BZ28" s="959">
        <v>46082</v>
      </c>
      <c r="CA28" s="960">
        <f t="shared" si="37"/>
        <v>7</v>
      </c>
      <c r="CB28" s="960">
        <f t="shared" si="38"/>
        <v>8</v>
      </c>
      <c r="CC28" s="931"/>
      <c r="CD28" s="931"/>
      <c r="CE28" s="931"/>
      <c r="CF28" s="931"/>
      <c r="CG28" s="931"/>
      <c r="CH28" s="931"/>
      <c r="CI28" s="931"/>
      <c r="CJ28" s="931"/>
      <c r="CK28" s="931"/>
      <c r="CL28" s="931"/>
      <c r="CM28" s="931"/>
      <c r="CN28" s="931"/>
      <c r="CO28" s="931"/>
      <c r="CP28" s="931"/>
      <c r="CQ28" s="931"/>
      <c r="CR28" s="931"/>
      <c r="CS28" s="931"/>
      <c r="CT28" s="931"/>
      <c r="CU28" s="931"/>
      <c r="CV28" s="931"/>
      <c r="CW28" s="931"/>
      <c r="CX28" s="931"/>
      <c r="CY28" s="931"/>
      <c r="CZ28" s="931"/>
      <c r="DA28" s="931"/>
      <c r="DB28" s="931"/>
      <c r="DC28" s="931"/>
      <c r="DD28" s="931"/>
      <c r="DE28" s="931"/>
      <c r="DF28" s="931"/>
      <c r="DG28" s="931"/>
      <c r="DH28" s="931"/>
      <c r="DI28" s="931"/>
      <c r="DJ28" s="931"/>
      <c r="DK28" s="931"/>
      <c r="DL28" s="931"/>
      <c r="DM28" s="931"/>
      <c r="DN28" s="931"/>
      <c r="DO28" s="931"/>
      <c r="DP28" s="931"/>
      <c r="DQ28" s="931"/>
      <c r="DR28" s="931"/>
      <c r="DS28" s="931"/>
      <c r="DT28" s="931"/>
      <c r="DU28" s="931"/>
      <c r="DV28" s="931"/>
      <c r="DW28" s="931"/>
      <c r="DX28" s="931"/>
      <c r="DY28" s="931"/>
      <c r="DZ28" s="931"/>
      <c r="EA28" s="931"/>
      <c r="EB28" s="931"/>
      <c r="EC28" s="931"/>
      <c r="ED28" s="931"/>
      <c r="EE28" s="931"/>
      <c r="EF28" s="931"/>
      <c r="EG28" s="931"/>
      <c r="EH28" s="931"/>
      <c r="EI28" s="931"/>
      <c r="EJ28" s="931"/>
      <c r="EK28" s="931"/>
      <c r="EL28" s="931"/>
      <c r="EM28" s="931"/>
      <c r="EN28" s="931"/>
      <c r="EO28" s="931"/>
      <c r="EP28" s="931"/>
      <c r="EQ28" s="931"/>
      <c r="ER28" s="931"/>
      <c r="ES28" s="931"/>
      <c r="ET28" s="931"/>
      <c r="EU28" s="931"/>
      <c r="EV28" s="931"/>
      <c r="EW28" s="931"/>
      <c r="EX28" s="931"/>
      <c r="EY28" s="931"/>
      <c r="EZ28" s="931"/>
      <c r="FA28" s="931"/>
      <c r="FB28" s="931"/>
      <c r="FC28" s="931"/>
      <c r="FD28" s="931"/>
      <c r="FE28" s="931"/>
      <c r="FF28" s="931"/>
      <c r="FG28" s="931"/>
      <c r="FH28" s="931"/>
      <c r="FI28" s="931"/>
      <c r="FJ28" s="931"/>
      <c r="FK28" s="931"/>
      <c r="FL28" s="931"/>
      <c r="FM28" s="931"/>
      <c r="FN28" s="931"/>
      <c r="FO28" s="931"/>
      <c r="FP28" s="931"/>
      <c r="FQ28" s="931"/>
      <c r="FR28" s="931"/>
      <c r="FS28" s="931"/>
      <c r="FT28" s="931"/>
      <c r="FU28" s="931"/>
      <c r="FV28" s="931"/>
      <c r="FW28" s="964"/>
      <c r="FX28" s="964"/>
      <c r="FY28" s="964"/>
      <c r="FZ28" s="964"/>
      <c r="GA28" s="964"/>
      <c r="GB28" s="964"/>
      <c r="GC28" s="964"/>
      <c r="GD28" s="964"/>
      <c r="GE28" s="964"/>
      <c r="GF28" s="964"/>
      <c r="GI28" s="912"/>
    </row>
    <row r="29" spans="1:191" s="929" customFormat="1" x14ac:dyDescent="0.2">
      <c r="A29" s="952">
        <f t="shared" si="39"/>
        <v>16</v>
      </c>
      <c r="B29" s="952">
        <f t="shared" si="87"/>
        <v>9</v>
      </c>
      <c r="C29" s="952" t="s">
        <v>558</v>
      </c>
      <c r="D29" s="952"/>
      <c r="E29" s="952" t="s">
        <v>105</v>
      </c>
      <c r="F29" s="869" t="s">
        <v>106</v>
      </c>
      <c r="G29" s="869" t="s">
        <v>127</v>
      </c>
      <c r="H29" s="869" t="s">
        <v>128</v>
      </c>
      <c r="I29" s="869" t="s">
        <v>109</v>
      </c>
      <c r="J29" s="926">
        <v>69.36</v>
      </c>
      <c r="K29" s="962">
        <v>4.79</v>
      </c>
      <c r="L29" s="962">
        <v>0</v>
      </c>
      <c r="M29" s="926">
        <f t="shared" si="70"/>
        <v>74.150000000000006</v>
      </c>
      <c r="N29" s="926"/>
      <c r="O29" s="926"/>
      <c r="P29" s="965"/>
      <c r="Q29" s="926">
        <f t="shared" si="79"/>
        <v>9155520</v>
      </c>
      <c r="R29" s="926">
        <f t="shared" si="80"/>
        <v>316140</v>
      </c>
      <c r="S29" s="926">
        <f t="shared" si="23"/>
        <v>9471660</v>
      </c>
      <c r="T29" s="926"/>
      <c r="U29" s="869">
        <v>1</v>
      </c>
      <c r="V29" s="926">
        <f t="shared" si="81"/>
        <v>37075</v>
      </c>
      <c r="W29" s="926"/>
      <c r="X29" s="954">
        <f t="shared" si="82"/>
        <v>47358.3</v>
      </c>
      <c r="Y29" s="961"/>
      <c r="Z29" s="926"/>
      <c r="AA29" s="961" t="s">
        <v>114</v>
      </c>
      <c r="AB29" s="961"/>
      <c r="AC29" s="926">
        <f t="shared" si="84"/>
        <v>84433.3</v>
      </c>
      <c r="AD29" s="926"/>
      <c r="AE29" s="956">
        <f t="shared" si="24"/>
        <v>9556093.3000000007</v>
      </c>
      <c r="AF29" s="956">
        <f t="shared" si="71"/>
        <v>294327.67364000005</v>
      </c>
      <c r="AG29" s="957">
        <f t="shared" si="72"/>
        <v>9850420.9736400004</v>
      </c>
      <c r="AH29" s="919">
        <f t="shared" si="73"/>
        <v>223604.55610162803</v>
      </c>
      <c r="AI29" s="957">
        <f t="shared" si="25"/>
        <v>10074025.529741628</v>
      </c>
      <c r="AJ29" s="919">
        <f t="shared" si="74"/>
        <v>251850.63824354071</v>
      </c>
      <c r="AK29" s="920">
        <f t="shared" si="75"/>
        <v>10325876.167985169</v>
      </c>
      <c r="AL29" s="919">
        <f t="shared" si="2"/>
        <v>258146.90419962924</v>
      </c>
      <c r="AM29" s="920">
        <f t="shared" si="27"/>
        <v>10584023.072184799</v>
      </c>
      <c r="AN29" s="919">
        <f t="shared" si="3"/>
        <v>264600.57680461998</v>
      </c>
      <c r="AO29" s="920">
        <f t="shared" si="43"/>
        <v>10848623.648989419</v>
      </c>
      <c r="AP29" s="919">
        <f t="shared" si="4"/>
        <v>271215.59122473549</v>
      </c>
      <c r="AQ29" s="920">
        <f t="shared" si="5"/>
        <v>11119839.240214154</v>
      </c>
      <c r="AR29" s="919">
        <f t="shared" si="6"/>
        <v>333595.17720642459</v>
      </c>
      <c r="AS29" s="920">
        <f t="shared" si="7"/>
        <v>11453434.417420579</v>
      </c>
      <c r="AT29" s="920">
        <f t="shared" si="28"/>
        <v>343603.03252261737</v>
      </c>
      <c r="AU29" s="919">
        <f t="shared" si="8"/>
        <v>458137.37669682316</v>
      </c>
      <c r="AV29" s="919"/>
      <c r="AW29" s="920">
        <f t="shared" si="9"/>
        <v>11911571.794117402</v>
      </c>
      <c r="AX29" s="920">
        <f t="shared" si="29"/>
        <v>357347.15382352204</v>
      </c>
      <c r="AY29" s="919">
        <f t="shared" si="10"/>
        <v>476462.87176469609</v>
      </c>
      <c r="AZ29" s="919"/>
      <c r="BA29" s="920">
        <f t="shared" si="11"/>
        <v>12388034.665882098</v>
      </c>
      <c r="BB29" s="920">
        <f t="shared" si="30"/>
        <v>371641.0399764629</v>
      </c>
      <c r="BC29" s="919">
        <f t="shared" si="12"/>
        <v>495521.38663528394</v>
      </c>
      <c r="BD29" s="919"/>
      <c r="BE29" s="975">
        <f t="shared" si="13"/>
        <v>12883556.052517381</v>
      </c>
      <c r="BF29" s="975">
        <f t="shared" si="31"/>
        <v>386506.68157552142</v>
      </c>
      <c r="BG29" s="919">
        <f t="shared" si="14"/>
        <v>515342.24210069521</v>
      </c>
      <c r="BH29" s="975"/>
      <c r="BI29" s="975">
        <f t="shared" si="15"/>
        <v>13398898.294618076</v>
      </c>
      <c r="BJ29" s="975">
        <f t="shared" si="32"/>
        <v>401966.94883854227</v>
      </c>
      <c r="BK29" s="919">
        <f t="shared" si="16"/>
        <v>535955.93178472307</v>
      </c>
      <c r="BL29" s="975"/>
      <c r="BM29" s="975">
        <f t="shared" si="17"/>
        <v>13934854.226402799</v>
      </c>
      <c r="BN29" s="926">
        <f t="shared" si="18"/>
        <v>1045114.0669802099</v>
      </c>
      <c r="BO29" s="926">
        <f t="shared" si="19"/>
        <v>348371.35566006997</v>
      </c>
      <c r="BP29" s="926">
        <f t="shared" si="20"/>
        <v>1672182.5071683358</v>
      </c>
      <c r="BQ29" s="926">
        <f t="shared" si="21"/>
        <v>17000522.156211413</v>
      </c>
      <c r="BR29" s="926">
        <f t="shared" si="22"/>
        <v>229272.04526246004</v>
      </c>
      <c r="BS29" s="963">
        <v>0.15</v>
      </c>
      <c r="BT29" s="954">
        <f t="shared" si="85"/>
        <v>2550078.3234317121</v>
      </c>
      <c r="BU29" s="926">
        <v>50000</v>
      </c>
      <c r="BV29" s="954">
        <f t="shared" si="76"/>
        <v>357154.04620453028</v>
      </c>
      <c r="BW29" s="869">
        <f t="shared" si="35"/>
        <v>7</v>
      </c>
      <c r="BX29" s="954">
        <f t="shared" si="77"/>
        <v>14450443.832779702</v>
      </c>
      <c r="BY29" s="931"/>
      <c r="BZ29" s="959">
        <v>46082</v>
      </c>
      <c r="CA29" s="960">
        <f t="shared" si="37"/>
        <v>7</v>
      </c>
      <c r="CB29" s="960">
        <f t="shared" si="38"/>
        <v>8</v>
      </c>
      <c r="CC29" s="931"/>
      <c r="CD29" s="931"/>
      <c r="CE29" s="931"/>
      <c r="CF29" s="931"/>
      <c r="CG29" s="931"/>
      <c r="CH29" s="931"/>
      <c r="CI29" s="931"/>
      <c r="CJ29" s="931"/>
      <c r="CK29" s="931"/>
      <c r="CL29" s="931"/>
      <c r="CM29" s="931"/>
      <c r="CN29" s="931"/>
      <c r="CO29" s="931"/>
      <c r="CP29" s="931"/>
      <c r="CQ29" s="931"/>
      <c r="CR29" s="931"/>
      <c r="CS29" s="931"/>
      <c r="CT29" s="931"/>
      <c r="CU29" s="931"/>
      <c r="CV29" s="931"/>
      <c r="CW29" s="931"/>
      <c r="CX29" s="931"/>
      <c r="CY29" s="931"/>
      <c r="CZ29" s="931"/>
      <c r="DA29" s="931"/>
      <c r="DB29" s="931"/>
      <c r="DC29" s="931"/>
      <c r="DD29" s="931"/>
      <c r="DE29" s="931"/>
      <c r="DF29" s="931"/>
      <c r="DG29" s="931"/>
      <c r="DH29" s="931"/>
      <c r="DI29" s="931"/>
      <c r="DJ29" s="931"/>
      <c r="DK29" s="931"/>
      <c r="DL29" s="931"/>
      <c r="DM29" s="931"/>
      <c r="DN29" s="931"/>
      <c r="DO29" s="931"/>
      <c r="DP29" s="931"/>
      <c r="DQ29" s="931"/>
      <c r="DR29" s="931"/>
      <c r="DS29" s="931"/>
      <c r="DT29" s="931"/>
      <c r="DU29" s="931"/>
      <c r="DV29" s="931"/>
      <c r="DW29" s="931"/>
      <c r="DX29" s="931"/>
      <c r="DY29" s="931"/>
      <c r="DZ29" s="931"/>
      <c r="EA29" s="931"/>
      <c r="EB29" s="931"/>
      <c r="EC29" s="931"/>
      <c r="ED29" s="931"/>
      <c r="EE29" s="931"/>
      <c r="EF29" s="931"/>
      <c r="EG29" s="931"/>
      <c r="EH29" s="931"/>
      <c r="EI29" s="931"/>
      <c r="EJ29" s="931"/>
      <c r="EK29" s="931"/>
      <c r="EL29" s="931"/>
      <c r="EM29" s="931"/>
      <c r="EN29" s="931"/>
      <c r="EO29" s="931"/>
      <c r="EP29" s="931"/>
      <c r="EQ29" s="931"/>
      <c r="ER29" s="931"/>
      <c r="ES29" s="931"/>
      <c r="ET29" s="931"/>
      <c r="EU29" s="931"/>
      <c r="EV29" s="931"/>
      <c r="EW29" s="931"/>
      <c r="EX29" s="931"/>
      <c r="EY29" s="931"/>
      <c r="EZ29" s="931"/>
      <c r="FA29" s="931"/>
      <c r="FB29" s="931"/>
      <c r="FC29" s="931"/>
      <c r="FD29" s="931"/>
      <c r="FE29" s="931"/>
      <c r="FF29" s="931"/>
      <c r="FG29" s="931"/>
      <c r="FH29" s="931"/>
      <c r="FI29" s="931"/>
      <c r="FJ29" s="931"/>
      <c r="FK29" s="931"/>
      <c r="FL29" s="931"/>
      <c r="FM29" s="931"/>
      <c r="FN29" s="931"/>
      <c r="FO29" s="931"/>
      <c r="FP29" s="931"/>
      <c r="FQ29" s="931"/>
      <c r="FR29" s="931"/>
      <c r="FS29" s="931"/>
      <c r="FT29" s="931"/>
      <c r="FU29" s="931"/>
      <c r="FV29" s="931"/>
      <c r="FW29" s="964"/>
      <c r="FX29" s="964"/>
      <c r="FY29" s="964"/>
      <c r="FZ29" s="964"/>
      <c r="GA29" s="964"/>
      <c r="GB29" s="964"/>
      <c r="GC29" s="964"/>
      <c r="GD29" s="964"/>
      <c r="GE29" s="964"/>
      <c r="GF29" s="964"/>
      <c r="GI29" s="912"/>
    </row>
    <row r="30" spans="1:191" s="929" customFormat="1" x14ac:dyDescent="0.2">
      <c r="A30" s="952">
        <f t="shared" si="39"/>
        <v>17</v>
      </c>
      <c r="B30" s="952">
        <f t="shared" si="87"/>
        <v>10</v>
      </c>
      <c r="C30" s="952" t="s">
        <v>104</v>
      </c>
      <c r="D30" s="952"/>
      <c r="E30" s="952" t="s">
        <v>105</v>
      </c>
      <c r="F30" s="869" t="s">
        <v>106</v>
      </c>
      <c r="G30" s="869" t="s">
        <v>129</v>
      </c>
      <c r="H30" s="869" t="s">
        <v>130</v>
      </c>
      <c r="I30" s="869" t="s">
        <v>113</v>
      </c>
      <c r="J30" s="926">
        <v>69.36</v>
      </c>
      <c r="K30" s="962">
        <v>4.79</v>
      </c>
      <c r="L30" s="962">
        <v>0</v>
      </c>
      <c r="M30" s="926">
        <f t="shared" si="70"/>
        <v>74.150000000000006</v>
      </c>
      <c r="N30" s="926"/>
      <c r="O30" s="926"/>
      <c r="P30" s="965"/>
      <c r="Q30" s="926">
        <f t="shared" si="79"/>
        <v>9155520</v>
      </c>
      <c r="R30" s="926">
        <f t="shared" si="80"/>
        <v>316140</v>
      </c>
      <c r="S30" s="926">
        <f t="shared" si="23"/>
        <v>9471660</v>
      </c>
      <c r="T30" s="926"/>
      <c r="U30" s="869">
        <v>1</v>
      </c>
      <c r="V30" s="926">
        <f t="shared" si="81"/>
        <v>37075</v>
      </c>
      <c r="W30" s="926"/>
      <c r="X30" s="954">
        <f t="shared" si="82"/>
        <v>47358.3</v>
      </c>
      <c r="Y30" s="961"/>
      <c r="Z30" s="926"/>
      <c r="AA30" s="961" t="s">
        <v>114</v>
      </c>
      <c r="AB30" s="961"/>
      <c r="AC30" s="926">
        <f t="shared" ref="AC30:AC33" si="89">SUM(V30:Z30)</f>
        <v>84433.3</v>
      </c>
      <c r="AD30" s="926"/>
      <c r="AE30" s="956">
        <f t="shared" si="24"/>
        <v>9556093.3000000007</v>
      </c>
      <c r="AF30" s="956">
        <f t="shared" si="71"/>
        <v>294327.67364000005</v>
      </c>
      <c r="AG30" s="957">
        <f t="shared" si="72"/>
        <v>9850420.9736400004</v>
      </c>
      <c r="AH30" s="919">
        <f t="shared" si="73"/>
        <v>223604.55610162803</v>
      </c>
      <c r="AI30" s="957">
        <f t="shared" si="25"/>
        <v>10074025.529741628</v>
      </c>
      <c r="AJ30" s="919">
        <f t="shared" si="74"/>
        <v>251850.63824354071</v>
      </c>
      <c r="AK30" s="920">
        <f t="shared" si="75"/>
        <v>10325876.167985169</v>
      </c>
      <c r="AL30" s="919">
        <f t="shared" si="2"/>
        <v>258146.90419962924</v>
      </c>
      <c r="AM30" s="920">
        <f t="shared" si="27"/>
        <v>10584023.072184799</v>
      </c>
      <c r="AN30" s="919">
        <f t="shared" si="3"/>
        <v>264600.57680461998</v>
      </c>
      <c r="AO30" s="920">
        <f t="shared" si="43"/>
        <v>10848623.648989419</v>
      </c>
      <c r="AP30" s="919">
        <f t="shared" si="4"/>
        <v>271215.59122473549</v>
      </c>
      <c r="AQ30" s="920">
        <f t="shared" si="5"/>
        <v>11119839.240214154</v>
      </c>
      <c r="AR30" s="919">
        <f t="shared" si="6"/>
        <v>333595.17720642459</v>
      </c>
      <c r="AS30" s="920">
        <f t="shared" si="7"/>
        <v>11453434.417420579</v>
      </c>
      <c r="AT30" s="920">
        <f t="shared" si="28"/>
        <v>343603.03252261737</v>
      </c>
      <c r="AU30" s="919">
        <f t="shared" si="8"/>
        <v>458137.37669682316</v>
      </c>
      <c r="AV30" s="919"/>
      <c r="AW30" s="920">
        <f t="shared" si="9"/>
        <v>11911571.794117402</v>
      </c>
      <c r="AX30" s="920">
        <f t="shared" si="29"/>
        <v>357347.15382352204</v>
      </c>
      <c r="AY30" s="919">
        <f t="shared" si="10"/>
        <v>476462.87176469609</v>
      </c>
      <c r="AZ30" s="919"/>
      <c r="BA30" s="920">
        <f t="shared" si="11"/>
        <v>12388034.665882098</v>
      </c>
      <c r="BB30" s="920">
        <f t="shared" si="30"/>
        <v>371641.0399764629</v>
      </c>
      <c r="BC30" s="919">
        <f t="shared" si="12"/>
        <v>495521.38663528394</v>
      </c>
      <c r="BD30" s="919"/>
      <c r="BE30" s="975">
        <f t="shared" si="13"/>
        <v>12883556.052517381</v>
      </c>
      <c r="BF30" s="975">
        <f t="shared" si="31"/>
        <v>386506.68157552142</v>
      </c>
      <c r="BG30" s="919">
        <f t="shared" si="14"/>
        <v>515342.24210069521</v>
      </c>
      <c r="BH30" s="975"/>
      <c r="BI30" s="975">
        <f t="shared" si="15"/>
        <v>13398898.294618076</v>
      </c>
      <c r="BJ30" s="975">
        <f t="shared" si="32"/>
        <v>401966.94883854227</v>
      </c>
      <c r="BK30" s="919">
        <f t="shared" si="16"/>
        <v>535955.93178472307</v>
      </c>
      <c r="BL30" s="975">
        <f>BK30-BJ30</f>
        <v>133988.9829461808</v>
      </c>
      <c r="BM30" s="975">
        <f t="shared" si="17"/>
        <v>13934854.226402799</v>
      </c>
      <c r="BN30" s="926">
        <f t="shared" si="18"/>
        <v>1045114.0669802099</v>
      </c>
      <c r="BO30" s="926">
        <f t="shared" si="19"/>
        <v>348371.35566006997</v>
      </c>
      <c r="BP30" s="926">
        <f t="shared" si="20"/>
        <v>1672182.5071683358</v>
      </c>
      <c r="BQ30" s="926">
        <f t="shared" si="21"/>
        <v>17000522.156211413</v>
      </c>
      <c r="BR30" s="926">
        <f t="shared" si="22"/>
        <v>229272.04526246004</v>
      </c>
      <c r="BS30" s="963">
        <v>0.15</v>
      </c>
      <c r="BT30" s="954">
        <f t="shared" si="85"/>
        <v>2550078.3234317121</v>
      </c>
      <c r="BU30" s="926">
        <v>50000</v>
      </c>
      <c r="BV30" s="954">
        <f t="shared" si="76"/>
        <v>357154.04620453028</v>
      </c>
      <c r="BW30" s="869">
        <f t="shared" si="35"/>
        <v>7</v>
      </c>
      <c r="BX30" s="954">
        <f t="shared" si="77"/>
        <v>14450443.832779702</v>
      </c>
      <c r="BY30" s="931"/>
      <c r="BZ30" s="959">
        <v>46082</v>
      </c>
      <c r="CA30" s="960">
        <f t="shared" si="37"/>
        <v>7</v>
      </c>
      <c r="CB30" s="960">
        <f t="shared" si="38"/>
        <v>8</v>
      </c>
      <c r="CC30" s="931"/>
      <c r="CD30" s="931"/>
      <c r="CE30" s="931"/>
      <c r="CF30" s="931"/>
      <c r="CG30" s="931"/>
      <c r="CH30" s="931"/>
      <c r="CI30" s="931"/>
      <c r="CJ30" s="931"/>
      <c r="CK30" s="931"/>
      <c r="CL30" s="931"/>
      <c r="CM30" s="931"/>
      <c r="CN30" s="931"/>
      <c r="CO30" s="931"/>
      <c r="CP30" s="931"/>
      <c r="CQ30" s="931"/>
      <c r="CR30" s="931"/>
      <c r="CS30" s="931"/>
      <c r="CT30" s="931"/>
      <c r="CU30" s="931"/>
      <c r="CV30" s="931"/>
      <c r="CW30" s="931"/>
      <c r="CX30" s="931"/>
      <c r="CY30" s="931"/>
      <c r="CZ30" s="931"/>
      <c r="DA30" s="931"/>
      <c r="DB30" s="931"/>
      <c r="DC30" s="931"/>
      <c r="DD30" s="931"/>
      <c r="DE30" s="931"/>
      <c r="DF30" s="931"/>
      <c r="DG30" s="931"/>
      <c r="DH30" s="931"/>
      <c r="DI30" s="931"/>
      <c r="DJ30" s="931"/>
      <c r="DK30" s="931"/>
      <c r="DL30" s="931"/>
      <c r="DM30" s="931"/>
      <c r="DN30" s="931"/>
      <c r="DO30" s="931"/>
      <c r="DP30" s="931"/>
      <c r="DQ30" s="931"/>
      <c r="DR30" s="931"/>
      <c r="DS30" s="931"/>
      <c r="DT30" s="931"/>
      <c r="DU30" s="931"/>
      <c r="DV30" s="931"/>
      <c r="DW30" s="931"/>
      <c r="DX30" s="931"/>
      <c r="DY30" s="931"/>
      <c r="DZ30" s="931"/>
      <c r="EA30" s="931"/>
      <c r="EB30" s="931"/>
      <c r="EC30" s="931"/>
      <c r="ED30" s="931"/>
      <c r="EE30" s="931"/>
      <c r="EF30" s="931"/>
      <c r="EG30" s="931"/>
      <c r="EH30" s="931"/>
      <c r="EI30" s="931"/>
      <c r="EJ30" s="931"/>
      <c r="EK30" s="931"/>
      <c r="EL30" s="931"/>
      <c r="EM30" s="931"/>
      <c r="EN30" s="931"/>
      <c r="EO30" s="931"/>
      <c r="EP30" s="931"/>
      <c r="EQ30" s="931"/>
      <c r="ER30" s="931"/>
      <c r="ES30" s="931"/>
      <c r="ET30" s="931"/>
      <c r="EU30" s="931"/>
      <c r="EV30" s="931"/>
      <c r="EW30" s="931"/>
      <c r="EX30" s="931"/>
      <c r="EY30" s="931"/>
      <c r="EZ30" s="931"/>
      <c r="FA30" s="931"/>
      <c r="FB30" s="931"/>
      <c r="FC30" s="931"/>
      <c r="FD30" s="931"/>
      <c r="FE30" s="931"/>
      <c r="FF30" s="931"/>
      <c r="FG30" s="931"/>
      <c r="FH30" s="931"/>
      <c r="FI30" s="931"/>
      <c r="FJ30" s="931"/>
      <c r="FK30" s="931"/>
      <c r="FL30" s="931"/>
      <c r="FM30" s="931"/>
      <c r="FN30" s="931"/>
      <c r="FO30" s="931"/>
      <c r="FP30" s="931"/>
      <c r="FQ30" s="931"/>
      <c r="FR30" s="931"/>
      <c r="FS30" s="931"/>
      <c r="FT30" s="931"/>
      <c r="FU30" s="931"/>
      <c r="FV30" s="931"/>
      <c r="FW30" s="964"/>
      <c r="FX30" s="964"/>
      <c r="FY30" s="964"/>
      <c r="FZ30" s="964"/>
      <c r="GA30" s="964"/>
      <c r="GB30" s="964"/>
      <c r="GC30" s="964"/>
      <c r="GD30" s="964"/>
      <c r="GE30" s="964"/>
      <c r="GF30" s="964"/>
      <c r="GI30" s="912"/>
    </row>
    <row r="31" spans="1:191" s="929" customFormat="1" x14ac:dyDescent="0.2">
      <c r="A31" s="952">
        <f t="shared" si="39"/>
        <v>18</v>
      </c>
      <c r="B31" s="952">
        <f t="shared" si="87"/>
        <v>11</v>
      </c>
      <c r="C31" s="952" t="s">
        <v>104</v>
      </c>
      <c r="D31" s="952" t="s">
        <v>574</v>
      </c>
      <c r="E31" s="952" t="s">
        <v>105</v>
      </c>
      <c r="F31" s="869" t="s">
        <v>106</v>
      </c>
      <c r="G31" s="869" t="s">
        <v>131</v>
      </c>
      <c r="H31" s="869" t="s">
        <v>132</v>
      </c>
      <c r="I31" s="869" t="s">
        <v>113</v>
      </c>
      <c r="J31" s="926">
        <v>69.36</v>
      </c>
      <c r="K31" s="962">
        <v>4.79</v>
      </c>
      <c r="L31" s="962">
        <v>0</v>
      </c>
      <c r="M31" s="926">
        <f t="shared" si="70"/>
        <v>74.150000000000006</v>
      </c>
      <c r="N31" s="926"/>
      <c r="O31" s="926"/>
      <c r="P31" s="965"/>
      <c r="Q31" s="926">
        <f t="shared" si="79"/>
        <v>9155520</v>
      </c>
      <c r="R31" s="926">
        <f t="shared" si="80"/>
        <v>316140</v>
      </c>
      <c r="S31" s="926">
        <f t="shared" si="23"/>
        <v>9471660</v>
      </c>
      <c r="T31" s="926"/>
      <c r="U31" s="869">
        <v>1</v>
      </c>
      <c r="V31" s="926">
        <f t="shared" si="81"/>
        <v>37075</v>
      </c>
      <c r="W31" s="926"/>
      <c r="X31" s="954">
        <f t="shared" si="82"/>
        <v>47358.3</v>
      </c>
      <c r="Y31" s="961"/>
      <c r="Z31" s="926"/>
      <c r="AA31" s="961" t="s">
        <v>114</v>
      </c>
      <c r="AB31" s="961"/>
      <c r="AC31" s="926">
        <f t="shared" si="89"/>
        <v>84433.3</v>
      </c>
      <c r="AD31" s="926"/>
      <c r="AE31" s="956">
        <f t="shared" si="24"/>
        <v>9556093.3000000007</v>
      </c>
      <c r="AF31" s="956">
        <f t="shared" si="71"/>
        <v>294327.67364000005</v>
      </c>
      <c r="AG31" s="957">
        <f t="shared" si="72"/>
        <v>9850420.9736400004</v>
      </c>
      <c r="AH31" s="919">
        <f t="shared" si="73"/>
        <v>223604.55610162803</v>
      </c>
      <c r="AI31" s="957">
        <f t="shared" si="25"/>
        <v>10074025.529741628</v>
      </c>
      <c r="AJ31" s="919">
        <f t="shared" si="74"/>
        <v>251850.63824354071</v>
      </c>
      <c r="AK31" s="920">
        <f t="shared" si="75"/>
        <v>10325876.167985169</v>
      </c>
      <c r="AL31" s="919">
        <f t="shared" si="2"/>
        <v>258146.90419962924</v>
      </c>
      <c r="AM31" s="982">
        <f t="shared" si="27"/>
        <v>10584023.072184799</v>
      </c>
      <c r="AN31" s="919">
        <f t="shared" si="3"/>
        <v>264600.57680461998</v>
      </c>
      <c r="AO31" s="920">
        <f t="shared" si="43"/>
        <v>10848623.648989419</v>
      </c>
      <c r="AP31" s="919">
        <f t="shared" si="4"/>
        <v>271215.59122473549</v>
      </c>
      <c r="AQ31" s="920">
        <f t="shared" si="5"/>
        <v>11119839.240214154</v>
      </c>
      <c r="AR31" s="919">
        <f t="shared" si="6"/>
        <v>333595.17720642459</v>
      </c>
      <c r="AS31" s="920">
        <f t="shared" si="7"/>
        <v>11453434.417420579</v>
      </c>
      <c r="AT31" s="920">
        <f t="shared" si="28"/>
        <v>343603.03252261737</v>
      </c>
      <c r="AU31" s="919">
        <f t="shared" si="8"/>
        <v>458137.37669682316</v>
      </c>
      <c r="AV31" s="919"/>
      <c r="AW31" s="920">
        <f t="shared" si="9"/>
        <v>11911571.794117402</v>
      </c>
      <c r="AX31" s="920">
        <f t="shared" si="29"/>
        <v>357347.15382352204</v>
      </c>
      <c r="AY31" s="919">
        <f t="shared" si="10"/>
        <v>476462.87176469609</v>
      </c>
      <c r="AZ31" s="919"/>
      <c r="BA31" s="920">
        <f t="shared" si="11"/>
        <v>12388034.665882098</v>
      </c>
      <c r="BB31" s="920">
        <f t="shared" si="30"/>
        <v>371641.0399764629</v>
      </c>
      <c r="BC31" s="919">
        <f t="shared" si="12"/>
        <v>495521.38663528394</v>
      </c>
      <c r="BD31" s="919"/>
      <c r="BE31" s="975">
        <f t="shared" si="13"/>
        <v>12883556.052517381</v>
      </c>
      <c r="BF31" s="975">
        <f t="shared" si="31"/>
        <v>386506.68157552142</v>
      </c>
      <c r="BG31" s="919">
        <f t="shared" si="14"/>
        <v>515342.24210069521</v>
      </c>
      <c r="BH31" s="975"/>
      <c r="BI31" s="975">
        <f t="shared" si="15"/>
        <v>13398898.294618076</v>
      </c>
      <c r="BJ31" s="975">
        <f t="shared" si="32"/>
        <v>401966.94883854227</v>
      </c>
      <c r="BK31" s="919">
        <f t="shared" si="16"/>
        <v>535955.93178472307</v>
      </c>
      <c r="BL31" s="975"/>
      <c r="BM31" s="975">
        <f t="shared" si="17"/>
        <v>13934854.226402799</v>
      </c>
      <c r="BN31" s="926">
        <f t="shared" si="18"/>
        <v>1045114.0669802099</v>
      </c>
      <c r="BO31" s="926">
        <f t="shared" si="19"/>
        <v>348371.35566006997</v>
      </c>
      <c r="BP31" s="926">
        <f t="shared" si="20"/>
        <v>1672182.5071683358</v>
      </c>
      <c r="BQ31" s="926">
        <f t="shared" si="21"/>
        <v>17000522.156211413</v>
      </c>
      <c r="BR31" s="926">
        <f t="shared" si="22"/>
        <v>229272.04526246004</v>
      </c>
      <c r="BS31" s="963">
        <v>0.15</v>
      </c>
      <c r="BT31" s="954">
        <f t="shared" si="85"/>
        <v>2550078.3234317121</v>
      </c>
      <c r="BU31" s="926">
        <v>50000</v>
      </c>
      <c r="BV31" s="954">
        <f t="shared" si="76"/>
        <v>357154.04620453028</v>
      </c>
      <c r="BW31" s="869">
        <f t="shared" si="35"/>
        <v>7</v>
      </c>
      <c r="BX31" s="954">
        <f t="shared" si="77"/>
        <v>14450443.832779702</v>
      </c>
      <c r="BY31" s="931"/>
      <c r="BZ31" s="959">
        <v>46082</v>
      </c>
      <c r="CA31" s="960">
        <f t="shared" si="37"/>
        <v>7</v>
      </c>
      <c r="CB31" s="960">
        <f t="shared" si="38"/>
        <v>8</v>
      </c>
      <c r="CC31" s="931"/>
      <c r="CD31" s="931"/>
      <c r="CE31" s="931"/>
      <c r="CF31" s="931"/>
      <c r="CG31" s="931"/>
      <c r="CH31" s="931"/>
      <c r="CI31" s="931"/>
      <c r="CJ31" s="931"/>
      <c r="CK31" s="931"/>
      <c r="CL31" s="931"/>
      <c r="CM31" s="931"/>
      <c r="CN31" s="931"/>
      <c r="CO31" s="931"/>
      <c r="CP31" s="931"/>
      <c r="CQ31" s="931"/>
      <c r="CR31" s="931"/>
      <c r="CS31" s="931"/>
      <c r="CT31" s="931"/>
      <c r="CU31" s="931"/>
      <c r="CV31" s="931"/>
      <c r="CW31" s="931"/>
      <c r="CX31" s="931"/>
      <c r="CY31" s="931"/>
      <c r="CZ31" s="931"/>
      <c r="DA31" s="931"/>
      <c r="DB31" s="931"/>
      <c r="DC31" s="931"/>
      <c r="DD31" s="931"/>
      <c r="DE31" s="931"/>
      <c r="DF31" s="931"/>
      <c r="DG31" s="931"/>
      <c r="DH31" s="931"/>
      <c r="DI31" s="931"/>
      <c r="DJ31" s="931"/>
      <c r="DK31" s="931"/>
      <c r="DL31" s="931"/>
      <c r="DM31" s="931"/>
      <c r="DN31" s="931"/>
      <c r="DO31" s="931"/>
      <c r="DP31" s="931"/>
      <c r="DQ31" s="931"/>
      <c r="DR31" s="931"/>
      <c r="DS31" s="931"/>
      <c r="DT31" s="931"/>
      <c r="DU31" s="931"/>
      <c r="DV31" s="931"/>
      <c r="DW31" s="931"/>
      <c r="DX31" s="931"/>
      <c r="DY31" s="931"/>
      <c r="DZ31" s="931"/>
      <c r="EA31" s="931"/>
      <c r="EB31" s="931"/>
      <c r="EC31" s="931"/>
      <c r="ED31" s="931"/>
      <c r="EE31" s="931"/>
      <c r="EF31" s="931"/>
      <c r="EG31" s="931"/>
      <c r="EH31" s="931"/>
      <c r="EI31" s="931"/>
      <c r="EJ31" s="931"/>
      <c r="EK31" s="931"/>
      <c r="EL31" s="931"/>
      <c r="EM31" s="931"/>
      <c r="EN31" s="931"/>
      <c r="EO31" s="931"/>
      <c r="EP31" s="931"/>
      <c r="EQ31" s="931"/>
      <c r="ER31" s="931"/>
      <c r="ES31" s="931"/>
      <c r="ET31" s="931"/>
      <c r="EU31" s="931"/>
      <c r="EV31" s="931"/>
      <c r="EW31" s="931"/>
      <c r="EX31" s="931"/>
      <c r="EY31" s="931"/>
      <c r="EZ31" s="931"/>
      <c r="FA31" s="931"/>
      <c r="FB31" s="931"/>
      <c r="FC31" s="931"/>
      <c r="FD31" s="931"/>
      <c r="FE31" s="931"/>
      <c r="FF31" s="931"/>
      <c r="FG31" s="931"/>
      <c r="FH31" s="931"/>
      <c r="FI31" s="931"/>
      <c r="FJ31" s="931"/>
      <c r="FK31" s="931"/>
      <c r="FL31" s="931"/>
      <c r="FM31" s="931"/>
      <c r="FN31" s="931"/>
      <c r="FO31" s="931"/>
      <c r="FP31" s="931"/>
      <c r="FQ31" s="931"/>
      <c r="FR31" s="931"/>
      <c r="FS31" s="931"/>
      <c r="FT31" s="931"/>
      <c r="FU31" s="931"/>
      <c r="FV31" s="931"/>
      <c r="FW31" s="964"/>
      <c r="FX31" s="964"/>
      <c r="FY31" s="964"/>
      <c r="FZ31" s="964"/>
      <c r="GA31" s="964"/>
      <c r="GB31" s="964"/>
      <c r="GC31" s="964"/>
      <c r="GD31" s="964"/>
      <c r="GE31" s="964"/>
      <c r="GF31" s="964"/>
      <c r="GI31" s="912"/>
    </row>
    <row r="32" spans="1:191" s="929" customFormat="1" x14ac:dyDescent="0.2">
      <c r="A32" s="952">
        <f t="shared" si="39"/>
        <v>19</v>
      </c>
      <c r="B32" s="952">
        <f t="shared" si="87"/>
        <v>12</v>
      </c>
      <c r="C32" s="952" t="s">
        <v>558</v>
      </c>
      <c r="D32" s="952"/>
      <c r="E32" s="952" t="s">
        <v>105</v>
      </c>
      <c r="F32" s="869" t="s">
        <v>106</v>
      </c>
      <c r="G32" s="869" t="s">
        <v>133</v>
      </c>
      <c r="H32" s="869" t="s">
        <v>134</v>
      </c>
      <c r="I32" s="869" t="s">
        <v>109</v>
      </c>
      <c r="J32" s="926">
        <v>83.12</v>
      </c>
      <c r="K32" s="962">
        <v>13.04</v>
      </c>
      <c r="L32" s="962">
        <v>0</v>
      </c>
      <c r="M32" s="926">
        <f t="shared" si="70"/>
        <v>96.16</v>
      </c>
      <c r="N32" s="926"/>
      <c r="O32" s="926"/>
      <c r="P32" s="965"/>
      <c r="Q32" s="926">
        <f t="shared" si="79"/>
        <v>10971840</v>
      </c>
      <c r="R32" s="926">
        <f t="shared" si="80"/>
        <v>860640</v>
      </c>
      <c r="S32" s="926">
        <f t="shared" si="23"/>
        <v>11832480</v>
      </c>
      <c r="T32" s="926"/>
      <c r="U32" s="869">
        <v>1</v>
      </c>
      <c r="V32" s="926">
        <f t="shared" si="81"/>
        <v>48080</v>
      </c>
      <c r="W32" s="926"/>
      <c r="X32" s="954">
        <f t="shared" si="82"/>
        <v>59162.400000000001</v>
      </c>
      <c r="Y32" s="926">
        <f>M32*$Y$5</f>
        <v>192320</v>
      </c>
      <c r="Z32" s="926">
        <f t="shared" ref="Z32:Z38" si="90">M32*$Z$5</f>
        <v>96160</v>
      </c>
      <c r="AA32" s="961" t="s">
        <v>110</v>
      </c>
      <c r="AB32" s="961" t="s">
        <v>573</v>
      </c>
      <c r="AC32" s="926">
        <f t="shared" si="89"/>
        <v>395722.4</v>
      </c>
      <c r="AD32" s="926"/>
      <c r="AE32" s="956">
        <f t="shared" si="24"/>
        <v>12228202.4</v>
      </c>
      <c r="AF32" s="956">
        <f t="shared" si="71"/>
        <v>376628.63392000005</v>
      </c>
      <c r="AG32" s="957">
        <f t="shared" si="72"/>
        <v>12604831.033920001</v>
      </c>
      <c r="AH32" s="919">
        <f t="shared" si="73"/>
        <v>286129.66446998407</v>
      </c>
      <c r="AI32" s="957">
        <f t="shared" si="25"/>
        <v>12890960.698389985</v>
      </c>
      <c r="AJ32" s="919">
        <f t="shared" si="74"/>
        <v>322274.01745974965</v>
      </c>
      <c r="AK32" s="920">
        <f t="shared" si="75"/>
        <v>13213234.715849735</v>
      </c>
      <c r="AL32" s="919">
        <f t="shared" si="2"/>
        <v>330330.86789624341</v>
      </c>
      <c r="AM32" s="982">
        <f t="shared" si="27"/>
        <v>13543565.583745979</v>
      </c>
      <c r="AN32" s="919">
        <f t="shared" si="3"/>
        <v>338589.13959364948</v>
      </c>
      <c r="AO32" s="920">
        <f t="shared" si="43"/>
        <v>13882154.723339628</v>
      </c>
      <c r="AP32" s="919">
        <f t="shared" si="4"/>
        <v>347053.86808349076</v>
      </c>
      <c r="AQ32" s="920">
        <f t="shared" si="5"/>
        <v>14229208.591423118</v>
      </c>
      <c r="AR32" s="919">
        <f t="shared" si="6"/>
        <v>426876.25774269353</v>
      </c>
      <c r="AS32" s="920">
        <f t="shared" si="7"/>
        <v>14656084.849165812</v>
      </c>
      <c r="AT32" s="920">
        <f t="shared" si="28"/>
        <v>439682.54547497432</v>
      </c>
      <c r="AU32" s="919">
        <f t="shared" si="8"/>
        <v>586243.39396663255</v>
      </c>
      <c r="AV32" s="919"/>
      <c r="AW32" s="920">
        <f t="shared" si="9"/>
        <v>15242328.243132444</v>
      </c>
      <c r="AX32" s="920">
        <f t="shared" si="29"/>
        <v>457269.84729397332</v>
      </c>
      <c r="AY32" s="919">
        <f t="shared" si="10"/>
        <v>609693.1297252978</v>
      </c>
      <c r="AZ32" s="919"/>
      <c r="BA32" s="920">
        <f t="shared" si="11"/>
        <v>15852021.372857742</v>
      </c>
      <c r="BB32" s="920">
        <f t="shared" si="30"/>
        <v>475560.64118573227</v>
      </c>
      <c r="BC32" s="919">
        <f t="shared" si="12"/>
        <v>634080.85491430969</v>
      </c>
      <c r="BD32" s="919"/>
      <c r="BE32" s="975">
        <f t="shared" si="13"/>
        <v>16486102.227772051</v>
      </c>
      <c r="BF32" s="975">
        <f t="shared" si="31"/>
        <v>494583.06683316152</v>
      </c>
      <c r="BG32" s="919">
        <f t="shared" si="14"/>
        <v>659444.08911088202</v>
      </c>
      <c r="BH32" s="975"/>
      <c r="BI32" s="975">
        <f t="shared" si="15"/>
        <v>17145546.316882934</v>
      </c>
      <c r="BJ32" s="975">
        <f t="shared" si="32"/>
        <v>514366.38950648799</v>
      </c>
      <c r="BK32" s="919">
        <f t="shared" si="16"/>
        <v>685821.85267531744</v>
      </c>
      <c r="BL32" s="975"/>
      <c r="BM32" s="975">
        <f t="shared" si="17"/>
        <v>17831368.169558253</v>
      </c>
      <c r="BN32" s="926">
        <f t="shared" si="18"/>
        <v>1337352.612716869</v>
      </c>
      <c r="BO32" s="926">
        <f t="shared" si="19"/>
        <v>445784.20423895633</v>
      </c>
      <c r="BP32" s="926">
        <f t="shared" si="20"/>
        <v>2139764.1803469905</v>
      </c>
      <c r="BQ32" s="926">
        <f t="shared" si="21"/>
        <v>21754269.166861068</v>
      </c>
      <c r="BR32" s="926">
        <f t="shared" si="22"/>
        <v>226229.92062043541</v>
      </c>
      <c r="BS32" s="963">
        <v>0.15</v>
      </c>
      <c r="BT32" s="954">
        <f t="shared" si="85"/>
        <v>3263140.3750291602</v>
      </c>
      <c r="BU32" s="926">
        <v>50000</v>
      </c>
      <c r="BV32" s="954">
        <f t="shared" si="76"/>
        <v>459020.05357559433</v>
      </c>
      <c r="BW32" s="869">
        <f t="shared" si="35"/>
        <v>7</v>
      </c>
      <c r="BX32" s="954">
        <f t="shared" si="77"/>
        <v>18491128.791831907</v>
      </c>
      <c r="BY32" s="931"/>
      <c r="BZ32" s="959">
        <v>46082</v>
      </c>
      <c r="CA32" s="960">
        <f t="shared" si="37"/>
        <v>7</v>
      </c>
      <c r="CB32" s="960">
        <f t="shared" si="38"/>
        <v>8</v>
      </c>
      <c r="CC32" s="931"/>
      <c r="CD32" s="931"/>
      <c r="CE32" s="931"/>
      <c r="CF32" s="931"/>
      <c r="CG32" s="931"/>
      <c r="CH32" s="931"/>
      <c r="CI32" s="931"/>
      <c r="CJ32" s="931"/>
      <c r="CK32" s="931"/>
      <c r="CL32" s="931"/>
      <c r="CM32" s="931"/>
      <c r="CN32" s="931"/>
      <c r="CO32" s="931"/>
      <c r="CP32" s="931"/>
      <c r="CQ32" s="931"/>
      <c r="CR32" s="931"/>
      <c r="CS32" s="931"/>
      <c r="CT32" s="931"/>
      <c r="CU32" s="931"/>
      <c r="CV32" s="931"/>
      <c r="CW32" s="931"/>
      <c r="CX32" s="931"/>
      <c r="CY32" s="931"/>
      <c r="CZ32" s="931"/>
      <c r="DA32" s="931"/>
      <c r="DB32" s="931"/>
      <c r="DC32" s="931"/>
      <c r="DD32" s="931"/>
      <c r="DE32" s="931"/>
      <c r="DF32" s="931"/>
      <c r="DG32" s="931"/>
      <c r="DH32" s="931"/>
      <c r="DI32" s="931"/>
      <c r="DJ32" s="931"/>
      <c r="DK32" s="931"/>
      <c r="DL32" s="931"/>
      <c r="DM32" s="931"/>
      <c r="DN32" s="931"/>
      <c r="DO32" s="931"/>
      <c r="DP32" s="931"/>
      <c r="DQ32" s="931"/>
      <c r="DR32" s="931"/>
      <c r="DS32" s="931"/>
      <c r="DT32" s="931"/>
      <c r="DU32" s="931"/>
      <c r="DV32" s="931"/>
      <c r="DW32" s="931"/>
      <c r="DX32" s="931"/>
      <c r="DY32" s="931"/>
      <c r="DZ32" s="931"/>
      <c r="EA32" s="931"/>
      <c r="EB32" s="931"/>
      <c r="EC32" s="931"/>
      <c r="ED32" s="931"/>
      <c r="EE32" s="931"/>
      <c r="EF32" s="931"/>
      <c r="EG32" s="931"/>
      <c r="EH32" s="931"/>
      <c r="EI32" s="931"/>
      <c r="EJ32" s="931"/>
      <c r="EK32" s="931"/>
      <c r="EL32" s="931"/>
      <c r="EM32" s="931"/>
      <c r="EN32" s="931"/>
      <c r="EO32" s="931"/>
      <c r="EP32" s="931"/>
      <c r="EQ32" s="931"/>
      <c r="ER32" s="931"/>
      <c r="ES32" s="931"/>
      <c r="ET32" s="931"/>
      <c r="EU32" s="931"/>
      <c r="EV32" s="931"/>
      <c r="EW32" s="931"/>
      <c r="EX32" s="931"/>
      <c r="EY32" s="931"/>
      <c r="EZ32" s="931"/>
      <c r="FA32" s="931"/>
      <c r="FB32" s="931"/>
      <c r="FC32" s="931"/>
      <c r="FD32" s="931"/>
      <c r="FE32" s="931"/>
      <c r="FF32" s="931"/>
      <c r="FG32" s="931"/>
      <c r="FH32" s="931"/>
      <c r="FI32" s="931"/>
      <c r="FJ32" s="931"/>
      <c r="FK32" s="931"/>
      <c r="FL32" s="931"/>
      <c r="FM32" s="931"/>
      <c r="FN32" s="931"/>
      <c r="FO32" s="931"/>
      <c r="FP32" s="931"/>
      <c r="FQ32" s="931"/>
      <c r="FR32" s="931"/>
      <c r="FS32" s="931"/>
      <c r="FT32" s="931"/>
      <c r="FU32" s="931"/>
      <c r="FV32" s="931"/>
      <c r="FW32" s="964"/>
      <c r="FX32" s="964"/>
      <c r="FY32" s="964"/>
      <c r="FZ32" s="964"/>
      <c r="GA32" s="964"/>
      <c r="GB32" s="964"/>
      <c r="GC32" s="964"/>
      <c r="GD32" s="964"/>
      <c r="GE32" s="964"/>
      <c r="GF32" s="964"/>
      <c r="GI32" s="912"/>
    </row>
    <row r="33" spans="1:191" s="929" customFormat="1" x14ac:dyDescent="0.2">
      <c r="A33" s="952">
        <f t="shared" si="39"/>
        <v>20</v>
      </c>
      <c r="B33" s="952">
        <f t="shared" si="87"/>
        <v>13</v>
      </c>
      <c r="C33" s="952" t="s">
        <v>558</v>
      </c>
      <c r="D33" s="952"/>
      <c r="E33" s="952" t="s">
        <v>105</v>
      </c>
      <c r="F33" s="869" t="s">
        <v>106</v>
      </c>
      <c r="G33" s="869" t="s">
        <v>136</v>
      </c>
      <c r="H33" s="869" t="s">
        <v>137</v>
      </c>
      <c r="I33" s="869" t="s">
        <v>113</v>
      </c>
      <c r="J33" s="926">
        <v>52.04</v>
      </c>
      <c r="K33" s="962">
        <v>3.1</v>
      </c>
      <c r="L33" s="962">
        <v>0</v>
      </c>
      <c r="M33" s="926">
        <f t="shared" si="70"/>
        <v>55.14</v>
      </c>
      <c r="N33" s="926"/>
      <c r="O33" s="926"/>
      <c r="P33" s="965"/>
      <c r="Q33" s="926">
        <f t="shared" si="79"/>
        <v>6869280</v>
      </c>
      <c r="R33" s="926">
        <f t="shared" si="80"/>
        <v>204600</v>
      </c>
      <c r="S33" s="926">
        <f t="shared" si="23"/>
        <v>7073880</v>
      </c>
      <c r="T33" s="926"/>
      <c r="U33" s="869">
        <v>1</v>
      </c>
      <c r="V33" s="926">
        <f t="shared" si="81"/>
        <v>27570</v>
      </c>
      <c r="W33" s="926"/>
      <c r="X33" s="954">
        <f t="shared" si="82"/>
        <v>35369.4</v>
      </c>
      <c r="Y33" s="961"/>
      <c r="Z33" s="926">
        <f t="shared" si="90"/>
        <v>55140</v>
      </c>
      <c r="AA33" s="961" t="s">
        <v>114</v>
      </c>
      <c r="AB33" s="961" t="s">
        <v>573</v>
      </c>
      <c r="AC33" s="926">
        <f t="shared" si="89"/>
        <v>118079.4</v>
      </c>
      <c r="AD33" s="926"/>
      <c r="AE33" s="956">
        <f t="shared" si="24"/>
        <v>7191959.4000000004</v>
      </c>
      <c r="AF33" s="956">
        <f t="shared" si="71"/>
        <v>221512.34952000002</v>
      </c>
      <c r="AG33" s="957">
        <f t="shared" si="72"/>
        <v>7413471.7495200001</v>
      </c>
      <c r="AH33" s="919">
        <f t="shared" si="73"/>
        <v>168285.808714104</v>
      </c>
      <c r="AI33" s="957">
        <f t="shared" si="25"/>
        <v>7581757.558234104</v>
      </c>
      <c r="AJ33" s="919">
        <f t="shared" si="74"/>
        <v>189543.93895585262</v>
      </c>
      <c r="AK33" s="920">
        <f t="shared" si="75"/>
        <v>7771301.4971899567</v>
      </c>
      <c r="AL33" s="919">
        <f t="shared" si="2"/>
        <v>194282.53742974892</v>
      </c>
      <c r="AM33" s="982">
        <f t="shared" si="27"/>
        <v>7965584.0346197058</v>
      </c>
      <c r="AN33" s="919">
        <f t="shared" si="3"/>
        <v>199139.60086549266</v>
      </c>
      <c r="AO33" s="920">
        <f t="shared" si="43"/>
        <v>8164723.6354851983</v>
      </c>
      <c r="AP33" s="919">
        <f t="shared" si="4"/>
        <v>204118.09088712998</v>
      </c>
      <c r="AQ33" s="920">
        <f t="shared" si="5"/>
        <v>8368841.7263723286</v>
      </c>
      <c r="AR33" s="919">
        <f t="shared" si="6"/>
        <v>251065.25179116984</v>
      </c>
      <c r="AS33" s="920">
        <f t="shared" si="7"/>
        <v>8619906.9781634975</v>
      </c>
      <c r="AT33" s="920">
        <f t="shared" si="28"/>
        <v>258597.20934490493</v>
      </c>
      <c r="AU33" s="919">
        <f t="shared" si="8"/>
        <v>344796.27912653988</v>
      </c>
      <c r="AV33" s="919"/>
      <c r="AW33" s="920">
        <f t="shared" si="9"/>
        <v>8964703.2572900373</v>
      </c>
      <c r="AX33" s="920">
        <f t="shared" si="29"/>
        <v>268941.09771870112</v>
      </c>
      <c r="AY33" s="919">
        <f t="shared" si="10"/>
        <v>358588.13029160153</v>
      </c>
      <c r="AZ33" s="919"/>
      <c r="BA33" s="920">
        <f t="shared" si="11"/>
        <v>9323291.387581639</v>
      </c>
      <c r="BB33" s="920">
        <f t="shared" si="30"/>
        <v>279698.74162744917</v>
      </c>
      <c r="BC33" s="919">
        <f t="shared" si="12"/>
        <v>372931.65550326556</v>
      </c>
      <c r="BD33" s="919"/>
      <c r="BE33" s="975">
        <f t="shared" si="13"/>
        <v>9696223.0430849046</v>
      </c>
      <c r="BF33" s="975">
        <f t="shared" si="31"/>
        <v>290886.6912925471</v>
      </c>
      <c r="BG33" s="919">
        <f t="shared" si="14"/>
        <v>387848.92172339617</v>
      </c>
      <c r="BH33" s="975"/>
      <c r="BI33" s="975">
        <f t="shared" si="15"/>
        <v>10084071.9648083</v>
      </c>
      <c r="BJ33" s="975">
        <f t="shared" si="32"/>
        <v>302522.15894424898</v>
      </c>
      <c r="BK33" s="919">
        <f t="shared" si="16"/>
        <v>403362.87859233201</v>
      </c>
      <c r="BL33" s="975"/>
      <c r="BM33" s="975">
        <f t="shared" si="17"/>
        <v>10487434.843400633</v>
      </c>
      <c r="BN33" s="926">
        <f t="shared" si="18"/>
        <v>786557.61325504747</v>
      </c>
      <c r="BO33" s="926">
        <f t="shared" si="19"/>
        <v>262185.87108501582</v>
      </c>
      <c r="BP33" s="926">
        <f t="shared" si="20"/>
        <v>1258492.181208076</v>
      </c>
      <c r="BQ33" s="926">
        <f t="shared" si="21"/>
        <v>12794670.508948773</v>
      </c>
      <c r="BR33" s="926">
        <f t="shared" si="22"/>
        <v>232039.72631390594</v>
      </c>
      <c r="BS33" s="963">
        <v>0.15</v>
      </c>
      <c r="BT33" s="954">
        <f t="shared" si="85"/>
        <v>1919200.5763423159</v>
      </c>
      <c r="BU33" s="926">
        <v>50000</v>
      </c>
      <c r="BV33" s="954">
        <f t="shared" si="76"/>
        <v>267028.65376318799</v>
      </c>
      <c r="BW33" s="869">
        <f t="shared" si="35"/>
        <v>7</v>
      </c>
      <c r="BX33" s="954">
        <f t="shared" si="77"/>
        <v>10875469.932606457</v>
      </c>
      <c r="BY33" s="931"/>
      <c r="BZ33" s="959">
        <v>46082</v>
      </c>
      <c r="CA33" s="960">
        <f t="shared" si="37"/>
        <v>7</v>
      </c>
      <c r="CB33" s="960">
        <f t="shared" si="38"/>
        <v>8</v>
      </c>
      <c r="CC33" s="931"/>
      <c r="CD33" s="931"/>
      <c r="CE33" s="931"/>
      <c r="CF33" s="931"/>
      <c r="CG33" s="931"/>
      <c r="CH33" s="931"/>
      <c r="CI33" s="931"/>
      <c r="CJ33" s="931"/>
      <c r="CK33" s="931"/>
      <c r="CL33" s="931"/>
      <c r="CM33" s="931"/>
      <c r="CN33" s="931"/>
      <c r="CO33" s="931"/>
      <c r="CP33" s="931"/>
      <c r="CQ33" s="931"/>
      <c r="CR33" s="931"/>
      <c r="CS33" s="931"/>
      <c r="CT33" s="931"/>
      <c r="CU33" s="931"/>
      <c r="CV33" s="931"/>
      <c r="CW33" s="931"/>
      <c r="CX33" s="931"/>
      <c r="CY33" s="931"/>
      <c r="CZ33" s="931"/>
      <c r="DA33" s="931"/>
      <c r="DB33" s="931"/>
      <c r="DC33" s="931"/>
      <c r="DD33" s="931"/>
      <c r="DE33" s="931"/>
      <c r="DF33" s="931"/>
      <c r="DG33" s="931"/>
      <c r="DH33" s="931"/>
      <c r="DI33" s="931"/>
      <c r="DJ33" s="931"/>
      <c r="DK33" s="931"/>
      <c r="DL33" s="931"/>
      <c r="DM33" s="931"/>
      <c r="DN33" s="931"/>
      <c r="DO33" s="931"/>
      <c r="DP33" s="931"/>
      <c r="DQ33" s="931"/>
      <c r="DR33" s="931"/>
      <c r="DS33" s="931"/>
      <c r="DT33" s="931"/>
      <c r="DU33" s="931"/>
      <c r="DV33" s="931"/>
      <c r="DW33" s="931"/>
      <c r="DX33" s="931"/>
      <c r="DY33" s="931"/>
      <c r="DZ33" s="931"/>
      <c r="EA33" s="931"/>
      <c r="EB33" s="931"/>
      <c r="EC33" s="931"/>
      <c r="ED33" s="931"/>
      <c r="EE33" s="931"/>
      <c r="EF33" s="931"/>
      <c r="EG33" s="931"/>
      <c r="EH33" s="931"/>
      <c r="EI33" s="931"/>
      <c r="EJ33" s="931"/>
      <c r="EK33" s="931"/>
      <c r="EL33" s="931"/>
      <c r="EM33" s="931"/>
      <c r="EN33" s="931"/>
      <c r="EO33" s="931"/>
      <c r="EP33" s="931"/>
      <c r="EQ33" s="931"/>
      <c r="ER33" s="931"/>
      <c r="ES33" s="931"/>
      <c r="ET33" s="931"/>
      <c r="EU33" s="931"/>
      <c r="EV33" s="931"/>
      <c r="EW33" s="931"/>
      <c r="EX33" s="931"/>
      <c r="EY33" s="931"/>
      <c r="EZ33" s="931"/>
      <c r="FA33" s="931"/>
      <c r="FB33" s="931"/>
      <c r="FC33" s="931"/>
      <c r="FD33" s="931"/>
      <c r="FE33" s="931"/>
      <c r="FF33" s="931"/>
      <c r="FG33" s="931"/>
      <c r="FH33" s="931"/>
      <c r="FI33" s="931"/>
      <c r="FJ33" s="931"/>
      <c r="FK33" s="931"/>
      <c r="FL33" s="931"/>
      <c r="FM33" s="931"/>
      <c r="FN33" s="931"/>
      <c r="FO33" s="931"/>
      <c r="FP33" s="931"/>
      <c r="FQ33" s="931"/>
      <c r="FR33" s="931"/>
      <c r="FS33" s="931"/>
      <c r="FT33" s="931"/>
      <c r="FU33" s="931"/>
      <c r="FV33" s="931"/>
      <c r="FW33" s="964"/>
      <c r="FX33" s="964"/>
      <c r="FY33" s="964"/>
      <c r="FZ33" s="964"/>
      <c r="GA33" s="964"/>
      <c r="GB33" s="964"/>
      <c r="GC33" s="964"/>
      <c r="GD33" s="964"/>
      <c r="GE33" s="964"/>
      <c r="GF33" s="964"/>
      <c r="GI33" s="912"/>
    </row>
    <row r="34" spans="1:191" s="929" customFormat="1" x14ac:dyDescent="0.2">
      <c r="A34" s="952">
        <f t="shared" si="39"/>
        <v>21</v>
      </c>
      <c r="B34" s="952">
        <v>1</v>
      </c>
      <c r="C34" s="952" t="s">
        <v>558</v>
      </c>
      <c r="D34" s="952"/>
      <c r="E34" s="952" t="s">
        <v>106</v>
      </c>
      <c r="F34" s="869" t="s">
        <v>138</v>
      </c>
      <c r="G34" s="869" t="s">
        <v>107</v>
      </c>
      <c r="H34" s="869" t="s">
        <v>139</v>
      </c>
      <c r="I34" s="869" t="s">
        <v>572</v>
      </c>
      <c r="J34" s="926">
        <v>99.98</v>
      </c>
      <c r="K34" s="962">
        <v>10.29</v>
      </c>
      <c r="L34" s="962">
        <v>0</v>
      </c>
      <c r="M34" s="926">
        <f t="shared" si="70"/>
        <v>110.27000000000001</v>
      </c>
      <c r="N34" s="926"/>
      <c r="O34" s="926"/>
      <c r="P34" s="965"/>
      <c r="Q34" s="926">
        <f t="shared" si="79"/>
        <v>13197360</v>
      </c>
      <c r="R34" s="926">
        <f t="shared" si="80"/>
        <v>679140</v>
      </c>
      <c r="S34" s="926">
        <f t="shared" si="23"/>
        <v>13876500</v>
      </c>
      <c r="T34" s="926"/>
      <c r="U34" s="869">
        <v>2</v>
      </c>
      <c r="V34" s="926">
        <f t="shared" si="81"/>
        <v>110270.00000000001</v>
      </c>
      <c r="W34" s="926"/>
      <c r="X34" s="954">
        <f t="shared" si="82"/>
        <v>69382.5</v>
      </c>
      <c r="Y34" s="926">
        <f>M34*$Y$5</f>
        <v>220540.00000000003</v>
      </c>
      <c r="Z34" s="926">
        <f t="shared" si="90"/>
        <v>110270.00000000001</v>
      </c>
      <c r="AA34" s="961" t="str">
        <f t="shared" ref="AA34:AA46" si="91">AA21</f>
        <v>CORNER</v>
      </c>
      <c r="AB34" s="961" t="s">
        <v>573</v>
      </c>
      <c r="AC34" s="926">
        <f t="shared" si="84"/>
        <v>510462.5</v>
      </c>
      <c r="AD34" s="926"/>
      <c r="AE34" s="956">
        <f t="shared" si="24"/>
        <v>14386962.5</v>
      </c>
      <c r="AF34" s="956">
        <f t="shared" si="71"/>
        <v>443118.44500000001</v>
      </c>
      <c r="AG34" s="957">
        <f t="shared" si="72"/>
        <v>14830080.945</v>
      </c>
      <c r="AH34" s="919">
        <f t="shared" si="73"/>
        <v>336642.8374515</v>
      </c>
      <c r="AI34" s="957">
        <f t="shared" si="25"/>
        <v>15166723.782451501</v>
      </c>
      <c r="AJ34" s="919">
        <f t="shared" si="74"/>
        <v>379168.09456128755</v>
      </c>
      <c r="AK34" s="920">
        <f t="shared" si="75"/>
        <v>15545891.877012789</v>
      </c>
      <c r="AL34" s="919">
        <f t="shared" si="2"/>
        <v>388647.29692531977</v>
      </c>
      <c r="AM34" s="982">
        <f t="shared" si="27"/>
        <v>15934539.173938109</v>
      </c>
      <c r="AN34" s="919">
        <f t="shared" si="3"/>
        <v>398363.47934845276</v>
      </c>
      <c r="AO34" s="920">
        <f t="shared" si="43"/>
        <v>16332902.653286561</v>
      </c>
      <c r="AP34" s="919">
        <f t="shared" si="4"/>
        <v>408322.56633216405</v>
      </c>
      <c r="AQ34" s="920">
        <f t="shared" si="5"/>
        <v>16741225.219618725</v>
      </c>
      <c r="AR34" s="919">
        <f t="shared" si="6"/>
        <v>502236.75658856169</v>
      </c>
      <c r="AS34" s="920">
        <f t="shared" si="7"/>
        <v>17243461.976207286</v>
      </c>
      <c r="AT34" s="920">
        <f t="shared" si="28"/>
        <v>517303.85928621859</v>
      </c>
      <c r="AU34" s="919">
        <f t="shared" si="8"/>
        <v>689738.47904829145</v>
      </c>
      <c r="AV34" s="919"/>
      <c r="AW34" s="920">
        <f t="shared" si="9"/>
        <v>17933200.455255579</v>
      </c>
      <c r="AX34" s="920">
        <f t="shared" si="29"/>
        <v>537996.01365766732</v>
      </c>
      <c r="AY34" s="919">
        <f t="shared" si="10"/>
        <v>717328.01821022318</v>
      </c>
      <c r="AZ34" s="919"/>
      <c r="BA34" s="920">
        <f t="shared" si="11"/>
        <v>18650528.473465804</v>
      </c>
      <c r="BB34" s="920">
        <f t="shared" si="30"/>
        <v>559515.85420397413</v>
      </c>
      <c r="BC34" s="919">
        <f t="shared" si="12"/>
        <v>746021.13893863221</v>
      </c>
      <c r="BD34" s="919"/>
      <c r="BE34" s="975">
        <f t="shared" si="13"/>
        <v>19396549.612404436</v>
      </c>
      <c r="BF34" s="975">
        <f t="shared" si="31"/>
        <v>581896.488372133</v>
      </c>
      <c r="BG34" s="919">
        <f t="shared" si="14"/>
        <v>775861.98449617741</v>
      </c>
      <c r="BH34" s="975"/>
      <c r="BI34" s="975">
        <f t="shared" si="15"/>
        <v>20172411.596900612</v>
      </c>
      <c r="BJ34" s="975">
        <f t="shared" si="32"/>
        <v>605172.34790701838</v>
      </c>
      <c r="BK34" s="919">
        <f t="shared" si="16"/>
        <v>806896.46387602447</v>
      </c>
      <c r="BL34" s="975"/>
      <c r="BM34" s="975">
        <f t="shared" si="17"/>
        <v>20979308.060776636</v>
      </c>
      <c r="BN34" s="926">
        <f t="shared" si="18"/>
        <v>1573448.1045582476</v>
      </c>
      <c r="BO34" s="926">
        <f t="shared" si="19"/>
        <v>524482.70151941595</v>
      </c>
      <c r="BP34" s="926">
        <f t="shared" si="20"/>
        <v>2517516.9672931964</v>
      </c>
      <c r="BQ34" s="926">
        <f t="shared" si="21"/>
        <v>25594755.834147494</v>
      </c>
      <c r="BR34" s="926">
        <f t="shared" si="22"/>
        <v>232109.87425544113</v>
      </c>
      <c r="BS34" s="963">
        <v>0.15</v>
      </c>
      <c r="BT34" s="954">
        <f t="shared" si="85"/>
        <v>3839213.3751221239</v>
      </c>
      <c r="BU34" s="926">
        <v>50000</v>
      </c>
      <c r="BV34" s="954">
        <f t="shared" si="76"/>
        <v>541316.19644601771</v>
      </c>
      <c r="BW34" s="869">
        <f t="shared" si="35"/>
        <v>7</v>
      </c>
      <c r="BX34" s="954">
        <f t="shared" si="77"/>
        <v>21755542.459025372</v>
      </c>
      <c r="BY34" s="931"/>
      <c r="BZ34" s="959">
        <v>46082</v>
      </c>
      <c r="CA34" s="960">
        <f t="shared" si="37"/>
        <v>7</v>
      </c>
      <c r="CB34" s="960">
        <f t="shared" si="38"/>
        <v>8</v>
      </c>
      <c r="CC34" s="931"/>
      <c r="CD34" s="931"/>
      <c r="CE34" s="931"/>
      <c r="CF34" s="931"/>
      <c r="CG34" s="931"/>
      <c r="CH34" s="931"/>
      <c r="CI34" s="931"/>
      <c r="CJ34" s="931"/>
      <c r="CK34" s="931"/>
      <c r="CL34" s="931"/>
      <c r="CM34" s="931"/>
      <c r="CN34" s="931"/>
      <c r="CO34" s="931"/>
      <c r="CP34" s="931"/>
      <c r="CQ34" s="931"/>
      <c r="CR34" s="931"/>
      <c r="CS34" s="931"/>
      <c r="CT34" s="931"/>
      <c r="CU34" s="931"/>
      <c r="CV34" s="931"/>
      <c r="CW34" s="931"/>
      <c r="CX34" s="931"/>
      <c r="CY34" s="931"/>
      <c r="CZ34" s="931"/>
      <c r="DA34" s="931"/>
      <c r="DB34" s="931"/>
      <c r="DC34" s="931"/>
      <c r="DD34" s="931"/>
      <c r="DE34" s="931"/>
      <c r="DF34" s="931"/>
      <c r="DG34" s="931"/>
      <c r="DH34" s="931"/>
      <c r="DI34" s="931"/>
      <c r="DJ34" s="931"/>
      <c r="DK34" s="931"/>
      <c r="DL34" s="931"/>
      <c r="DM34" s="931"/>
      <c r="DN34" s="931"/>
      <c r="DO34" s="931"/>
      <c r="DP34" s="931"/>
      <c r="DQ34" s="931"/>
      <c r="DR34" s="931"/>
      <c r="DS34" s="931"/>
      <c r="DT34" s="931"/>
      <c r="DU34" s="931"/>
      <c r="DV34" s="931"/>
      <c r="DW34" s="931"/>
      <c r="DX34" s="931"/>
      <c r="DY34" s="931"/>
      <c r="DZ34" s="931"/>
      <c r="EA34" s="931"/>
      <c r="EB34" s="931"/>
      <c r="EC34" s="931"/>
      <c r="ED34" s="931"/>
      <c r="EE34" s="931"/>
      <c r="EF34" s="931"/>
      <c r="EG34" s="931"/>
      <c r="EH34" s="931"/>
      <c r="EI34" s="931"/>
      <c r="EJ34" s="931"/>
      <c r="EK34" s="931"/>
      <c r="EL34" s="931"/>
      <c r="EM34" s="931"/>
      <c r="EN34" s="931"/>
      <c r="EO34" s="931"/>
      <c r="EP34" s="931"/>
      <c r="EQ34" s="931"/>
      <c r="ER34" s="931"/>
      <c r="ES34" s="931"/>
      <c r="ET34" s="931"/>
      <c r="EU34" s="931"/>
      <c r="EV34" s="931"/>
      <c r="EW34" s="931"/>
      <c r="EX34" s="931"/>
      <c r="EY34" s="931"/>
      <c r="EZ34" s="931"/>
      <c r="FA34" s="931"/>
      <c r="FB34" s="931"/>
      <c r="FC34" s="931"/>
      <c r="FD34" s="931"/>
      <c r="FE34" s="931"/>
      <c r="FF34" s="931"/>
      <c r="FG34" s="931"/>
      <c r="FH34" s="931"/>
      <c r="FI34" s="931"/>
      <c r="FJ34" s="931"/>
      <c r="FK34" s="931"/>
      <c r="FL34" s="931"/>
      <c r="FM34" s="931"/>
      <c r="FN34" s="931"/>
      <c r="FO34" s="931"/>
      <c r="FP34" s="931"/>
      <c r="FQ34" s="931"/>
      <c r="FR34" s="931"/>
      <c r="FS34" s="931"/>
      <c r="FT34" s="931"/>
      <c r="FU34" s="931"/>
      <c r="FV34" s="931"/>
      <c r="FW34" s="964"/>
      <c r="FX34" s="964"/>
      <c r="FY34" s="964"/>
      <c r="FZ34" s="964"/>
      <c r="GA34" s="964"/>
      <c r="GB34" s="964"/>
      <c r="GC34" s="964"/>
      <c r="GD34" s="964"/>
      <c r="GE34" s="964"/>
      <c r="GF34" s="964"/>
      <c r="GI34" s="912"/>
    </row>
    <row r="35" spans="1:191" s="929" customFormat="1" x14ac:dyDescent="0.2">
      <c r="A35" s="952">
        <f t="shared" si="39"/>
        <v>22</v>
      </c>
      <c r="B35" s="952">
        <f>B34+1</f>
        <v>2</v>
      </c>
      <c r="C35" s="952" t="s">
        <v>558</v>
      </c>
      <c r="D35" s="952"/>
      <c r="E35" s="952" t="s">
        <v>106</v>
      </c>
      <c r="F35" s="869" t="s">
        <v>138</v>
      </c>
      <c r="G35" s="869" t="s">
        <v>111</v>
      </c>
      <c r="H35" s="869" t="s">
        <v>140</v>
      </c>
      <c r="I35" s="869" t="s">
        <v>113</v>
      </c>
      <c r="J35" s="926">
        <v>52.86</v>
      </c>
      <c r="K35" s="962">
        <v>5.09</v>
      </c>
      <c r="L35" s="962">
        <v>0</v>
      </c>
      <c r="M35" s="926">
        <f t="shared" si="70"/>
        <v>57.95</v>
      </c>
      <c r="N35" s="926"/>
      <c r="O35" s="926"/>
      <c r="P35" s="965"/>
      <c r="Q35" s="926">
        <f t="shared" si="79"/>
        <v>6977520</v>
      </c>
      <c r="R35" s="926">
        <f t="shared" si="80"/>
        <v>335940</v>
      </c>
      <c r="S35" s="926">
        <f t="shared" si="23"/>
        <v>7313460</v>
      </c>
      <c r="T35" s="926"/>
      <c r="U35" s="869">
        <v>2</v>
      </c>
      <c r="V35" s="926">
        <f t="shared" si="81"/>
        <v>57950</v>
      </c>
      <c r="W35" s="926"/>
      <c r="X35" s="954">
        <f t="shared" si="82"/>
        <v>36567.300000000003</v>
      </c>
      <c r="Y35" s="961"/>
      <c r="Z35" s="926">
        <f t="shared" si="90"/>
        <v>57950</v>
      </c>
      <c r="AA35" s="961" t="str">
        <f t="shared" si="91"/>
        <v>INNER</v>
      </c>
      <c r="AB35" s="961" t="s">
        <v>573</v>
      </c>
      <c r="AC35" s="926">
        <f t="shared" si="84"/>
        <v>152467.29999999999</v>
      </c>
      <c r="AD35" s="926"/>
      <c r="AE35" s="956">
        <f t="shared" si="24"/>
        <v>7465927.2999999998</v>
      </c>
      <c r="AF35" s="956">
        <f t="shared" si="71"/>
        <v>229950.56083999999</v>
      </c>
      <c r="AG35" s="957">
        <f t="shared" si="72"/>
        <v>7695877.8608400002</v>
      </c>
      <c r="AH35" s="919">
        <f t="shared" si="73"/>
        <v>174696.42744106802</v>
      </c>
      <c r="AI35" s="957">
        <f t="shared" si="25"/>
        <v>7870574.2882810682</v>
      </c>
      <c r="AJ35" s="919">
        <f t="shared" si="74"/>
        <v>196764.35720702671</v>
      </c>
      <c r="AK35" s="920">
        <f t="shared" si="75"/>
        <v>8067338.6454880945</v>
      </c>
      <c r="AL35" s="919">
        <f t="shared" si="2"/>
        <v>201683.46613720237</v>
      </c>
      <c r="AM35" s="982">
        <f t="shared" si="27"/>
        <v>8269022.111625297</v>
      </c>
      <c r="AN35" s="919">
        <f t="shared" si="3"/>
        <v>206725.55279063244</v>
      </c>
      <c r="AO35" s="920">
        <f t="shared" si="43"/>
        <v>8475747.6644159295</v>
      </c>
      <c r="AP35" s="919">
        <f t="shared" si="4"/>
        <v>211893.69161039824</v>
      </c>
      <c r="AQ35" s="920">
        <f t="shared" si="5"/>
        <v>8687641.3560263272</v>
      </c>
      <c r="AR35" s="919">
        <f t="shared" si="6"/>
        <v>260629.24068078981</v>
      </c>
      <c r="AS35" s="920">
        <f t="shared" si="7"/>
        <v>8948270.5967071168</v>
      </c>
      <c r="AT35" s="920">
        <f t="shared" si="28"/>
        <v>268448.11790121347</v>
      </c>
      <c r="AU35" s="919">
        <f t="shared" si="8"/>
        <v>357930.8238682847</v>
      </c>
      <c r="AV35" s="919"/>
      <c r="AW35" s="920">
        <f t="shared" si="9"/>
        <v>9306201.4205754008</v>
      </c>
      <c r="AX35" s="920">
        <f t="shared" si="29"/>
        <v>279186.04261726199</v>
      </c>
      <c r="AY35" s="919">
        <f t="shared" si="10"/>
        <v>372248.05682301603</v>
      </c>
      <c r="AZ35" s="919"/>
      <c r="BA35" s="920">
        <f t="shared" si="11"/>
        <v>9678449.477398416</v>
      </c>
      <c r="BB35" s="920">
        <f t="shared" si="30"/>
        <v>290353.48432195245</v>
      </c>
      <c r="BC35" s="919">
        <f t="shared" si="12"/>
        <v>387137.97909593664</v>
      </c>
      <c r="BD35" s="919"/>
      <c r="BE35" s="975">
        <f t="shared" si="13"/>
        <v>10065587.456494352</v>
      </c>
      <c r="BF35" s="975">
        <f t="shared" si="31"/>
        <v>301967.62369483052</v>
      </c>
      <c r="BG35" s="919">
        <f t="shared" si="14"/>
        <v>402623.49825977406</v>
      </c>
      <c r="BH35" s="975"/>
      <c r="BI35" s="975">
        <f t="shared" si="15"/>
        <v>10468210.954754125</v>
      </c>
      <c r="BJ35" s="975">
        <f t="shared" si="32"/>
        <v>314046.32864262373</v>
      </c>
      <c r="BK35" s="919">
        <f t="shared" si="16"/>
        <v>418728.43819016503</v>
      </c>
      <c r="BL35" s="975"/>
      <c r="BM35" s="975">
        <f t="shared" si="17"/>
        <v>10886939.392944291</v>
      </c>
      <c r="BN35" s="926">
        <f t="shared" si="18"/>
        <v>816520.45447082177</v>
      </c>
      <c r="BO35" s="926">
        <f t="shared" si="19"/>
        <v>272173.48482360732</v>
      </c>
      <c r="BP35" s="926">
        <f t="shared" si="20"/>
        <v>1306432.727153315</v>
      </c>
      <c r="BQ35" s="926">
        <f t="shared" si="21"/>
        <v>13282066.059392035</v>
      </c>
      <c r="BR35" s="926">
        <f t="shared" si="22"/>
        <v>229198.72406198506</v>
      </c>
      <c r="BS35" s="963">
        <v>0.15</v>
      </c>
      <c r="BT35" s="954">
        <f t="shared" si="85"/>
        <v>1992309.9089088051</v>
      </c>
      <c r="BU35" s="926">
        <v>50000</v>
      </c>
      <c r="BV35" s="954">
        <f t="shared" si="76"/>
        <v>277472.84412982932</v>
      </c>
      <c r="BW35" s="869">
        <f t="shared" si="35"/>
        <v>7</v>
      </c>
      <c r="BX35" s="954">
        <f t="shared" si="77"/>
        <v>11289756.15048323</v>
      </c>
      <c r="BY35" s="931"/>
      <c r="BZ35" s="959">
        <v>46082</v>
      </c>
      <c r="CA35" s="960">
        <f t="shared" si="37"/>
        <v>7</v>
      </c>
      <c r="CB35" s="960">
        <f t="shared" si="38"/>
        <v>8</v>
      </c>
      <c r="CC35" s="931"/>
      <c r="CD35" s="931"/>
      <c r="CE35" s="931"/>
      <c r="CF35" s="931"/>
      <c r="CG35" s="931"/>
      <c r="CH35" s="931"/>
      <c r="CI35" s="931"/>
      <c r="CJ35" s="931"/>
      <c r="CK35" s="931"/>
      <c r="CL35" s="931"/>
      <c r="CM35" s="931"/>
      <c r="CN35" s="931"/>
      <c r="CO35" s="931"/>
      <c r="CP35" s="931"/>
      <c r="CQ35" s="931"/>
      <c r="CR35" s="931"/>
      <c r="CS35" s="931"/>
      <c r="CT35" s="931"/>
      <c r="CU35" s="931"/>
      <c r="CV35" s="931"/>
      <c r="CW35" s="931"/>
      <c r="CX35" s="931"/>
      <c r="CY35" s="931"/>
      <c r="CZ35" s="931"/>
      <c r="DA35" s="931"/>
      <c r="DB35" s="931"/>
      <c r="DC35" s="931"/>
      <c r="DD35" s="931"/>
      <c r="DE35" s="931"/>
      <c r="DF35" s="931"/>
      <c r="DG35" s="931"/>
      <c r="DH35" s="931"/>
      <c r="DI35" s="931"/>
      <c r="DJ35" s="931"/>
      <c r="DK35" s="931"/>
      <c r="DL35" s="931"/>
      <c r="DM35" s="931"/>
      <c r="DN35" s="931"/>
      <c r="DO35" s="931"/>
      <c r="DP35" s="931"/>
      <c r="DQ35" s="931"/>
      <c r="DR35" s="931"/>
      <c r="DS35" s="931"/>
      <c r="DT35" s="931"/>
      <c r="DU35" s="931"/>
      <c r="DV35" s="931"/>
      <c r="DW35" s="931"/>
      <c r="DX35" s="931"/>
      <c r="DY35" s="931"/>
      <c r="DZ35" s="931"/>
      <c r="EA35" s="931"/>
      <c r="EB35" s="931"/>
      <c r="EC35" s="931"/>
      <c r="ED35" s="931"/>
      <c r="EE35" s="931"/>
      <c r="EF35" s="931"/>
      <c r="EG35" s="931"/>
      <c r="EH35" s="931"/>
      <c r="EI35" s="931"/>
      <c r="EJ35" s="931"/>
      <c r="EK35" s="931"/>
      <c r="EL35" s="931"/>
      <c r="EM35" s="931"/>
      <c r="EN35" s="931"/>
      <c r="EO35" s="931"/>
      <c r="EP35" s="931"/>
      <c r="EQ35" s="931"/>
      <c r="ER35" s="931"/>
      <c r="ES35" s="931"/>
      <c r="ET35" s="931"/>
      <c r="EU35" s="931"/>
      <c r="EV35" s="931"/>
      <c r="EW35" s="931"/>
      <c r="EX35" s="931"/>
      <c r="EY35" s="931"/>
      <c r="EZ35" s="931"/>
      <c r="FA35" s="931"/>
      <c r="FB35" s="931"/>
      <c r="FC35" s="931"/>
      <c r="FD35" s="931"/>
      <c r="FE35" s="931"/>
      <c r="FF35" s="931"/>
      <c r="FG35" s="931"/>
      <c r="FH35" s="931"/>
      <c r="FI35" s="931"/>
      <c r="FJ35" s="931"/>
      <c r="FK35" s="931"/>
      <c r="FL35" s="931"/>
      <c r="FM35" s="931"/>
      <c r="FN35" s="931"/>
      <c r="FO35" s="931"/>
      <c r="FP35" s="931"/>
      <c r="FQ35" s="931"/>
      <c r="FR35" s="931"/>
      <c r="FS35" s="931"/>
      <c r="FT35" s="931"/>
      <c r="FU35" s="931"/>
      <c r="FV35" s="931"/>
      <c r="FW35" s="964"/>
      <c r="FX35" s="964"/>
      <c r="FY35" s="964"/>
      <c r="FZ35" s="964"/>
      <c r="GA35" s="964"/>
      <c r="GB35" s="964"/>
      <c r="GC35" s="964"/>
      <c r="GD35" s="964"/>
      <c r="GE35" s="964"/>
      <c r="GF35" s="964"/>
      <c r="GI35" s="912"/>
    </row>
    <row r="36" spans="1:191" s="929" customFormat="1" x14ac:dyDescent="0.2">
      <c r="A36" s="952">
        <f t="shared" si="39"/>
        <v>23</v>
      </c>
      <c r="B36" s="952">
        <f t="shared" si="39"/>
        <v>3</v>
      </c>
      <c r="C36" s="952" t="s">
        <v>558</v>
      </c>
      <c r="D36" s="952"/>
      <c r="E36" s="952" t="s">
        <v>106</v>
      </c>
      <c r="F36" s="869" t="s">
        <v>138</v>
      </c>
      <c r="G36" s="869" t="s">
        <v>115</v>
      </c>
      <c r="H36" s="869" t="s">
        <v>141</v>
      </c>
      <c r="I36" s="869" t="s">
        <v>109</v>
      </c>
      <c r="J36" s="926">
        <v>57.5</v>
      </c>
      <c r="K36" s="962">
        <v>5.09</v>
      </c>
      <c r="L36" s="962">
        <v>0</v>
      </c>
      <c r="M36" s="926">
        <f t="shared" si="70"/>
        <v>62.59</v>
      </c>
      <c r="N36" s="926"/>
      <c r="O36" s="926"/>
      <c r="P36" s="965"/>
      <c r="Q36" s="926">
        <f t="shared" si="79"/>
        <v>7590000</v>
      </c>
      <c r="R36" s="926">
        <f t="shared" si="80"/>
        <v>335940</v>
      </c>
      <c r="S36" s="926">
        <f t="shared" si="23"/>
        <v>7925940</v>
      </c>
      <c r="T36" s="926"/>
      <c r="U36" s="869">
        <v>2</v>
      </c>
      <c r="V36" s="926">
        <f t="shared" si="81"/>
        <v>62590</v>
      </c>
      <c r="W36" s="926"/>
      <c r="X36" s="954">
        <f t="shared" si="82"/>
        <v>39629.700000000004</v>
      </c>
      <c r="Y36" s="961"/>
      <c r="Z36" s="926">
        <f t="shared" si="90"/>
        <v>62590</v>
      </c>
      <c r="AA36" s="961" t="str">
        <f t="shared" si="91"/>
        <v>INNER</v>
      </c>
      <c r="AB36" s="961" t="s">
        <v>573</v>
      </c>
      <c r="AC36" s="926">
        <f t="shared" si="84"/>
        <v>164809.70000000001</v>
      </c>
      <c r="AD36" s="926"/>
      <c r="AE36" s="956">
        <f t="shared" si="24"/>
        <v>8090749.7000000002</v>
      </c>
      <c r="AF36" s="956">
        <f t="shared" si="71"/>
        <v>249195.09076000002</v>
      </c>
      <c r="AG36" s="957">
        <f t="shared" si="72"/>
        <v>8339944.7907600002</v>
      </c>
      <c r="AH36" s="919">
        <f t="shared" si="73"/>
        <v>189316.74675025203</v>
      </c>
      <c r="AI36" s="957">
        <f t="shared" si="25"/>
        <v>8529261.5375102516</v>
      </c>
      <c r="AJ36" s="919">
        <f t="shared" si="74"/>
        <v>213231.5384377563</v>
      </c>
      <c r="AK36" s="920">
        <f t="shared" si="75"/>
        <v>8742493.0759480074</v>
      </c>
      <c r="AL36" s="919">
        <f t="shared" si="2"/>
        <v>218562.32689870021</v>
      </c>
      <c r="AM36" s="982">
        <f t="shared" si="27"/>
        <v>8961055.402846707</v>
      </c>
      <c r="AN36" s="919">
        <f t="shared" si="3"/>
        <v>224026.38507116769</v>
      </c>
      <c r="AO36" s="920">
        <f t="shared" si="43"/>
        <v>9185081.7879178748</v>
      </c>
      <c r="AP36" s="919">
        <f t="shared" si="4"/>
        <v>229627.04469794687</v>
      </c>
      <c r="AQ36" s="920">
        <f t="shared" si="5"/>
        <v>9414708.8326158226</v>
      </c>
      <c r="AR36" s="919">
        <f t="shared" si="6"/>
        <v>282441.26497847465</v>
      </c>
      <c r="AS36" s="920">
        <f t="shared" si="7"/>
        <v>9697150.0975942966</v>
      </c>
      <c r="AT36" s="920">
        <f t="shared" si="28"/>
        <v>290914.50292782887</v>
      </c>
      <c r="AU36" s="919">
        <f t="shared" si="8"/>
        <v>387886.00390377187</v>
      </c>
      <c r="AV36" s="919"/>
      <c r="AW36" s="920">
        <f t="shared" si="9"/>
        <v>10085036.101498069</v>
      </c>
      <c r="AX36" s="920">
        <f t="shared" si="29"/>
        <v>302551.08304494206</v>
      </c>
      <c r="AY36" s="919">
        <f t="shared" si="10"/>
        <v>403401.44405992277</v>
      </c>
      <c r="AZ36" s="919"/>
      <c r="BA36" s="920">
        <f t="shared" si="11"/>
        <v>10488437.545557993</v>
      </c>
      <c r="BB36" s="920">
        <f t="shared" si="30"/>
        <v>314653.12636673974</v>
      </c>
      <c r="BC36" s="919">
        <f t="shared" si="12"/>
        <v>419537.5018223197</v>
      </c>
      <c r="BD36" s="919"/>
      <c r="BE36" s="975">
        <f t="shared" si="13"/>
        <v>10907975.047380311</v>
      </c>
      <c r="BF36" s="975">
        <f t="shared" si="31"/>
        <v>327239.25142140931</v>
      </c>
      <c r="BG36" s="919">
        <f t="shared" si="14"/>
        <v>436319.00189521245</v>
      </c>
      <c r="BH36" s="975"/>
      <c r="BI36" s="975">
        <f t="shared" si="15"/>
        <v>11344294.049275523</v>
      </c>
      <c r="BJ36" s="975">
        <f t="shared" si="32"/>
        <v>340328.82147826569</v>
      </c>
      <c r="BK36" s="919">
        <f t="shared" si="16"/>
        <v>453771.76197102095</v>
      </c>
      <c r="BL36" s="975"/>
      <c r="BM36" s="975">
        <f t="shared" si="17"/>
        <v>11798065.811246544</v>
      </c>
      <c r="BN36" s="926">
        <f t="shared" si="18"/>
        <v>884854.93584349076</v>
      </c>
      <c r="BO36" s="926">
        <f t="shared" si="19"/>
        <v>294951.64528116363</v>
      </c>
      <c r="BP36" s="926">
        <f t="shared" si="20"/>
        <v>1415767.8973495853</v>
      </c>
      <c r="BQ36" s="926">
        <f t="shared" si="21"/>
        <v>14393640.289720783</v>
      </c>
      <c r="BR36" s="926">
        <f t="shared" si="22"/>
        <v>229967.09202301936</v>
      </c>
      <c r="BS36" s="963">
        <v>0.15</v>
      </c>
      <c r="BT36" s="954">
        <f t="shared" si="85"/>
        <v>2159046.0434581172</v>
      </c>
      <c r="BU36" s="926">
        <v>50000</v>
      </c>
      <c r="BV36" s="954">
        <f t="shared" si="76"/>
        <v>301292.29192258819</v>
      </c>
      <c r="BW36" s="869">
        <f t="shared" si="35"/>
        <v>7</v>
      </c>
      <c r="BX36" s="954">
        <f t="shared" si="77"/>
        <v>12234594.246262666</v>
      </c>
      <c r="BY36" s="931"/>
      <c r="BZ36" s="959">
        <v>46082</v>
      </c>
      <c r="CA36" s="960">
        <f t="shared" si="37"/>
        <v>7</v>
      </c>
      <c r="CB36" s="960">
        <f t="shared" si="38"/>
        <v>8</v>
      </c>
      <c r="CC36" s="931"/>
      <c r="CD36" s="931"/>
      <c r="CE36" s="931"/>
      <c r="CF36" s="931"/>
      <c r="CG36" s="931"/>
      <c r="CH36" s="931"/>
      <c r="CI36" s="931"/>
      <c r="CJ36" s="931"/>
      <c r="CK36" s="931"/>
      <c r="CL36" s="931"/>
      <c r="CM36" s="931"/>
      <c r="CN36" s="931"/>
      <c r="CO36" s="931"/>
      <c r="CP36" s="931"/>
      <c r="CQ36" s="931"/>
      <c r="CR36" s="931"/>
      <c r="CS36" s="931"/>
      <c r="CT36" s="931"/>
      <c r="CU36" s="931"/>
      <c r="CV36" s="931"/>
      <c r="CW36" s="931"/>
      <c r="CX36" s="931"/>
      <c r="CY36" s="931"/>
      <c r="CZ36" s="931"/>
      <c r="DA36" s="931"/>
      <c r="DB36" s="931"/>
      <c r="DC36" s="931"/>
      <c r="DD36" s="931"/>
      <c r="DE36" s="931"/>
      <c r="DF36" s="931"/>
      <c r="DG36" s="931"/>
      <c r="DH36" s="931"/>
      <c r="DI36" s="931"/>
      <c r="DJ36" s="931"/>
      <c r="DK36" s="931"/>
      <c r="DL36" s="931"/>
      <c r="DM36" s="931"/>
      <c r="DN36" s="931"/>
      <c r="DO36" s="931"/>
      <c r="DP36" s="931"/>
      <c r="DQ36" s="931"/>
      <c r="DR36" s="931"/>
      <c r="DS36" s="931"/>
      <c r="DT36" s="931"/>
      <c r="DU36" s="931"/>
      <c r="DV36" s="931"/>
      <c r="DW36" s="931"/>
      <c r="DX36" s="931"/>
      <c r="DY36" s="931"/>
      <c r="DZ36" s="931"/>
      <c r="EA36" s="931"/>
      <c r="EB36" s="931"/>
      <c r="EC36" s="931"/>
      <c r="ED36" s="931"/>
      <c r="EE36" s="931"/>
      <c r="EF36" s="931"/>
      <c r="EG36" s="931"/>
      <c r="EH36" s="931"/>
      <c r="EI36" s="931"/>
      <c r="EJ36" s="931"/>
      <c r="EK36" s="931"/>
      <c r="EL36" s="931"/>
      <c r="EM36" s="931"/>
      <c r="EN36" s="931"/>
      <c r="EO36" s="931"/>
      <c r="EP36" s="931"/>
      <c r="EQ36" s="931"/>
      <c r="ER36" s="931"/>
      <c r="ES36" s="931"/>
      <c r="ET36" s="931"/>
      <c r="EU36" s="931"/>
      <c r="EV36" s="931"/>
      <c r="EW36" s="931"/>
      <c r="EX36" s="931"/>
      <c r="EY36" s="931"/>
      <c r="EZ36" s="931"/>
      <c r="FA36" s="931"/>
      <c r="FB36" s="931"/>
      <c r="FC36" s="931"/>
      <c r="FD36" s="931"/>
      <c r="FE36" s="931"/>
      <c r="FF36" s="931"/>
      <c r="FG36" s="931"/>
      <c r="FH36" s="931"/>
      <c r="FI36" s="931"/>
      <c r="FJ36" s="931"/>
      <c r="FK36" s="931"/>
      <c r="FL36" s="931"/>
      <c r="FM36" s="931"/>
      <c r="FN36" s="931"/>
      <c r="FO36" s="931"/>
      <c r="FP36" s="931"/>
      <c r="FQ36" s="931"/>
      <c r="FR36" s="931"/>
      <c r="FS36" s="931"/>
      <c r="FT36" s="931"/>
      <c r="FU36" s="931"/>
      <c r="FV36" s="931"/>
      <c r="FW36" s="964"/>
      <c r="FX36" s="964"/>
      <c r="FY36" s="964"/>
      <c r="FZ36" s="964"/>
      <c r="GA36" s="964"/>
      <c r="GB36" s="964"/>
      <c r="GC36" s="964"/>
      <c r="GD36" s="964"/>
      <c r="GE36" s="964"/>
      <c r="GF36" s="964"/>
      <c r="GI36" s="912"/>
    </row>
    <row r="37" spans="1:191" s="929" customFormat="1" x14ac:dyDescent="0.2">
      <c r="A37" s="952">
        <f t="shared" si="39"/>
        <v>24</v>
      </c>
      <c r="B37" s="952">
        <f t="shared" si="39"/>
        <v>4</v>
      </c>
      <c r="C37" s="952" t="s">
        <v>558</v>
      </c>
      <c r="D37" s="952"/>
      <c r="E37" s="952" t="s">
        <v>106</v>
      </c>
      <c r="F37" s="869" t="s">
        <v>138</v>
      </c>
      <c r="G37" s="869" t="s">
        <v>117</v>
      </c>
      <c r="H37" s="869" t="s">
        <v>142</v>
      </c>
      <c r="I37" s="869" t="s">
        <v>109</v>
      </c>
      <c r="J37" s="926">
        <v>62.11</v>
      </c>
      <c r="K37" s="962">
        <v>5.19</v>
      </c>
      <c r="L37" s="962">
        <v>0</v>
      </c>
      <c r="M37" s="926">
        <f t="shared" si="70"/>
        <v>67.3</v>
      </c>
      <c r="N37" s="926"/>
      <c r="O37" s="926"/>
      <c r="P37" s="965"/>
      <c r="Q37" s="926">
        <f t="shared" si="79"/>
        <v>8198520</v>
      </c>
      <c r="R37" s="926">
        <f t="shared" si="80"/>
        <v>342540</v>
      </c>
      <c r="S37" s="926">
        <f t="shared" si="23"/>
        <v>8541060</v>
      </c>
      <c r="T37" s="926"/>
      <c r="U37" s="869">
        <v>2</v>
      </c>
      <c r="V37" s="926">
        <f t="shared" si="81"/>
        <v>67300</v>
      </c>
      <c r="W37" s="926"/>
      <c r="X37" s="954">
        <f t="shared" si="82"/>
        <v>42705.3</v>
      </c>
      <c r="Y37" s="961"/>
      <c r="Z37" s="926">
        <f t="shared" si="90"/>
        <v>67300</v>
      </c>
      <c r="AA37" s="961" t="str">
        <f t="shared" si="91"/>
        <v>INNER</v>
      </c>
      <c r="AB37" s="961" t="s">
        <v>573</v>
      </c>
      <c r="AC37" s="926">
        <f t="shared" si="84"/>
        <v>177305.3</v>
      </c>
      <c r="AD37" s="926"/>
      <c r="AE37" s="956">
        <f t="shared" si="24"/>
        <v>8718365.3000000007</v>
      </c>
      <c r="AF37" s="956">
        <f t="shared" si="71"/>
        <v>268525.65124000004</v>
      </c>
      <c r="AG37" s="957">
        <f t="shared" si="72"/>
        <v>8986890.9512400012</v>
      </c>
      <c r="AH37" s="919">
        <f t="shared" si="73"/>
        <v>204002.42459314805</v>
      </c>
      <c r="AI37" s="957">
        <f t="shared" si="25"/>
        <v>9190893.37583315</v>
      </c>
      <c r="AJ37" s="919">
        <f t="shared" si="74"/>
        <v>229772.33439582877</v>
      </c>
      <c r="AK37" s="920">
        <f t="shared" si="75"/>
        <v>9420665.7102289796</v>
      </c>
      <c r="AL37" s="919">
        <f t="shared" si="2"/>
        <v>235516.64275572449</v>
      </c>
      <c r="AM37" s="982">
        <f t="shared" si="27"/>
        <v>9656182.3529847041</v>
      </c>
      <c r="AN37" s="919">
        <f t="shared" si="3"/>
        <v>241404.55882461762</v>
      </c>
      <c r="AO37" s="920">
        <f t="shared" si="43"/>
        <v>9897586.9118093215</v>
      </c>
      <c r="AP37" s="919">
        <f t="shared" si="4"/>
        <v>247439.67279523305</v>
      </c>
      <c r="AQ37" s="920">
        <f t="shared" si="5"/>
        <v>10145026.584604554</v>
      </c>
      <c r="AR37" s="919">
        <f t="shared" si="6"/>
        <v>304350.7975381366</v>
      </c>
      <c r="AS37" s="920">
        <f t="shared" si="7"/>
        <v>10449377.382142691</v>
      </c>
      <c r="AT37" s="920">
        <f t="shared" si="28"/>
        <v>313481.32146428071</v>
      </c>
      <c r="AU37" s="919">
        <f t="shared" si="8"/>
        <v>417975.09528570762</v>
      </c>
      <c r="AV37" s="919"/>
      <c r="AW37" s="920">
        <f t="shared" si="9"/>
        <v>10867352.477428399</v>
      </c>
      <c r="AX37" s="920">
        <f t="shared" si="29"/>
        <v>326020.57432285196</v>
      </c>
      <c r="AY37" s="919">
        <f t="shared" si="10"/>
        <v>434694.09909713594</v>
      </c>
      <c r="AZ37" s="919"/>
      <c r="BA37" s="920">
        <f t="shared" si="11"/>
        <v>11302046.576525535</v>
      </c>
      <c r="BB37" s="920">
        <f t="shared" si="30"/>
        <v>339061.39729576604</v>
      </c>
      <c r="BC37" s="919">
        <f t="shared" si="12"/>
        <v>452081.86306102143</v>
      </c>
      <c r="BD37" s="919"/>
      <c r="BE37" s="975">
        <f t="shared" si="13"/>
        <v>11754128.439586557</v>
      </c>
      <c r="BF37" s="975">
        <f t="shared" si="31"/>
        <v>352623.85318759672</v>
      </c>
      <c r="BG37" s="919">
        <f t="shared" si="14"/>
        <v>470165.13758346229</v>
      </c>
      <c r="BH37" s="975"/>
      <c r="BI37" s="975">
        <f t="shared" si="15"/>
        <v>12224293.57717002</v>
      </c>
      <c r="BJ37" s="975">
        <f t="shared" si="32"/>
        <v>366728.80731510057</v>
      </c>
      <c r="BK37" s="919">
        <f t="shared" si="16"/>
        <v>488971.74308680079</v>
      </c>
      <c r="BL37" s="975"/>
      <c r="BM37" s="975">
        <f t="shared" si="17"/>
        <v>12713265.32025682</v>
      </c>
      <c r="BN37" s="926">
        <f t="shared" si="18"/>
        <v>953494.89901926147</v>
      </c>
      <c r="BO37" s="926">
        <f t="shared" si="19"/>
        <v>317831.63300642051</v>
      </c>
      <c r="BP37" s="926">
        <f t="shared" si="20"/>
        <v>1525591.8384308184</v>
      </c>
      <c r="BQ37" s="926">
        <f t="shared" si="21"/>
        <v>15510183.69071332</v>
      </c>
      <c r="BR37" s="926">
        <f t="shared" si="22"/>
        <v>230463.35350242676</v>
      </c>
      <c r="BS37" s="963">
        <v>0.15</v>
      </c>
      <c r="BT37" s="954">
        <f t="shared" si="85"/>
        <v>2326527.5536069977</v>
      </c>
      <c r="BU37" s="926">
        <v>50000</v>
      </c>
      <c r="BV37" s="954">
        <f t="shared" si="76"/>
        <v>325218.2219438568</v>
      </c>
      <c r="BW37" s="869">
        <f t="shared" si="35"/>
        <v>7</v>
      </c>
      <c r="BX37" s="954">
        <f t="shared" si="77"/>
        <v>13183656.137106322</v>
      </c>
      <c r="BY37" s="931"/>
      <c r="BZ37" s="959">
        <v>46082</v>
      </c>
      <c r="CA37" s="960">
        <f t="shared" si="37"/>
        <v>7</v>
      </c>
      <c r="CB37" s="960">
        <f t="shared" si="38"/>
        <v>8</v>
      </c>
      <c r="CC37" s="931"/>
      <c r="CD37" s="931"/>
      <c r="CE37" s="931"/>
      <c r="CF37" s="931"/>
      <c r="CG37" s="931"/>
      <c r="CH37" s="931"/>
      <c r="CI37" s="931"/>
      <c r="CJ37" s="931"/>
      <c r="CK37" s="931"/>
      <c r="CL37" s="931"/>
      <c r="CM37" s="931"/>
      <c r="CN37" s="931"/>
      <c r="CO37" s="931"/>
      <c r="CP37" s="931"/>
      <c r="CQ37" s="931"/>
      <c r="CR37" s="931"/>
      <c r="CS37" s="931"/>
      <c r="CT37" s="931"/>
      <c r="CU37" s="931"/>
      <c r="CV37" s="931"/>
      <c r="CW37" s="931"/>
      <c r="CX37" s="931"/>
      <c r="CY37" s="931"/>
      <c r="CZ37" s="931"/>
      <c r="DA37" s="931"/>
      <c r="DB37" s="931"/>
      <c r="DC37" s="931"/>
      <c r="DD37" s="931"/>
      <c r="DE37" s="931"/>
      <c r="DF37" s="931"/>
      <c r="DG37" s="931"/>
      <c r="DH37" s="931"/>
      <c r="DI37" s="931"/>
      <c r="DJ37" s="931"/>
      <c r="DK37" s="931"/>
      <c r="DL37" s="931"/>
      <c r="DM37" s="931"/>
      <c r="DN37" s="931"/>
      <c r="DO37" s="931"/>
      <c r="DP37" s="931"/>
      <c r="DQ37" s="931"/>
      <c r="DR37" s="931"/>
      <c r="DS37" s="931"/>
      <c r="DT37" s="931"/>
      <c r="DU37" s="931"/>
      <c r="DV37" s="931"/>
      <c r="DW37" s="931"/>
      <c r="DX37" s="931"/>
      <c r="DY37" s="931"/>
      <c r="DZ37" s="931"/>
      <c r="EA37" s="931"/>
      <c r="EB37" s="931"/>
      <c r="EC37" s="931"/>
      <c r="ED37" s="931"/>
      <c r="EE37" s="931"/>
      <c r="EF37" s="931"/>
      <c r="EG37" s="931"/>
      <c r="EH37" s="931"/>
      <c r="EI37" s="931"/>
      <c r="EJ37" s="931"/>
      <c r="EK37" s="931"/>
      <c r="EL37" s="931"/>
      <c r="EM37" s="931"/>
      <c r="EN37" s="931"/>
      <c r="EO37" s="931"/>
      <c r="EP37" s="931"/>
      <c r="EQ37" s="931"/>
      <c r="ER37" s="931"/>
      <c r="ES37" s="931"/>
      <c r="ET37" s="931"/>
      <c r="EU37" s="931"/>
      <c r="EV37" s="931"/>
      <c r="EW37" s="931"/>
      <c r="EX37" s="931"/>
      <c r="EY37" s="931"/>
      <c r="EZ37" s="931"/>
      <c r="FA37" s="931"/>
      <c r="FB37" s="931"/>
      <c r="FC37" s="931"/>
      <c r="FD37" s="931"/>
      <c r="FE37" s="931"/>
      <c r="FF37" s="931"/>
      <c r="FG37" s="931"/>
      <c r="FH37" s="931"/>
      <c r="FI37" s="931"/>
      <c r="FJ37" s="931"/>
      <c r="FK37" s="931"/>
      <c r="FL37" s="931"/>
      <c r="FM37" s="931"/>
      <c r="FN37" s="931"/>
      <c r="FO37" s="931"/>
      <c r="FP37" s="931"/>
      <c r="FQ37" s="931"/>
      <c r="FR37" s="931"/>
      <c r="FS37" s="931"/>
      <c r="FT37" s="931"/>
      <c r="FU37" s="931"/>
      <c r="FV37" s="931"/>
      <c r="FW37" s="964"/>
      <c r="FX37" s="964"/>
      <c r="FY37" s="964"/>
      <c r="FZ37" s="964"/>
      <c r="GA37" s="964"/>
      <c r="GB37" s="964"/>
      <c r="GC37" s="964"/>
      <c r="GD37" s="964"/>
      <c r="GE37" s="964"/>
      <c r="GF37" s="964"/>
      <c r="GI37" s="912"/>
    </row>
    <row r="38" spans="1:191" s="929" customFormat="1" x14ac:dyDescent="0.2">
      <c r="A38" s="952">
        <f t="shared" si="39"/>
        <v>25</v>
      </c>
      <c r="B38" s="952">
        <f t="shared" si="39"/>
        <v>5</v>
      </c>
      <c r="C38" s="952" t="s">
        <v>558</v>
      </c>
      <c r="D38" s="952"/>
      <c r="E38" s="952" t="s">
        <v>106</v>
      </c>
      <c r="F38" s="869" t="s">
        <v>138</v>
      </c>
      <c r="G38" s="869" t="s">
        <v>119</v>
      </c>
      <c r="H38" s="869" t="s">
        <v>143</v>
      </c>
      <c r="I38" s="869" t="s">
        <v>109</v>
      </c>
      <c r="J38" s="926">
        <v>80.900000000000006</v>
      </c>
      <c r="K38" s="962">
        <v>15.65</v>
      </c>
      <c r="L38" s="962">
        <v>0</v>
      </c>
      <c r="M38" s="926">
        <f t="shared" si="70"/>
        <v>96.550000000000011</v>
      </c>
      <c r="N38" s="926"/>
      <c r="O38" s="926"/>
      <c r="P38" s="965"/>
      <c r="Q38" s="926">
        <f t="shared" si="79"/>
        <v>10678800</v>
      </c>
      <c r="R38" s="926">
        <f t="shared" si="80"/>
        <v>1032900</v>
      </c>
      <c r="S38" s="926">
        <f t="shared" si="23"/>
        <v>11711700</v>
      </c>
      <c r="T38" s="926"/>
      <c r="U38" s="869">
        <v>2</v>
      </c>
      <c r="V38" s="926">
        <f t="shared" si="81"/>
        <v>96550.000000000015</v>
      </c>
      <c r="W38" s="926"/>
      <c r="X38" s="954">
        <f t="shared" si="82"/>
        <v>58558.5</v>
      </c>
      <c r="Y38" s="926">
        <f>M38*$Y$5</f>
        <v>193100.00000000003</v>
      </c>
      <c r="Z38" s="926">
        <f t="shared" si="90"/>
        <v>96550.000000000015</v>
      </c>
      <c r="AA38" s="961" t="str">
        <f t="shared" si="91"/>
        <v>CORNER</v>
      </c>
      <c r="AB38" s="961" t="s">
        <v>573</v>
      </c>
      <c r="AC38" s="926">
        <f t="shared" si="84"/>
        <v>444758.5</v>
      </c>
      <c r="AD38" s="926"/>
      <c r="AE38" s="956">
        <f t="shared" si="24"/>
        <v>12156458.5</v>
      </c>
      <c r="AF38" s="956">
        <f t="shared" si="71"/>
        <v>374418.92180000001</v>
      </c>
      <c r="AG38" s="957">
        <f t="shared" si="72"/>
        <v>12530877.421800001</v>
      </c>
      <c r="AH38" s="919">
        <f t="shared" si="73"/>
        <v>284450.91747486003</v>
      </c>
      <c r="AI38" s="957">
        <f t="shared" si="25"/>
        <v>12815328.339274861</v>
      </c>
      <c r="AJ38" s="919">
        <f t="shared" si="74"/>
        <v>320383.20848187152</v>
      </c>
      <c r="AK38" s="920">
        <f t="shared" si="75"/>
        <v>13135711.547756732</v>
      </c>
      <c r="AL38" s="919">
        <f t="shared" si="2"/>
        <v>328392.78869391832</v>
      </c>
      <c r="AM38" s="982">
        <f t="shared" si="27"/>
        <v>13464104.336450649</v>
      </c>
      <c r="AN38" s="919">
        <f t="shared" si="3"/>
        <v>336602.60841126624</v>
      </c>
      <c r="AO38" s="920">
        <f t="shared" si="43"/>
        <v>13800706.944861915</v>
      </c>
      <c r="AP38" s="919">
        <f t="shared" si="4"/>
        <v>345017.67362154787</v>
      </c>
      <c r="AQ38" s="920">
        <f t="shared" si="5"/>
        <v>14145724.618483463</v>
      </c>
      <c r="AR38" s="919">
        <f t="shared" si="6"/>
        <v>424371.73855450389</v>
      </c>
      <c r="AS38" s="920">
        <f t="shared" si="7"/>
        <v>14570096.357037967</v>
      </c>
      <c r="AT38" s="920">
        <f t="shared" si="28"/>
        <v>437102.89071113901</v>
      </c>
      <c r="AU38" s="919">
        <f t="shared" si="8"/>
        <v>582803.85428151872</v>
      </c>
      <c r="AV38" s="919"/>
      <c r="AW38" s="920">
        <f t="shared" si="9"/>
        <v>15152900.211319486</v>
      </c>
      <c r="AX38" s="920">
        <f t="shared" si="29"/>
        <v>454587.00633958454</v>
      </c>
      <c r="AY38" s="919">
        <f t="shared" si="10"/>
        <v>606116.0084527795</v>
      </c>
      <c r="AZ38" s="919"/>
      <c r="BA38" s="920">
        <f t="shared" si="11"/>
        <v>15759016.219772264</v>
      </c>
      <c r="BB38" s="920">
        <f t="shared" si="30"/>
        <v>472770.48659316794</v>
      </c>
      <c r="BC38" s="919">
        <f t="shared" si="12"/>
        <v>630360.64879089058</v>
      </c>
      <c r="BD38" s="919"/>
      <c r="BE38" s="975">
        <f t="shared" si="13"/>
        <v>16389376.868563155</v>
      </c>
      <c r="BF38" s="975">
        <f t="shared" si="31"/>
        <v>491681.30605689459</v>
      </c>
      <c r="BG38" s="919">
        <f t="shared" si="14"/>
        <v>655575.07474252617</v>
      </c>
      <c r="BH38" s="975"/>
      <c r="BI38" s="975">
        <f t="shared" si="15"/>
        <v>17044951.943305682</v>
      </c>
      <c r="BJ38" s="975">
        <f t="shared" si="32"/>
        <v>511348.55829917046</v>
      </c>
      <c r="BK38" s="919">
        <f t="shared" si="16"/>
        <v>681798.07773222728</v>
      </c>
      <c r="BL38" s="975"/>
      <c r="BM38" s="975">
        <f t="shared" si="17"/>
        <v>17726750.02103791</v>
      </c>
      <c r="BN38" s="926">
        <f t="shared" si="18"/>
        <v>1329506.2515778432</v>
      </c>
      <c r="BO38" s="926">
        <f t="shared" si="19"/>
        <v>443168.75052594778</v>
      </c>
      <c r="BP38" s="926">
        <f t="shared" si="20"/>
        <v>2127210.0025245491</v>
      </c>
      <c r="BQ38" s="926">
        <f t="shared" si="21"/>
        <v>21626635.025666252</v>
      </c>
      <c r="BR38" s="926">
        <f t="shared" si="22"/>
        <v>223994.14837562144</v>
      </c>
      <c r="BS38" s="963">
        <v>0.15</v>
      </c>
      <c r="BT38" s="954">
        <f t="shared" si="85"/>
        <v>3243995.2538499376</v>
      </c>
      <c r="BU38" s="926">
        <v>50000</v>
      </c>
      <c r="BV38" s="954">
        <f t="shared" si="76"/>
        <v>456285.03626427677</v>
      </c>
      <c r="BW38" s="869">
        <f t="shared" si="35"/>
        <v>7</v>
      </c>
      <c r="BX38" s="954">
        <f t="shared" si="77"/>
        <v>18382639.771816313</v>
      </c>
      <c r="BY38" s="931"/>
      <c r="BZ38" s="959">
        <v>46082</v>
      </c>
      <c r="CA38" s="960">
        <f t="shared" si="37"/>
        <v>7</v>
      </c>
      <c r="CB38" s="960">
        <f t="shared" si="38"/>
        <v>8</v>
      </c>
      <c r="CC38" s="931"/>
      <c r="CD38" s="931"/>
      <c r="CE38" s="931"/>
      <c r="CF38" s="931"/>
      <c r="CG38" s="931"/>
      <c r="CH38" s="931"/>
      <c r="CI38" s="931"/>
      <c r="CJ38" s="931"/>
      <c r="CK38" s="931"/>
      <c r="CL38" s="931"/>
      <c r="CM38" s="931"/>
      <c r="CN38" s="931"/>
      <c r="CO38" s="931"/>
      <c r="CP38" s="931"/>
      <c r="CQ38" s="931"/>
      <c r="CR38" s="931"/>
      <c r="CS38" s="931"/>
      <c r="CT38" s="931"/>
      <c r="CU38" s="931"/>
      <c r="CV38" s="931"/>
      <c r="CW38" s="931"/>
      <c r="CX38" s="931"/>
      <c r="CY38" s="931"/>
      <c r="CZ38" s="931"/>
      <c r="DA38" s="931"/>
      <c r="DB38" s="931"/>
      <c r="DC38" s="931"/>
      <c r="DD38" s="931"/>
      <c r="DE38" s="931"/>
      <c r="DF38" s="931"/>
      <c r="DG38" s="931"/>
      <c r="DH38" s="931"/>
      <c r="DI38" s="931"/>
      <c r="DJ38" s="931"/>
      <c r="DK38" s="931"/>
      <c r="DL38" s="931"/>
      <c r="DM38" s="931"/>
      <c r="DN38" s="931"/>
      <c r="DO38" s="931"/>
      <c r="DP38" s="931"/>
      <c r="DQ38" s="931"/>
      <c r="DR38" s="931"/>
      <c r="DS38" s="931"/>
      <c r="DT38" s="931"/>
      <c r="DU38" s="931"/>
      <c r="DV38" s="931"/>
      <c r="DW38" s="931"/>
      <c r="DX38" s="931"/>
      <c r="DY38" s="931"/>
      <c r="DZ38" s="931"/>
      <c r="EA38" s="931"/>
      <c r="EB38" s="931"/>
      <c r="EC38" s="931"/>
      <c r="ED38" s="931"/>
      <c r="EE38" s="931"/>
      <c r="EF38" s="931"/>
      <c r="EG38" s="931"/>
      <c r="EH38" s="931"/>
      <c r="EI38" s="931"/>
      <c r="EJ38" s="931"/>
      <c r="EK38" s="931"/>
      <c r="EL38" s="931"/>
      <c r="EM38" s="931"/>
      <c r="EN38" s="931"/>
      <c r="EO38" s="931"/>
      <c r="EP38" s="931"/>
      <c r="EQ38" s="931"/>
      <c r="ER38" s="931"/>
      <c r="ES38" s="931"/>
      <c r="ET38" s="931"/>
      <c r="EU38" s="931"/>
      <c r="EV38" s="931"/>
      <c r="EW38" s="931"/>
      <c r="EX38" s="931"/>
      <c r="EY38" s="931"/>
      <c r="EZ38" s="931"/>
      <c r="FA38" s="931"/>
      <c r="FB38" s="931"/>
      <c r="FC38" s="931"/>
      <c r="FD38" s="931"/>
      <c r="FE38" s="931"/>
      <c r="FF38" s="931"/>
      <c r="FG38" s="931"/>
      <c r="FH38" s="931"/>
      <c r="FI38" s="931"/>
      <c r="FJ38" s="931"/>
      <c r="FK38" s="931"/>
      <c r="FL38" s="931"/>
      <c r="FM38" s="931"/>
      <c r="FN38" s="931"/>
      <c r="FO38" s="931"/>
      <c r="FP38" s="931"/>
      <c r="FQ38" s="931"/>
      <c r="FR38" s="931"/>
      <c r="FS38" s="931"/>
      <c r="FT38" s="931"/>
      <c r="FU38" s="931"/>
      <c r="FV38" s="931"/>
      <c r="FW38" s="964"/>
      <c r="FX38" s="964"/>
      <c r="FY38" s="964"/>
      <c r="FZ38" s="964"/>
      <c r="GA38" s="964"/>
      <c r="GB38" s="964"/>
      <c r="GC38" s="964"/>
      <c r="GD38" s="964"/>
      <c r="GE38" s="964"/>
      <c r="GF38" s="964"/>
      <c r="GI38" s="912"/>
    </row>
    <row r="39" spans="1:191" s="929" customFormat="1" x14ac:dyDescent="0.2">
      <c r="A39" s="952">
        <f t="shared" si="39"/>
        <v>26</v>
      </c>
      <c r="B39" s="952">
        <f t="shared" si="39"/>
        <v>6</v>
      </c>
      <c r="C39" s="952" t="s">
        <v>558</v>
      </c>
      <c r="D39" s="952"/>
      <c r="E39" s="952" t="s">
        <v>106</v>
      </c>
      <c r="F39" s="869" t="s">
        <v>138</v>
      </c>
      <c r="G39" s="869" t="s">
        <v>121</v>
      </c>
      <c r="H39" s="869" t="s">
        <v>144</v>
      </c>
      <c r="I39" s="869" t="s">
        <v>109</v>
      </c>
      <c r="J39" s="926">
        <v>61.56</v>
      </c>
      <c r="K39" s="962">
        <v>4.0999999999999996</v>
      </c>
      <c r="L39" s="962">
        <v>0</v>
      </c>
      <c r="M39" s="926">
        <f t="shared" si="70"/>
        <v>65.66</v>
      </c>
      <c r="N39" s="926"/>
      <c r="O39" s="926"/>
      <c r="P39" s="965"/>
      <c r="Q39" s="926">
        <f t="shared" si="79"/>
        <v>8125920</v>
      </c>
      <c r="R39" s="926">
        <f t="shared" si="80"/>
        <v>270600</v>
      </c>
      <c r="S39" s="926">
        <f t="shared" si="23"/>
        <v>8396520</v>
      </c>
      <c r="T39" s="926"/>
      <c r="U39" s="869">
        <v>2</v>
      </c>
      <c r="V39" s="926">
        <f t="shared" si="81"/>
        <v>65660</v>
      </c>
      <c r="W39" s="926"/>
      <c r="X39" s="954">
        <f t="shared" si="82"/>
        <v>41982.6</v>
      </c>
      <c r="Y39" s="961"/>
      <c r="Z39" s="926"/>
      <c r="AA39" s="961" t="str">
        <f t="shared" si="91"/>
        <v>INNER</v>
      </c>
      <c r="AB39" s="961"/>
      <c r="AC39" s="926">
        <f t="shared" si="84"/>
        <v>107642.6</v>
      </c>
      <c r="AD39" s="926"/>
      <c r="AE39" s="956">
        <f t="shared" si="24"/>
        <v>8504162.5999999996</v>
      </c>
      <c r="AF39" s="956">
        <f t="shared" si="71"/>
        <v>261928.20808000001</v>
      </c>
      <c r="AG39" s="957">
        <f t="shared" si="72"/>
        <v>8766090.8080799989</v>
      </c>
      <c r="AH39" s="919">
        <f t="shared" si="73"/>
        <v>198990.261343416</v>
      </c>
      <c r="AI39" s="957">
        <f t="shared" si="25"/>
        <v>8965081.0694234148</v>
      </c>
      <c r="AJ39" s="919">
        <f t="shared" si="74"/>
        <v>224127.02673558539</v>
      </c>
      <c r="AK39" s="920">
        <f t="shared" si="75"/>
        <v>9189208.0961589999</v>
      </c>
      <c r="AL39" s="919">
        <f t="shared" si="2"/>
        <v>229730.20240397501</v>
      </c>
      <c r="AM39" s="982">
        <f t="shared" si="27"/>
        <v>9418938.2985629756</v>
      </c>
      <c r="AN39" s="919">
        <f t="shared" si="3"/>
        <v>235473.4574640744</v>
      </c>
      <c r="AO39" s="920">
        <f t="shared" si="43"/>
        <v>9654411.7560270503</v>
      </c>
      <c r="AP39" s="919">
        <f t="shared" ref="AP39:AP70" si="92">AO39*$AP$5</f>
        <v>241360.29390067628</v>
      </c>
      <c r="AQ39" s="920">
        <f t="shared" ref="AQ39:AQ70" si="93">AO39+AP39</f>
        <v>9895772.0499277264</v>
      </c>
      <c r="AR39" s="919">
        <f t="shared" ref="AR39:AR70" si="94">AQ39*$AR$5</f>
        <v>296873.16149783175</v>
      </c>
      <c r="AS39" s="920">
        <f t="shared" ref="AS39:AS70" si="95">AQ39+AR39</f>
        <v>10192645.211425558</v>
      </c>
      <c r="AT39" s="920">
        <f t="shared" si="28"/>
        <v>305779.35634276672</v>
      </c>
      <c r="AU39" s="919">
        <f t="shared" ref="AU39:AU70" si="96">AS39*$AU$5</f>
        <v>407705.8084570223</v>
      </c>
      <c r="AV39" s="919"/>
      <c r="AW39" s="920">
        <f t="shared" ref="AW39:AW70" si="97">AS39+AU39</f>
        <v>10600351.01988258</v>
      </c>
      <c r="AX39" s="920">
        <f t="shared" si="29"/>
        <v>318010.53059647739</v>
      </c>
      <c r="AY39" s="919">
        <f t="shared" ref="AY39:AY70" si="98">AW39*$AY$5</f>
        <v>424014.04079530324</v>
      </c>
      <c r="AZ39" s="919"/>
      <c r="BA39" s="920">
        <f t="shared" ref="BA39:BA70" si="99">AW39+AY39</f>
        <v>11024365.060677884</v>
      </c>
      <c r="BB39" s="920">
        <f t="shared" si="30"/>
        <v>330730.95182033652</v>
      </c>
      <c r="BC39" s="919">
        <f t="shared" ref="BC39:BC70" si="100">BA39*$BC$5</f>
        <v>440974.60242711537</v>
      </c>
      <c r="BD39" s="919"/>
      <c r="BE39" s="975">
        <f t="shared" ref="BE39:BE70" si="101">BA39+BC39</f>
        <v>11465339.663105</v>
      </c>
      <c r="BF39" s="975">
        <f t="shared" si="31"/>
        <v>343960.18989315</v>
      </c>
      <c r="BG39" s="919">
        <f t="shared" ref="BG39:BG70" si="102">BE39*$BC$5</f>
        <v>458613.58652419999</v>
      </c>
      <c r="BH39" s="975"/>
      <c r="BI39" s="975">
        <f t="shared" ref="BI39:BI70" si="103">BE39+BG39</f>
        <v>11923953.2496292</v>
      </c>
      <c r="BJ39" s="975">
        <f t="shared" si="32"/>
        <v>357718.59748887597</v>
      </c>
      <c r="BK39" s="919">
        <f t="shared" ref="BK39:BK70" si="104">BI39*$BC$5</f>
        <v>476958.12998516799</v>
      </c>
      <c r="BL39" s="975"/>
      <c r="BM39" s="975">
        <f t="shared" ref="BM39:BM70" si="105">BI39+BK39</f>
        <v>12400911.379614368</v>
      </c>
      <c r="BN39" s="926">
        <f t="shared" ref="BN39:BN70" si="106">BM39*$BN$5</f>
        <v>930068.35347107763</v>
      </c>
      <c r="BO39" s="926">
        <f t="shared" ref="BO39:BO70" si="107">BM39*$BO$5</f>
        <v>310022.78449035919</v>
      </c>
      <c r="BP39" s="926">
        <f t="shared" ref="BP39:BP70" si="108">BM39*$BP$5</f>
        <v>1488109.3655537241</v>
      </c>
      <c r="BQ39" s="926">
        <f t="shared" ref="BQ39:BQ70" si="109">BM39+BN39+BO39+BP39</f>
        <v>15129111.88312953</v>
      </c>
      <c r="BR39" s="926">
        <f t="shared" ref="BR39:BR70" si="110">BQ39/M39</f>
        <v>230415.95923133614</v>
      </c>
      <c r="BS39" s="963">
        <v>0.15</v>
      </c>
      <c r="BT39" s="954">
        <f t="shared" si="85"/>
        <v>2269366.7824694295</v>
      </c>
      <c r="BU39" s="926">
        <v>50000</v>
      </c>
      <c r="BV39" s="954">
        <f t="shared" si="76"/>
        <v>317052.39749563282</v>
      </c>
      <c r="BW39" s="869">
        <f t="shared" si="35"/>
        <v>7</v>
      </c>
      <c r="BX39" s="954">
        <f t="shared" si="77"/>
        <v>12859745.100660101</v>
      </c>
      <c r="BY39" s="931"/>
      <c r="BZ39" s="959">
        <v>46082</v>
      </c>
      <c r="CA39" s="960">
        <f t="shared" si="37"/>
        <v>7</v>
      </c>
      <c r="CB39" s="960">
        <f t="shared" si="38"/>
        <v>8</v>
      </c>
      <c r="CC39" s="931"/>
      <c r="CD39" s="931"/>
      <c r="CE39" s="931"/>
      <c r="CF39" s="931"/>
      <c r="CG39" s="931"/>
      <c r="CH39" s="931"/>
      <c r="CI39" s="931"/>
      <c r="CJ39" s="931"/>
      <c r="CK39" s="931"/>
      <c r="CL39" s="931"/>
      <c r="CM39" s="931"/>
      <c r="CN39" s="931"/>
      <c r="CO39" s="931"/>
      <c r="CP39" s="931"/>
      <c r="CQ39" s="931"/>
      <c r="CR39" s="931"/>
      <c r="CS39" s="931"/>
      <c r="CT39" s="931"/>
      <c r="CU39" s="931"/>
      <c r="CV39" s="931"/>
      <c r="CW39" s="931"/>
      <c r="CX39" s="931"/>
      <c r="CY39" s="931"/>
      <c r="CZ39" s="931"/>
      <c r="DA39" s="931"/>
      <c r="DB39" s="931"/>
      <c r="DC39" s="931"/>
      <c r="DD39" s="931"/>
      <c r="DE39" s="931"/>
      <c r="DF39" s="931"/>
      <c r="DG39" s="931"/>
      <c r="DH39" s="931"/>
      <c r="DI39" s="931"/>
      <c r="DJ39" s="931"/>
      <c r="DK39" s="931"/>
      <c r="DL39" s="931"/>
      <c r="DM39" s="931"/>
      <c r="DN39" s="931"/>
      <c r="DO39" s="931"/>
      <c r="DP39" s="931"/>
      <c r="DQ39" s="931"/>
      <c r="DR39" s="931"/>
      <c r="DS39" s="931"/>
      <c r="DT39" s="931"/>
      <c r="DU39" s="931"/>
      <c r="DV39" s="931"/>
      <c r="DW39" s="931"/>
      <c r="DX39" s="931"/>
      <c r="DY39" s="931"/>
      <c r="DZ39" s="931"/>
      <c r="EA39" s="931"/>
      <c r="EB39" s="931"/>
      <c r="EC39" s="931"/>
      <c r="ED39" s="931"/>
      <c r="EE39" s="931"/>
      <c r="EF39" s="931"/>
      <c r="EG39" s="931"/>
      <c r="EH39" s="931"/>
      <c r="EI39" s="931"/>
      <c r="EJ39" s="931"/>
      <c r="EK39" s="931"/>
      <c r="EL39" s="931"/>
      <c r="EM39" s="931"/>
      <c r="EN39" s="931"/>
      <c r="EO39" s="931"/>
      <c r="EP39" s="931"/>
      <c r="EQ39" s="931"/>
      <c r="ER39" s="931"/>
      <c r="ES39" s="931"/>
      <c r="ET39" s="931"/>
      <c r="EU39" s="931"/>
      <c r="EV39" s="931"/>
      <c r="EW39" s="931"/>
      <c r="EX39" s="931"/>
      <c r="EY39" s="931"/>
      <c r="EZ39" s="931"/>
      <c r="FA39" s="931"/>
      <c r="FB39" s="931"/>
      <c r="FC39" s="931"/>
      <c r="FD39" s="931"/>
      <c r="FE39" s="931"/>
      <c r="FF39" s="931"/>
      <c r="FG39" s="931"/>
      <c r="FH39" s="931"/>
      <c r="FI39" s="931"/>
      <c r="FJ39" s="931"/>
      <c r="FK39" s="931"/>
      <c r="FL39" s="931"/>
      <c r="FM39" s="931"/>
      <c r="FN39" s="931"/>
      <c r="FO39" s="931"/>
      <c r="FP39" s="931"/>
      <c r="FQ39" s="931"/>
      <c r="FR39" s="931"/>
      <c r="FS39" s="931"/>
      <c r="FT39" s="931"/>
      <c r="FU39" s="931"/>
      <c r="FV39" s="931"/>
      <c r="FW39" s="964"/>
      <c r="FX39" s="964"/>
      <c r="FY39" s="964"/>
      <c r="FZ39" s="964"/>
      <c r="GA39" s="964"/>
      <c r="GB39" s="964"/>
      <c r="GC39" s="964"/>
      <c r="GD39" s="964"/>
      <c r="GE39" s="964"/>
      <c r="GF39" s="964"/>
      <c r="GI39" s="912"/>
    </row>
    <row r="40" spans="1:191" s="929" customFormat="1" x14ac:dyDescent="0.2">
      <c r="A40" s="952">
        <f t="shared" si="39"/>
        <v>27</v>
      </c>
      <c r="B40" s="952">
        <f t="shared" si="39"/>
        <v>7</v>
      </c>
      <c r="C40" s="952" t="s">
        <v>104</v>
      </c>
      <c r="D40" s="952"/>
      <c r="E40" s="952" t="s">
        <v>106</v>
      </c>
      <c r="F40" s="869" t="s">
        <v>138</v>
      </c>
      <c r="G40" s="869" t="s">
        <v>123</v>
      </c>
      <c r="H40" s="869" t="s">
        <v>145</v>
      </c>
      <c r="I40" s="869" t="s">
        <v>109</v>
      </c>
      <c r="J40" s="926">
        <v>95.44</v>
      </c>
      <c r="K40" s="962">
        <v>13.34</v>
      </c>
      <c r="L40" s="962">
        <v>0</v>
      </c>
      <c r="M40" s="926">
        <f t="shared" si="70"/>
        <v>108.78</v>
      </c>
      <c r="N40" s="926"/>
      <c r="O40" s="926"/>
      <c r="P40" s="965"/>
      <c r="Q40" s="926">
        <f t="shared" si="79"/>
        <v>12598080</v>
      </c>
      <c r="R40" s="926">
        <f t="shared" si="80"/>
        <v>880440</v>
      </c>
      <c r="S40" s="926">
        <f t="shared" si="23"/>
        <v>13478520</v>
      </c>
      <c r="T40" s="926"/>
      <c r="U40" s="869">
        <v>2</v>
      </c>
      <c r="V40" s="926">
        <f t="shared" si="81"/>
        <v>108780</v>
      </c>
      <c r="W40" s="926"/>
      <c r="X40" s="954">
        <f t="shared" si="82"/>
        <v>67392.600000000006</v>
      </c>
      <c r="Y40" s="926">
        <f>M40*$Y$5</f>
        <v>217560</v>
      </c>
      <c r="Z40" s="926"/>
      <c r="AA40" s="961" t="str">
        <f t="shared" si="91"/>
        <v>CORNER</v>
      </c>
      <c r="AB40" s="961"/>
      <c r="AC40" s="926">
        <f t="shared" si="84"/>
        <v>393732.6</v>
      </c>
      <c r="AD40" s="926"/>
      <c r="AE40" s="956">
        <f t="shared" si="24"/>
        <v>13872252.6</v>
      </c>
      <c r="AF40" s="956">
        <f t="shared" si="71"/>
        <v>427265.38007999997</v>
      </c>
      <c r="AG40" s="957">
        <f t="shared" si="72"/>
        <v>14299517.980079999</v>
      </c>
      <c r="AH40" s="919">
        <f t="shared" si="73"/>
        <v>324599.05814781599</v>
      </c>
      <c r="AI40" s="957">
        <f t="shared" si="25"/>
        <v>14624117.038227815</v>
      </c>
      <c r="AJ40" s="919">
        <f t="shared" si="74"/>
        <v>365602.92595569539</v>
      </c>
      <c r="AK40" s="920">
        <f t="shared" si="75"/>
        <v>14989719.964183511</v>
      </c>
      <c r="AL40" s="919">
        <f t="shared" si="2"/>
        <v>374742.99910458783</v>
      </c>
      <c r="AM40" s="982">
        <f t="shared" si="27"/>
        <v>15364462.963288099</v>
      </c>
      <c r="AN40" s="919">
        <f t="shared" si="3"/>
        <v>384111.57408220251</v>
      </c>
      <c r="AO40" s="920">
        <f t="shared" si="43"/>
        <v>15748574.537370302</v>
      </c>
      <c r="AP40" s="919">
        <f t="shared" si="92"/>
        <v>393714.36343425757</v>
      </c>
      <c r="AQ40" s="920">
        <f t="shared" si="93"/>
        <v>16142288.900804559</v>
      </c>
      <c r="AR40" s="919">
        <f t="shared" si="94"/>
        <v>484268.66702413675</v>
      </c>
      <c r="AS40" s="920">
        <f t="shared" si="95"/>
        <v>16626557.567828696</v>
      </c>
      <c r="AT40" s="920">
        <f t="shared" si="28"/>
        <v>498796.72703486087</v>
      </c>
      <c r="AU40" s="919">
        <f t="shared" si="96"/>
        <v>665062.30271314783</v>
      </c>
      <c r="AV40" s="919"/>
      <c r="AW40" s="920">
        <f t="shared" si="97"/>
        <v>17291619.870541845</v>
      </c>
      <c r="AX40" s="920">
        <f t="shared" si="29"/>
        <v>518748.59611625533</v>
      </c>
      <c r="AY40" s="919">
        <f t="shared" si="98"/>
        <v>691664.79482167377</v>
      </c>
      <c r="AZ40" s="919"/>
      <c r="BA40" s="920">
        <f t="shared" si="99"/>
        <v>17983284.665363517</v>
      </c>
      <c r="BB40" s="920">
        <f t="shared" si="30"/>
        <v>539498.53996090544</v>
      </c>
      <c r="BC40" s="919">
        <f t="shared" si="100"/>
        <v>719331.38661454071</v>
      </c>
      <c r="BD40" s="919"/>
      <c r="BE40" s="975">
        <f t="shared" si="101"/>
        <v>18702616.051978059</v>
      </c>
      <c r="BF40" s="975">
        <f t="shared" si="31"/>
        <v>561078.48155934177</v>
      </c>
      <c r="BG40" s="919">
        <f t="shared" si="102"/>
        <v>748104.64207912236</v>
      </c>
      <c r="BH40" s="975"/>
      <c r="BI40" s="975">
        <f t="shared" si="103"/>
        <v>19450720.694057181</v>
      </c>
      <c r="BJ40" s="975">
        <f t="shared" si="32"/>
        <v>583521.62082171545</v>
      </c>
      <c r="BK40" s="919">
        <f t="shared" si="104"/>
        <v>778028.82776228723</v>
      </c>
      <c r="BL40" s="975"/>
      <c r="BM40" s="975">
        <f t="shared" si="105"/>
        <v>20228749.521819469</v>
      </c>
      <c r="BN40" s="926">
        <f t="shared" si="106"/>
        <v>1517156.2141364601</v>
      </c>
      <c r="BO40" s="926">
        <f t="shared" si="107"/>
        <v>505718.73804548674</v>
      </c>
      <c r="BP40" s="926">
        <f t="shared" si="108"/>
        <v>2427449.9426183361</v>
      </c>
      <c r="BQ40" s="926">
        <f t="shared" si="109"/>
        <v>24679074.416619752</v>
      </c>
      <c r="BR40" s="926">
        <f t="shared" si="110"/>
        <v>226871.43240135827</v>
      </c>
      <c r="BS40" s="963">
        <v>0.15</v>
      </c>
      <c r="BT40" s="954">
        <f t="shared" si="85"/>
        <v>3701861.1624929626</v>
      </c>
      <c r="BU40" s="926">
        <v>50000</v>
      </c>
      <c r="BV40" s="954">
        <f t="shared" si="76"/>
        <v>521694.45178470894</v>
      </c>
      <c r="BW40" s="869">
        <f t="shared" si="35"/>
        <v>7</v>
      </c>
      <c r="BX40" s="954">
        <f t="shared" si="77"/>
        <v>20977213.254126787</v>
      </c>
      <c r="BY40" s="931"/>
      <c r="BZ40" s="959">
        <v>46082</v>
      </c>
      <c r="CA40" s="960">
        <f t="shared" si="37"/>
        <v>7</v>
      </c>
      <c r="CB40" s="960">
        <f t="shared" si="38"/>
        <v>8</v>
      </c>
      <c r="CC40" s="931"/>
      <c r="CD40" s="931"/>
      <c r="CE40" s="931"/>
      <c r="CF40" s="931"/>
      <c r="CG40" s="931"/>
      <c r="CH40" s="931"/>
      <c r="CI40" s="931"/>
      <c r="CJ40" s="931"/>
      <c r="CK40" s="931"/>
      <c r="CL40" s="931"/>
      <c r="CM40" s="931"/>
      <c r="CN40" s="931"/>
      <c r="CO40" s="931"/>
      <c r="CP40" s="931"/>
      <c r="CQ40" s="931"/>
      <c r="CR40" s="931"/>
      <c r="CS40" s="931"/>
      <c r="CT40" s="931"/>
      <c r="CU40" s="931"/>
      <c r="CV40" s="931"/>
      <c r="CW40" s="931"/>
      <c r="CX40" s="931"/>
      <c r="CY40" s="931"/>
      <c r="CZ40" s="931"/>
      <c r="DA40" s="931"/>
      <c r="DB40" s="931"/>
      <c r="DC40" s="931"/>
      <c r="DD40" s="931"/>
      <c r="DE40" s="931"/>
      <c r="DF40" s="931"/>
      <c r="DG40" s="931"/>
      <c r="DH40" s="931"/>
      <c r="DI40" s="931"/>
      <c r="DJ40" s="931"/>
      <c r="DK40" s="931"/>
      <c r="DL40" s="931"/>
      <c r="DM40" s="931"/>
      <c r="DN40" s="931"/>
      <c r="DO40" s="931"/>
      <c r="DP40" s="931"/>
      <c r="DQ40" s="931"/>
      <c r="DR40" s="931"/>
      <c r="DS40" s="931"/>
      <c r="DT40" s="931"/>
      <c r="DU40" s="931"/>
      <c r="DV40" s="931"/>
      <c r="DW40" s="931"/>
      <c r="DX40" s="931"/>
      <c r="DY40" s="931"/>
      <c r="DZ40" s="931"/>
      <c r="EA40" s="931"/>
      <c r="EB40" s="931"/>
      <c r="EC40" s="931"/>
      <c r="ED40" s="931"/>
      <c r="EE40" s="931"/>
      <c r="EF40" s="931"/>
      <c r="EG40" s="931"/>
      <c r="EH40" s="931"/>
      <c r="EI40" s="931"/>
      <c r="EJ40" s="931"/>
      <c r="EK40" s="931"/>
      <c r="EL40" s="931"/>
      <c r="EM40" s="931"/>
      <c r="EN40" s="931"/>
      <c r="EO40" s="931"/>
      <c r="EP40" s="931"/>
      <c r="EQ40" s="931"/>
      <c r="ER40" s="931"/>
      <c r="ES40" s="931"/>
      <c r="ET40" s="931"/>
      <c r="EU40" s="931"/>
      <c r="EV40" s="931"/>
      <c r="EW40" s="931"/>
      <c r="EX40" s="931"/>
      <c r="EY40" s="931"/>
      <c r="EZ40" s="931"/>
      <c r="FA40" s="931"/>
      <c r="FB40" s="931"/>
      <c r="FC40" s="931"/>
      <c r="FD40" s="931"/>
      <c r="FE40" s="931"/>
      <c r="FF40" s="931"/>
      <c r="FG40" s="931"/>
      <c r="FH40" s="931"/>
      <c r="FI40" s="931"/>
      <c r="FJ40" s="931"/>
      <c r="FK40" s="931"/>
      <c r="FL40" s="931"/>
      <c r="FM40" s="931"/>
      <c r="FN40" s="931"/>
      <c r="FO40" s="931"/>
      <c r="FP40" s="931"/>
      <c r="FQ40" s="931"/>
      <c r="FR40" s="931"/>
      <c r="FS40" s="931"/>
      <c r="FT40" s="931"/>
      <c r="FU40" s="931"/>
      <c r="FV40" s="931"/>
      <c r="FW40" s="964"/>
      <c r="FX40" s="964"/>
      <c r="FY40" s="964"/>
      <c r="FZ40" s="964"/>
      <c r="GA40" s="964"/>
      <c r="GB40" s="964"/>
      <c r="GC40" s="964"/>
      <c r="GD40" s="964"/>
      <c r="GE40" s="964"/>
      <c r="GF40" s="964"/>
      <c r="GI40" s="912"/>
    </row>
    <row r="41" spans="1:191" s="929" customFormat="1" x14ac:dyDescent="0.2">
      <c r="A41" s="952">
        <f t="shared" si="39"/>
        <v>28</v>
      </c>
      <c r="B41" s="952">
        <f t="shared" si="39"/>
        <v>8</v>
      </c>
      <c r="C41" s="952" t="s">
        <v>104</v>
      </c>
      <c r="D41" s="952"/>
      <c r="E41" s="952" t="s">
        <v>106</v>
      </c>
      <c r="F41" s="869" t="s">
        <v>138</v>
      </c>
      <c r="G41" s="869" t="s">
        <v>125</v>
      </c>
      <c r="H41" s="869" t="s">
        <v>146</v>
      </c>
      <c r="I41" s="869" t="s">
        <v>113</v>
      </c>
      <c r="J41" s="926">
        <v>69.2</v>
      </c>
      <c r="K41" s="962">
        <v>4.7699999999999996</v>
      </c>
      <c r="L41" s="962">
        <v>0</v>
      </c>
      <c r="M41" s="926">
        <f t="shared" si="70"/>
        <v>73.97</v>
      </c>
      <c r="N41" s="926"/>
      <c r="O41" s="926"/>
      <c r="P41" s="965"/>
      <c r="Q41" s="926">
        <f t="shared" si="79"/>
        <v>9134400</v>
      </c>
      <c r="R41" s="926">
        <f t="shared" si="80"/>
        <v>314820</v>
      </c>
      <c r="S41" s="926">
        <f t="shared" si="23"/>
        <v>9449220</v>
      </c>
      <c r="T41" s="926"/>
      <c r="U41" s="869">
        <v>2</v>
      </c>
      <c r="V41" s="926">
        <f t="shared" si="81"/>
        <v>73970</v>
      </c>
      <c r="W41" s="926"/>
      <c r="X41" s="954">
        <f t="shared" si="82"/>
        <v>47246.1</v>
      </c>
      <c r="Y41" s="961"/>
      <c r="Z41" s="926"/>
      <c r="AA41" s="961" t="str">
        <f t="shared" si="91"/>
        <v>INNER</v>
      </c>
      <c r="AB41" s="961"/>
      <c r="AC41" s="926">
        <f t="shared" si="84"/>
        <v>121216.1</v>
      </c>
      <c r="AD41" s="926"/>
      <c r="AE41" s="956">
        <f t="shared" si="24"/>
        <v>9570436.0999999996</v>
      </c>
      <c r="AF41" s="956">
        <f t="shared" si="71"/>
        <v>294769.43187999999</v>
      </c>
      <c r="AG41" s="957">
        <f t="shared" si="72"/>
        <v>9865205.5318799987</v>
      </c>
      <c r="AH41" s="919">
        <f t="shared" si="73"/>
        <v>223940.16557367597</v>
      </c>
      <c r="AI41" s="957">
        <f t="shared" si="25"/>
        <v>10089145.697453674</v>
      </c>
      <c r="AJ41" s="919">
        <f t="shared" si="74"/>
        <v>252228.64243634185</v>
      </c>
      <c r="AK41" s="920">
        <f t="shared" si="75"/>
        <v>10341374.339890016</v>
      </c>
      <c r="AL41" s="919">
        <f t="shared" si="2"/>
        <v>258534.35849725042</v>
      </c>
      <c r="AM41" s="920">
        <f t="shared" si="27"/>
        <v>10599908.698387267</v>
      </c>
      <c r="AN41" s="919">
        <f t="shared" si="3"/>
        <v>264997.71745968168</v>
      </c>
      <c r="AO41" s="920">
        <f t="shared" si="43"/>
        <v>10864906.415846949</v>
      </c>
      <c r="AP41" s="919">
        <f t="shared" si="92"/>
        <v>271622.66039617377</v>
      </c>
      <c r="AQ41" s="920">
        <f t="shared" si="93"/>
        <v>11136529.076243123</v>
      </c>
      <c r="AR41" s="919">
        <f t="shared" si="94"/>
        <v>334095.87228729366</v>
      </c>
      <c r="AS41" s="920">
        <f t="shared" si="95"/>
        <v>11470624.948530417</v>
      </c>
      <c r="AT41" s="920">
        <f t="shared" si="28"/>
        <v>344118.74845591252</v>
      </c>
      <c r="AU41" s="919">
        <f t="shared" si="96"/>
        <v>458824.99794121669</v>
      </c>
      <c r="AV41" s="919"/>
      <c r="AW41" s="920">
        <f t="shared" si="97"/>
        <v>11929449.946471633</v>
      </c>
      <c r="AX41" s="920">
        <f t="shared" si="29"/>
        <v>357883.49839414901</v>
      </c>
      <c r="AY41" s="919">
        <f t="shared" si="98"/>
        <v>477177.99785886536</v>
      </c>
      <c r="AZ41" s="919"/>
      <c r="BA41" s="920">
        <f t="shared" si="99"/>
        <v>12406627.944330499</v>
      </c>
      <c r="BB41" s="920">
        <f t="shared" si="30"/>
        <v>372198.83832991496</v>
      </c>
      <c r="BC41" s="919">
        <f t="shared" si="100"/>
        <v>496265.11777321994</v>
      </c>
      <c r="BD41" s="919"/>
      <c r="BE41" s="975">
        <f t="shared" si="101"/>
        <v>12902893.062103719</v>
      </c>
      <c r="BF41" s="975">
        <f t="shared" si="31"/>
        <v>387086.79186311155</v>
      </c>
      <c r="BG41" s="919">
        <f t="shared" si="102"/>
        <v>516115.72248414875</v>
      </c>
      <c r="BH41" s="975"/>
      <c r="BI41" s="975">
        <f t="shared" si="103"/>
        <v>13419008.784587868</v>
      </c>
      <c r="BJ41" s="975">
        <f t="shared" si="32"/>
        <v>402570.26353763603</v>
      </c>
      <c r="BK41" s="919">
        <f t="shared" si="104"/>
        <v>536760.3513835147</v>
      </c>
      <c r="BL41" s="975">
        <f>BK41-BJ41</f>
        <v>134190.08784587868</v>
      </c>
      <c r="BM41" s="975">
        <f t="shared" si="105"/>
        <v>13955769.135971382</v>
      </c>
      <c r="BN41" s="926">
        <f t="shared" si="106"/>
        <v>1046682.6851978536</v>
      </c>
      <c r="BO41" s="926">
        <f t="shared" si="107"/>
        <v>348894.22839928459</v>
      </c>
      <c r="BP41" s="926">
        <f t="shared" si="108"/>
        <v>1674692.2963165657</v>
      </c>
      <c r="BQ41" s="926">
        <f t="shared" si="109"/>
        <v>17026038.345885087</v>
      </c>
      <c r="BR41" s="926">
        <f t="shared" si="110"/>
        <v>230174.91342280773</v>
      </c>
      <c r="BS41" s="963">
        <v>0.15</v>
      </c>
      <c r="BT41" s="954">
        <f t="shared" si="85"/>
        <v>2553905.7518827631</v>
      </c>
      <c r="BU41" s="926">
        <v>50000</v>
      </c>
      <c r="BV41" s="954">
        <f t="shared" si="76"/>
        <v>357700.82169753761</v>
      </c>
      <c r="BW41" s="869">
        <f t="shared" si="35"/>
        <v>7</v>
      </c>
      <c r="BX41" s="954">
        <f t="shared" si="77"/>
        <v>14472132.594002323</v>
      </c>
      <c r="BY41" s="931"/>
      <c r="BZ41" s="959">
        <v>46082</v>
      </c>
      <c r="CA41" s="960">
        <f t="shared" si="37"/>
        <v>7</v>
      </c>
      <c r="CB41" s="960">
        <f t="shared" si="38"/>
        <v>8</v>
      </c>
      <c r="CC41" s="931"/>
      <c r="CD41" s="931"/>
      <c r="CE41" s="931"/>
      <c r="CF41" s="931"/>
      <c r="CG41" s="931"/>
      <c r="CH41" s="931"/>
      <c r="CI41" s="931"/>
      <c r="CJ41" s="931"/>
      <c r="CK41" s="931"/>
      <c r="CL41" s="931"/>
      <c r="CM41" s="931"/>
      <c r="CN41" s="931"/>
      <c r="CO41" s="931"/>
      <c r="CP41" s="931"/>
      <c r="CQ41" s="931"/>
      <c r="CR41" s="931"/>
      <c r="CS41" s="931"/>
      <c r="CT41" s="931"/>
      <c r="CU41" s="931"/>
      <c r="CV41" s="931"/>
      <c r="CW41" s="931"/>
      <c r="CX41" s="931"/>
      <c r="CY41" s="931"/>
      <c r="CZ41" s="931"/>
      <c r="DA41" s="931"/>
      <c r="DB41" s="931"/>
      <c r="DC41" s="931"/>
      <c r="DD41" s="931"/>
      <c r="DE41" s="931"/>
      <c r="DF41" s="931"/>
      <c r="DG41" s="931"/>
      <c r="DH41" s="931"/>
      <c r="DI41" s="931"/>
      <c r="DJ41" s="931"/>
      <c r="DK41" s="931"/>
      <c r="DL41" s="931"/>
      <c r="DM41" s="931"/>
      <c r="DN41" s="931"/>
      <c r="DO41" s="931"/>
      <c r="DP41" s="931"/>
      <c r="DQ41" s="931"/>
      <c r="DR41" s="931"/>
      <c r="DS41" s="931"/>
      <c r="DT41" s="931"/>
      <c r="DU41" s="931"/>
      <c r="DV41" s="931"/>
      <c r="DW41" s="931"/>
      <c r="DX41" s="931"/>
      <c r="DY41" s="931"/>
      <c r="DZ41" s="931"/>
      <c r="EA41" s="931"/>
      <c r="EB41" s="931"/>
      <c r="EC41" s="931"/>
      <c r="ED41" s="931"/>
      <c r="EE41" s="931"/>
      <c r="EF41" s="931"/>
      <c r="EG41" s="931"/>
      <c r="EH41" s="931"/>
      <c r="EI41" s="931"/>
      <c r="EJ41" s="931"/>
      <c r="EK41" s="931"/>
      <c r="EL41" s="931"/>
      <c r="EM41" s="931"/>
      <c r="EN41" s="931"/>
      <c r="EO41" s="931"/>
      <c r="EP41" s="931"/>
      <c r="EQ41" s="931"/>
      <c r="ER41" s="931"/>
      <c r="ES41" s="931"/>
      <c r="ET41" s="931"/>
      <c r="EU41" s="931"/>
      <c r="EV41" s="931"/>
      <c r="EW41" s="931"/>
      <c r="EX41" s="931"/>
      <c r="EY41" s="931"/>
      <c r="EZ41" s="931"/>
      <c r="FA41" s="931"/>
      <c r="FB41" s="931"/>
      <c r="FC41" s="931"/>
      <c r="FD41" s="931"/>
      <c r="FE41" s="931"/>
      <c r="FF41" s="931"/>
      <c r="FG41" s="931"/>
      <c r="FH41" s="931"/>
      <c r="FI41" s="931"/>
      <c r="FJ41" s="931"/>
      <c r="FK41" s="931"/>
      <c r="FL41" s="931"/>
      <c r="FM41" s="931"/>
      <c r="FN41" s="931"/>
      <c r="FO41" s="931"/>
      <c r="FP41" s="931"/>
      <c r="FQ41" s="931"/>
      <c r="FR41" s="931"/>
      <c r="FS41" s="931"/>
      <c r="FT41" s="931"/>
      <c r="FU41" s="931"/>
      <c r="FV41" s="931"/>
      <c r="FW41" s="964"/>
      <c r="FX41" s="964"/>
      <c r="FY41" s="964"/>
      <c r="FZ41" s="964"/>
      <c r="GA41" s="964"/>
      <c r="GB41" s="964"/>
      <c r="GC41" s="964"/>
      <c r="GD41" s="964"/>
      <c r="GE41" s="964"/>
      <c r="GF41" s="964"/>
      <c r="GI41" s="912"/>
    </row>
    <row r="42" spans="1:191" s="929" customFormat="1" x14ac:dyDescent="0.2">
      <c r="A42" s="952">
        <f t="shared" si="39"/>
        <v>29</v>
      </c>
      <c r="B42" s="952">
        <f t="shared" si="39"/>
        <v>9</v>
      </c>
      <c r="C42" s="952" t="s">
        <v>104</v>
      </c>
      <c r="D42" s="952" t="s">
        <v>575</v>
      </c>
      <c r="E42" s="952" t="s">
        <v>106</v>
      </c>
      <c r="F42" s="869" t="s">
        <v>138</v>
      </c>
      <c r="G42" s="869" t="s">
        <v>127</v>
      </c>
      <c r="H42" s="869" t="s">
        <v>147</v>
      </c>
      <c r="I42" s="869" t="s">
        <v>109</v>
      </c>
      <c r="J42" s="926">
        <v>69.36</v>
      </c>
      <c r="K42" s="962">
        <v>4.79</v>
      </c>
      <c r="L42" s="962">
        <v>0</v>
      </c>
      <c r="M42" s="926">
        <f t="shared" si="70"/>
        <v>74.150000000000006</v>
      </c>
      <c r="N42" s="926"/>
      <c r="O42" s="926"/>
      <c r="P42" s="965"/>
      <c r="Q42" s="926">
        <f t="shared" si="79"/>
        <v>9155520</v>
      </c>
      <c r="R42" s="926">
        <f t="shared" si="80"/>
        <v>316140</v>
      </c>
      <c r="S42" s="926">
        <f t="shared" si="23"/>
        <v>9471660</v>
      </c>
      <c r="T42" s="926"/>
      <c r="U42" s="869">
        <v>2</v>
      </c>
      <c r="V42" s="926">
        <f t="shared" si="81"/>
        <v>74150</v>
      </c>
      <c r="W42" s="926"/>
      <c r="X42" s="954">
        <f t="shared" si="82"/>
        <v>47358.3</v>
      </c>
      <c r="Y42" s="961"/>
      <c r="Z42" s="926"/>
      <c r="AA42" s="961" t="str">
        <f t="shared" si="91"/>
        <v>INNER</v>
      </c>
      <c r="AB42" s="961"/>
      <c r="AC42" s="926">
        <f t="shared" si="84"/>
        <v>121508.3</v>
      </c>
      <c r="AD42" s="926"/>
      <c r="AE42" s="956">
        <f t="shared" si="24"/>
        <v>9593168.3000000007</v>
      </c>
      <c r="AF42" s="956">
        <f t="shared" si="71"/>
        <v>295469.58364000003</v>
      </c>
      <c r="AG42" s="957">
        <f t="shared" si="72"/>
        <v>9888637.8836400006</v>
      </c>
      <c r="AH42" s="919">
        <f t="shared" si="73"/>
        <v>224472.07995862802</v>
      </c>
      <c r="AI42" s="957">
        <f t="shared" si="25"/>
        <v>10113109.963598629</v>
      </c>
      <c r="AJ42" s="919">
        <f t="shared" si="74"/>
        <v>252827.74908996574</v>
      </c>
      <c r="AK42" s="920">
        <f t="shared" si="75"/>
        <v>10365937.712688595</v>
      </c>
      <c r="AL42" s="919">
        <f t="shared" si="2"/>
        <v>259148.44281721488</v>
      </c>
      <c r="AM42" s="920">
        <f t="shared" si="27"/>
        <v>10625086.15550581</v>
      </c>
      <c r="AN42" s="919">
        <f t="shared" si="3"/>
        <v>265627.15388764528</v>
      </c>
      <c r="AO42" s="920">
        <f t="shared" si="43"/>
        <v>10890713.309393454</v>
      </c>
      <c r="AP42" s="919">
        <f t="shared" si="92"/>
        <v>272267.83273483638</v>
      </c>
      <c r="AQ42" s="920">
        <f t="shared" si="93"/>
        <v>11162981.142128291</v>
      </c>
      <c r="AR42" s="919">
        <f t="shared" si="94"/>
        <v>334889.4342638487</v>
      </c>
      <c r="AS42" s="920">
        <f t="shared" si="95"/>
        <v>11497870.57639214</v>
      </c>
      <c r="AT42" s="920">
        <f t="shared" si="28"/>
        <v>344936.11729176418</v>
      </c>
      <c r="AU42" s="919">
        <f t="shared" si="96"/>
        <v>459914.82305568561</v>
      </c>
      <c r="AV42" s="919"/>
      <c r="AW42" s="920">
        <f t="shared" si="97"/>
        <v>11957785.399447827</v>
      </c>
      <c r="AX42" s="920">
        <f t="shared" si="29"/>
        <v>358733.56198343477</v>
      </c>
      <c r="AY42" s="919">
        <f t="shared" si="98"/>
        <v>478311.41597791307</v>
      </c>
      <c r="AZ42" s="919"/>
      <c r="BA42" s="920">
        <f t="shared" si="99"/>
        <v>12436096.815425741</v>
      </c>
      <c r="BB42" s="920">
        <f t="shared" si="30"/>
        <v>373082.90446277219</v>
      </c>
      <c r="BC42" s="919">
        <f t="shared" si="100"/>
        <v>497443.87261702964</v>
      </c>
      <c r="BD42" s="919"/>
      <c r="BE42" s="975">
        <f t="shared" si="101"/>
        <v>12933540.688042771</v>
      </c>
      <c r="BF42" s="975">
        <f t="shared" si="31"/>
        <v>388006.22064128314</v>
      </c>
      <c r="BG42" s="919">
        <f t="shared" si="102"/>
        <v>517341.62752171088</v>
      </c>
      <c r="BH42" s="975"/>
      <c r="BI42" s="975">
        <f t="shared" si="103"/>
        <v>13450882.315564482</v>
      </c>
      <c r="BJ42" s="975">
        <f t="shared" si="32"/>
        <v>403526.46946693445</v>
      </c>
      <c r="BK42" s="919">
        <f t="shared" si="104"/>
        <v>538035.29262257926</v>
      </c>
      <c r="BL42" s="975">
        <f>BK42-BJ42</f>
        <v>134508.82315564482</v>
      </c>
      <c r="BM42" s="975">
        <f t="shared" si="105"/>
        <v>13988917.608187061</v>
      </c>
      <c r="BN42" s="926">
        <f t="shared" si="106"/>
        <v>1049168.8206140294</v>
      </c>
      <c r="BO42" s="926">
        <f t="shared" si="107"/>
        <v>349722.94020467653</v>
      </c>
      <c r="BP42" s="926">
        <f t="shared" si="108"/>
        <v>1678670.1129824473</v>
      </c>
      <c r="BQ42" s="926">
        <f t="shared" si="109"/>
        <v>17066479.481988214</v>
      </c>
      <c r="BR42" s="926">
        <f t="shared" si="110"/>
        <v>230161.55741049512</v>
      </c>
      <c r="BS42" s="963">
        <v>0.15</v>
      </c>
      <c r="BT42" s="954">
        <f t="shared" si="85"/>
        <v>2559971.9222982321</v>
      </c>
      <c r="BU42" s="926">
        <v>50000</v>
      </c>
      <c r="BV42" s="954">
        <f t="shared" si="76"/>
        <v>358567.41747117601</v>
      </c>
      <c r="BW42" s="869">
        <f t="shared" si="35"/>
        <v>7</v>
      </c>
      <c r="BX42" s="954">
        <f t="shared" si="77"/>
        <v>14506507.559689982</v>
      </c>
      <c r="BY42" s="931"/>
      <c r="BZ42" s="959">
        <v>46082</v>
      </c>
      <c r="CA42" s="960">
        <f t="shared" si="37"/>
        <v>7</v>
      </c>
      <c r="CB42" s="960">
        <f t="shared" si="38"/>
        <v>8</v>
      </c>
      <c r="CC42" s="931"/>
      <c r="CD42" s="931"/>
      <c r="CE42" s="931"/>
      <c r="CF42" s="931"/>
      <c r="CG42" s="931"/>
      <c r="CH42" s="931"/>
      <c r="CI42" s="931"/>
      <c r="CJ42" s="931"/>
      <c r="CK42" s="931"/>
      <c r="CL42" s="931"/>
      <c r="CM42" s="931"/>
      <c r="CN42" s="931"/>
      <c r="CO42" s="931"/>
      <c r="CP42" s="931"/>
      <c r="CQ42" s="931"/>
      <c r="CR42" s="931"/>
      <c r="CS42" s="931"/>
      <c r="CT42" s="931"/>
      <c r="CU42" s="931"/>
      <c r="CV42" s="931"/>
      <c r="CW42" s="931"/>
      <c r="CX42" s="931"/>
      <c r="CY42" s="931"/>
      <c r="CZ42" s="931"/>
      <c r="DA42" s="931"/>
      <c r="DB42" s="931"/>
      <c r="DC42" s="931"/>
      <c r="DD42" s="931"/>
      <c r="DE42" s="931"/>
      <c r="DF42" s="931"/>
      <c r="DG42" s="931"/>
      <c r="DH42" s="931"/>
      <c r="DI42" s="931"/>
      <c r="DJ42" s="931"/>
      <c r="DK42" s="931"/>
      <c r="DL42" s="931"/>
      <c r="DM42" s="931"/>
      <c r="DN42" s="931"/>
      <c r="DO42" s="931"/>
      <c r="DP42" s="931"/>
      <c r="DQ42" s="931"/>
      <c r="DR42" s="931"/>
      <c r="DS42" s="931"/>
      <c r="DT42" s="931"/>
      <c r="DU42" s="931"/>
      <c r="DV42" s="931"/>
      <c r="DW42" s="931"/>
      <c r="DX42" s="931"/>
      <c r="DY42" s="931"/>
      <c r="DZ42" s="931"/>
      <c r="EA42" s="931"/>
      <c r="EB42" s="931"/>
      <c r="EC42" s="931"/>
      <c r="ED42" s="931"/>
      <c r="EE42" s="931"/>
      <c r="EF42" s="931"/>
      <c r="EG42" s="931"/>
      <c r="EH42" s="931"/>
      <c r="EI42" s="931"/>
      <c r="EJ42" s="931"/>
      <c r="EK42" s="931"/>
      <c r="EL42" s="931"/>
      <c r="EM42" s="931"/>
      <c r="EN42" s="931"/>
      <c r="EO42" s="931"/>
      <c r="EP42" s="931"/>
      <c r="EQ42" s="931"/>
      <c r="ER42" s="931"/>
      <c r="ES42" s="931"/>
      <c r="ET42" s="931"/>
      <c r="EU42" s="931"/>
      <c r="EV42" s="931"/>
      <c r="EW42" s="931"/>
      <c r="EX42" s="931"/>
      <c r="EY42" s="931"/>
      <c r="EZ42" s="931"/>
      <c r="FA42" s="931"/>
      <c r="FB42" s="931"/>
      <c r="FC42" s="931"/>
      <c r="FD42" s="931"/>
      <c r="FE42" s="931"/>
      <c r="FF42" s="931"/>
      <c r="FG42" s="931"/>
      <c r="FH42" s="931"/>
      <c r="FI42" s="931"/>
      <c r="FJ42" s="931"/>
      <c r="FK42" s="931"/>
      <c r="FL42" s="931"/>
      <c r="FM42" s="931"/>
      <c r="FN42" s="931"/>
      <c r="FO42" s="931"/>
      <c r="FP42" s="931"/>
      <c r="FQ42" s="931"/>
      <c r="FR42" s="931"/>
      <c r="FS42" s="931"/>
      <c r="FT42" s="931"/>
      <c r="FU42" s="931"/>
      <c r="FV42" s="931"/>
      <c r="FW42" s="964"/>
      <c r="FX42" s="964"/>
      <c r="FY42" s="964"/>
      <c r="FZ42" s="964"/>
      <c r="GA42" s="964"/>
      <c r="GB42" s="964"/>
      <c r="GC42" s="964"/>
      <c r="GD42" s="964"/>
      <c r="GE42" s="964"/>
      <c r="GF42" s="964"/>
      <c r="GI42" s="912"/>
    </row>
    <row r="43" spans="1:191" s="929" customFormat="1" x14ac:dyDescent="0.2">
      <c r="A43" s="952">
        <f t="shared" si="39"/>
        <v>30</v>
      </c>
      <c r="B43" s="952">
        <f t="shared" si="39"/>
        <v>10</v>
      </c>
      <c r="C43" s="952" t="s">
        <v>104</v>
      </c>
      <c r="D43" s="952" t="s">
        <v>575</v>
      </c>
      <c r="E43" s="952" t="s">
        <v>106</v>
      </c>
      <c r="F43" s="869" t="s">
        <v>138</v>
      </c>
      <c r="G43" s="869" t="s">
        <v>129</v>
      </c>
      <c r="H43" s="869" t="s">
        <v>148</v>
      </c>
      <c r="I43" s="869" t="s">
        <v>113</v>
      </c>
      <c r="J43" s="926">
        <v>69.36</v>
      </c>
      <c r="K43" s="962">
        <v>4.79</v>
      </c>
      <c r="L43" s="962">
        <v>0</v>
      </c>
      <c r="M43" s="926">
        <f t="shared" si="70"/>
        <v>74.150000000000006</v>
      </c>
      <c r="N43" s="926"/>
      <c r="O43" s="926"/>
      <c r="P43" s="965"/>
      <c r="Q43" s="926">
        <f t="shared" si="79"/>
        <v>9155520</v>
      </c>
      <c r="R43" s="926">
        <f t="shared" si="80"/>
        <v>316140</v>
      </c>
      <c r="S43" s="926">
        <f t="shared" si="23"/>
        <v>9471660</v>
      </c>
      <c r="T43" s="926"/>
      <c r="U43" s="869">
        <v>2</v>
      </c>
      <c r="V43" s="926">
        <f t="shared" si="81"/>
        <v>74150</v>
      </c>
      <c r="W43" s="926"/>
      <c r="X43" s="954">
        <f t="shared" si="82"/>
        <v>47358.3</v>
      </c>
      <c r="Y43" s="961"/>
      <c r="Z43" s="926"/>
      <c r="AA43" s="961" t="str">
        <f t="shared" si="91"/>
        <v>INNER</v>
      </c>
      <c r="AB43" s="961"/>
      <c r="AC43" s="926">
        <f t="shared" si="84"/>
        <v>121508.3</v>
      </c>
      <c r="AD43" s="926"/>
      <c r="AE43" s="956">
        <f t="shared" si="24"/>
        <v>9593168.3000000007</v>
      </c>
      <c r="AF43" s="956">
        <f t="shared" si="71"/>
        <v>295469.58364000003</v>
      </c>
      <c r="AG43" s="957">
        <f t="shared" si="72"/>
        <v>9888637.8836400006</v>
      </c>
      <c r="AH43" s="919">
        <f t="shared" si="73"/>
        <v>224472.07995862802</v>
      </c>
      <c r="AI43" s="957">
        <f t="shared" si="25"/>
        <v>10113109.963598629</v>
      </c>
      <c r="AJ43" s="919">
        <f t="shared" si="74"/>
        <v>252827.74908996574</v>
      </c>
      <c r="AK43" s="920">
        <f t="shared" si="75"/>
        <v>10365937.712688595</v>
      </c>
      <c r="AL43" s="919">
        <f t="shared" si="2"/>
        <v>259148.44281721488</v>
      </c>
      <c r="AM43" s="920">
        <f t="shared" si="27"/>
        <v>10625086.15550581</v>
      </c>
      <c r="AN43" s="919">
        <f t="shared" si="3"/>
        <v>265627.15388764528</v>
      </c>
      <c r="AO43" s="920">
        <f t="shared" si="43"/>
        <v>10890713.309393454</v>
      </c>
      <c r="AP43" s="919">
        <f t="shared" si="92"/>
        <v>272267.83273483638</v>
      </c>
      <c r="AQ43" s="920">
        <f t="shared" si="93"/>
        <v>11162981.142128291</v>
      </c>
      <c r="AR43" s="919">
        <f t="shared" si="94"/>
        <v>334889.4342638487</v>
      </c>
      <c r="AS43" s="920">
        <f t="shared" si="95"/>
        <v>11497870.57639214</v>
      </c>
      <c r="AT43" s="920">
        <f t="shared" si="28"/>
        <v>344936.11729176418</v>
      </c>
      <c r="AU43" s="919">
        <f t="shared" si="96"/>
        <v>459914.82305568561</v>
      </c>
      <c r="AV43" s="919"/>
      <c r="AW43" s="920">
        <f t="shared" si="97"/>
        <v>11957785.399447827</v>
      </c>
      <c r="AX43" s="920">
        <f t="shared" si="29"/>
        <v>358733.56198343477</v>
      </c>
      <c r="AY43" s="919">
        <f t="shared" si="98"/>
        <v>478311.41597791307</v>
      </c>
      <c r="AZ43" s="919"/>
      <c r="BA43" s="920">
        <f t="shared" si="99"/>
        <v>12436096.815425741</v>
      </c>
      <c r="BB43" s="920">
        <f t="shared" si="30"/>
        <v>373082.90446277219</v>
      </c>
      <c r="BC43" s="919">
        <f t="shared" si="100"/>
        <v>497443.87261702964</v>
      </c>
      <c r="BD43" s="919"/>
      <c r="BE43" s="975">
        <f t="shared" si="101"/>
        <v>12933540.688042771</v>
      </c>
      <c r="BF43" s="975">
        <f t="shared" si="31"/>
        <v>388006.22064128314</v>
      </c>
      <c r="BG43" s="919">
        <f t="shared" si="102"/>
        <v>517341.62752171088</v>
      </c>
      <c r="BH43" s="975"/>
      <c r="BI43" s="975">
        <f t="shared" si="103"/>
        <v>13450882.315564482</v>
      </c>
      <c r="BJ43" s="975">
        <f t="shared" si="32"/>
        <v>403526.46946693445</v>
      </c>
      <c r="BK43" s="919">
        <f t="shared" si="104"/>
        <v>538035.29262257926</v>
      </c>
      <c r="BL43" s="975">
        <f>BK43-BJ43</f>
        <v>134508.82315564482</v>
      </c>
      <c r="BM43" s="975">
        <f t="shared" si="105"/>
        <v>13988917.608187061</v>
      </c>
      <c r="BN43" s="926">
        <f t="shared" si="106"/>
        <v>1049168.8206140294</v>
      </c>
      <c r="BO43" s="926">
        <f t="shared" si="107"/>
        <v>349722.94020467653</v>
      </c>
      <c r="BP43" s="926">
        <f t="shared" si="108"/>
        <v>1678670.1129824473</v>
      </c>
      <c r="BQ43" s="926">
        <f t="shared" si="109"/>
        <v>17066479.481988214</v>
      </c>
      <c r="BR43" s="926">
        <f t="shared" si="110"/>
        <v>230161.55741049512</v>
      </c>
      <c r="BS43" s="963">
        <v>0.15</v>
      </c>
      <c r="BT43" s="954">
        <f t="shared" si="85"/>
        <v>2559971.9222982321</v>
      </c>
      <c r="BU43" s="926">
        <v>50000</v>
      </c>
      <c r="BV43" s="954">
        <f t="shared" si="76"/>
        <v>358567.41747117601</v>
      </c>
      <c r="BW43" s="869">
        <f t="shared" si="35"/>
        <v>7</v>
      </c>
      <c r="BX43" s="954">
        <f t="shared" si="77"/>
        <v>14506507.559689982</v>
      </c>
      <c r="BY43" s="931"/>
      <c r="BZ43" s="959">
        <v>46082</v>
      </c>
      <c r="CA43" s="960">
        <f t="shared" si="37"/>
        <v>7</v>
      </c>
      <c r="CB43" s="960">
        <f t="shared" si="38"/>
        <v>8</v>
      </c>
      <c r="CC43" s="931"/>
      <c r="CD43" s="931"/>
      <c r="CE43" s="931"/>
      <c r="CF43" s="931"/>
      <c r="CG43" s="931"/>
      <c r="CH43" s="931"/>
      <c r="CI43" s="931"/>
      <c r="CJ43" s="931"/>
      <c r="CK43" s="931"/>
      <c r="CL43" s="931"/>
      <c r="CM43" s="931"/>
      <c r="CN43" s="931"/>
      <c r="CO43" s="931"/>
      <c r="CP43" s="931"/>
      <c r="CQ43" s="931"/>
      <c r="CR43" s="931"/>
      <c r="CS43" s="931"/>
      <c r="CT43" s="931"/>
      <c r="CU43" s="931"/>
      <c r="CV43" s="931"/>
      <c r="CW43" s="931"/>
      <c r="CX43" s="931"/>
      <c r="CY43" s="931"/>
      <c r="CZ43" s="931"/>
      <c r="DA43" s="931"/>
      <c r="DB43" s="931"/>
      <c r="DC43" s="931"/>
      <c r="DD43" s="931"/>
      <c r="DE43" s="931"/>
      <c r="DF43" s="931"/>
      <c r="DG43" s="931"/>
      <c r="DH43" s="931"/>
      <c r="DI43" s="931"/>
      <c r="DJ43" s="931"/>
      <c r="DK43" s="931"/>
      <c r="DL43" s="931"/>
      <c r="DM43" s="931"/>
      <c r="DN43" s="931"/>
      <c r="DO43" s="931"/>
      <c r="DP43" s="931"/>
      <c r="DQ43" s="931"/>
      <c r="DR43" s="931"/>
      <c r="DS43" s="931"/>
      <c r="DT43" s="931"/>
      <c r="DU43" s="931"/>
      <c r="DV43" s="931"/>
      <c r="DW43" s="931"/>
      <c r="DX43" s="931"/>
      <c r="DY43" s="931"/>
      <c r="DZ43" s="931"/>
      <c r="EA43" s="931"/>
      <c r="EB43" s="931"/>
      <c r="EC43" s="931"/>
      <c r="ED43" s="931"/>
      <c r="EE43" s="931"/>
      <c r="EF43" s="931"/>
      <c r="EG43" s="931"/>
      <c r="EH43" s="931"/>
      <c r="EI43" s="931"/>
      <c r="EJ43" s="931"/>
      <c r="EK43" s="931"/>
      <c r="EL43" s="931"/>
      <c r="EM43" s="931"/>
      <c r="EN43" s="931"/>
      <c r="EO43" s="931"/>
      <c r="EP43" s="931"/>
      <c r="EQ43" s="931"/>
      <c r="ER43" s="931"/>
      <c r="ES43" s="931"/>
      <c r="ET43" s="931"/>
      <c r="EU43" s="931"/>
      <c r="EV43" s="931"/>
      <c r="EW43" s="931"/>
      <c r="EX43" s="931"/>
      <c r="EY43" s="931"/>
      <c r="EZ43" s="931"/>
      <c r="FA43" s="931"/>
      <c r="FB43" s="931"/>
      <c r="FC43" s="931"/>
      <c r="FD43" s="931"/>
      <c r="FE43" s="931"/>
      <c r="FF43" s="931"/>
      <c r="FG43" s="931"/>
      <c r="FH43" s="931"/>
      <c r="FI43" s="931"/>
      <c r="FJ43" s="931"/>
      <c r="FK43" s="931"/>
      <c r="FL43" s="931"/>
      <c r="FM43" s="931"/>
      <c r="FN43" s="931"/>
      <c r="FO43" s="931"/>
      <c r="FP43" s="931"/>
      <c r="FQ43" s="931"/>
      <c r="FR43" s="931"/>
      <c r="FS43" s="931"/>
      <c r="FT43" s="931"/>
      <c r="FU43" s="931"/>
      <c r="FV43" s="931"/>
      <c r="FW43" s="964"/>
      <c r="FX43" s="964"/>
      <c r="FY43" s="964"/>
      <c r="FZ43" s="964"/>
      <c r="GA43" s="964"/>
      <c r="GB43" s="964"/>
      <c r="GC43" s="964"/>
      <c r="GD43" s="964"/>
      <c r="GE43" s="964"/>
      <c r="GF43" s="964"/>
      <c r="GI43" s="912"/>
    </row>
    <row r="44" spans="1:191" s="929" customFormat="1" x14ac:dyDescent="0.2">
      <c r="A44" s="952">
        <f t="shared" si="39"/>
        <v>31</v>
      </c>
      <c r="B44" s="952">
        <f t="shared" si="39"/>
        <v>11</v>
      </c>
      <c r="C44" s="952" t="s">
        <v>104</v>
      </c>
      <c r="D44" s="952" t="s">
        <v>575</v>
      </c>
      <c r="E44" s="952" t="s">
        <v>106</v>
      </c>
      <c r="F44" s="869" t="s">
        <v>138</v>
      </c>
      <c r="G44" s="869" t="s">
        <v>131</v>
      </c>
      <c r="H44" s="869" t="s">
        <v>149</v>
      </c>
      <c r="I44" s="869" t="s">
        <v>109</v>
      </c>
      <c r="J44" s="926">
        <v>69.36</v>
      </c>
      <c r="K44" s="962">
        <v>4.79</v>
      </c>
      <c r="L44" s="962">
        <v>0</v>
      </c>
      <c r="M44" s="926">
        <f t="shared" si="70"/>
        <v>74.150000000000006</v>
      </c>
      <c r="N44" s="926"/>
      <c r="O44" s="926"/>
      <c r="P44" s="965"/>
      <c r="Q44" s="926">
        <f t="shared" si="79"/>
        <v>9155520</v>
      </c>
      <c r="R44" s="926">
        <f t="shared" si="80"/>
        <v>316140</v>
      </c>
      <c r="S44" s="926">
        <f t="shared" si="23"/>
        <v>9471660</v>
      </c>
      <c r="T44" s="926"/>
      <c r="U44" s="869">
        <v>2</v>
      </c>
      <c r="V44" s="926">
        <f t="shared" si="81"/>
        <v>74150</v>
      </c>
      <c r="W44" s="926"/>
      <c r="X44" s="954">
        <f t="shared" si="82"/>
        <v>47358.3</v>
      </c>
      <c r="Y44" s="961"/>
      <c r="Z44" s="926"/>
      <c r="AA44" s="961" t="str">
        <f t="shared" si="91"/>
        <v>INNER</v>
      </c>
      <c r="AB44" s="961"/>
      <c r="AC44" s="926">
        <f t="shared" si="84"/>
        <v>121508.3</v>
      </c>
      <c r="AD44" s="926"/>
      <c r="AE44" s="956">
        <f t="shared" si="24"/>
        <v>9593168.3000000007</v>
      </c>
      <c r="AF44" s="956">
        <f t="shared" si="71"/>
        <v>295469.58364000003</v>
      </c>
      <c r="AG44" s="957">
        <f t="shared" si="72"/>
        <v>9888637.8836400006</v>
      </c>
      <c r="AH44" s="919">
        <f t="shared" si="73"/>
        <v>224472.07995862802</v>
      </c>
      <c r="AI44" s="957">
        <f t="shared" si="25"/>
        <v>10113109.963598629</v>
      </c>
      <c r="AJ44" s="919">
        <f t="shared" si="74"/>
        <v>252827.74908996574</v>
      </c>
      <c r="AK44" s="920">
        <f t="shared" si="75"/>
        <v>10365937.712688595</v>
      </c>
      <c r="AL44" s="919">
        <f t="shared" si="2"/>
        <v>259148.44281721488</v>
      </c>
      <c r="AM44" s="920">
        <f t="shared" si="27"/>
        <v>10625086.15550581</v>
      </c>
      <c r="AN44" s="919">
        <f t="shared" si="3"/>
        <v>265627.15388764528</v>
      </c>
      <c r="AO44" s="920">
        <f t="shared" si="43"/>
        <v>10890713.309393454</v>
      </c>
      <c r="AP44" s="919">
        <f t="shared" si="92"/>
        <v>272267.83273483638</v>
      </c>
      <c r="AQ44" s="920">
        <f t="shared" si="93"/>
        <v>11162981.142128291</v>
      </c>
      <c r="AR44" s="919">
        <f t="shared" si="94"/>
        <v>334889.4342638487</v>
      </c>
      <c r="AS44" s="920">
        <f t="shared" si="95"/>
        <v>11497870.57639214</v>
      </c>
      <c r="AT44" s="920">
        <f t="shared" si="28"/>
        <v>344936.11729176418</v>
      </c>
      <c r="AU44" s="919">
        <f t="shared" si="96"/>
        <v>459914.82305568561</v>
      </c>
      <c r="AV44" s="919"/>
      <c r="AW44" s="920">
        <f t="shared" si="97"/>
        <v>11957785.399447827</v>
      </c>
      <c r="AX44" s="920">
        <f t="shared" si="29"/>
        <v>358733.56198343477</v>
      </c>
      <c r="AY44" s="919">
        <f t="shared" si="98"/>
        <v>478311.41597791307</v>
      </c>
      <c r="AZ44" s="919"/>
      <c r="BA44" s="920">
        <f t="shared" si="99"/>
        <v>12436096.815425741</v>
      </c>
      <c r="BB44" s="920">
        <f t="shared" si="30"/>
        <v>373082.90446277219</v>
      </c>
      <c r="BC44" s="919">
        <f t="shared" si="100"/>
        <v>497443.87261702964</v>
      </c>
      <c r="BD44" s="919"/>
      <c r="BE44" s="975">
        <f t="shared" si="101"/>
        <v>12933540.688042771</v>
      </c>
      <c r="BF44" s="975">
        <f t="shared" si="31"/>
        <v>388006.22064128314</v>
      </c>
      <c r="BG44" s="919">
        <f t="shared" si="102"/>
        <v>517341.62752171088</v>
      </c>
      <c r="BH44" s="975"/>
      <c r="BI44" s="975">
        <f t="shared" si="103"/>
        <v>13450882.315564482</v>
      </c>
      <c r="BJ44" s="975">
        <f t="shared" si="32"/>
        <v>403526.46946693445</v>
      </c>
      <c r="BK44" s="919">
        <f t="shared" si="104"/>
        <v>538035.29262257926</v>
      </c>
      <c r="BL44" s="975">
        <f>BK44-BJ44</f>
        <v>134508.82315564482</v>
      </c>
      <c r="BM44" s="975">
        <f t="shared" si="105"/>
        <v>13988917.608187061</v>
      </c>
      <c r="BN44" s="926">
        <f t="shared" si="106"/>
        <v>1049168.8206140294</v>
      </c>
      <c r="BO44" s="926">
        <f t="shared" si="107"/>
        <v>349722.94020467653</v>
      </c>
      <c r="BP44" s="926">
        <f t="shared" si="108"/>
        <v>1678670.1129824473</v>
      </c>
      <c r="BQ44" s="926">
        <f t="shared" si="109"/>
        <v>17066479.481988214</v>
      </c>
      <c r="BR44" s="926">
        <f t="shared" si="110"/>
        <v>230161.55741049512</v>
      </c>
      <c r="BS44" s="963">
        <v>0.15</v>
      </c>
      <c r="BT44" s="954">
        <f t="shared" si="85"/>
        <v>2559971.9222982321</v>
      </c>
      <c r="BU44" s="926">
        <v>50000</v>
      </c>
      <c r="BV44" s="954">
        <f t="shared" si="76"/>
        <v>358567.41747117601</v>
      </c>
      <c r="BW44" s="869">
        <f t="shared" si="35"/>
        <v>7</v>
      </c>
      <c r="BX44" s="954">
        <f t="shared" si="77"/>
        <v>14506507.559689982</v>
      </c>
      <c r="BY44" s="931"/>
      <c r="BZ44" s="959">
        <v>46082</v>
      </c>
      <c r="CA44" s="960">
        <f t="shared" si="37"/>
        <v>7</v>
      </c>
      <c r="CB44" s="960">
        <f t="shared" si="38"/>
        <v>8</v>
      </c>
      <c r="CC44" s="931"/>
      <c r="CD44" s="931"/>
      <c r="CE44" s="931"/>
      <c r="CF44" s="931"/>
      <c r="CG44" s="931"/>
      <c r="CH44" s="931"/>
      <c r="CI44" s="931"/>
      <c r="CJ44" s="931"/>
      <c r="CK44" s="931"/>
      <c r="CL44" s="931"/>
      <c r="CM44" s="931"/>
      <c r="CN44" s="931"/>
      <c r="CO44" s="931"/>
      <c r="CP44" s="931"/>
      <c r="CQ44" s="931"/>
      <c r="CR44" s="931"/>
      <c r="CS44" s="931"/>
      <c r="CT44" s="931"/>
      <c r="CU44" s="931"/>
      <c r="CV44" s="931"/>
      <c r="CW44" s="931"/>
      <c r="CX44" s="931"/>
      <c r="CY44" s="931"/>
      <c r="CZ44" s="931"/>
      <c r="DA44" s="931"/>
      <c r="DB44" s="931"/>
      <c r="DC44" s="931"/>
      <c r="DD44" s="931"/>
      <c r="DE44" s="931"/>
      <c r="DF44" s="931"/>
      <c r="DG44" s="931"/>
      <c r="DH44" s="931"/>
      <c r="DI44" s="931"/>
      <c r="DJ44" s="931"/>
      <c r="DK44" s="931"/>
      <c r="DL44" s="931"/>
      <c r="DM44" s="931"/>
      <c r="DN44" s="931"/>
      <c r="DO44" s="931"/>
      <c r="DP44" s="931"/>
      <c r="DQ44" s="931"/>
      <c r="DR44" s="931"/>
      <c r="DS44" s="931"/>
      <c r="DT44" s="931"/>
      <c r="DU44" s="931"/>
      <c r="DV44" s="931"/>
      <c r="DW44" s="931"/>
      <c r="DX44" s="931"/>
      <c r="DY44" s="931"/>
      <c r="DZ44" s="931"/>
      <c r="EA44" s="931"/>
      <c r="EB44" s="931"/>
      <c r="EC44" s="931"/>
      <c r="ED44" s="931"/>
      <c r="EE44" s="931"/>
      <c r="EF44" s="931"/>
      <c r="EG44" s="931"/>
      <c r="EH44" s="931"/>
      <c r="EI44" s="931"/>
      <c r="EJ44" s="931"/>
      <c r="EK44" s="931"/>
      <c r="EL44" s="931"/>
      <c r="EM44" s="931"/>
      <c r="EN44" s="931"/>
      <c r="EO44" s="931"/>
      <c r="EP44" s="931"/>
      <c r="EQ44" s="931"/>
      <c r="ER44" s="931"/>
      <c r="ES44" s="931"/>
      <c r="ET44" s="931"/>
      <c r="EU44" s="931"/>
      <c r="EV44" s="931"/>
      <c r="EW44" s="931"/>
      <c r="EX44" s="931"/>
      <c r="EY44" s="931"/>
      <c r="EZ44" s="931"/>
      <c r="FA44" s="931"/>
      <c r="FB44" s="931"/>
      <c r="FC44" s="931"/>
      <c r="FD44" s="931"/>
      <c r="FE44" s="931"/>
      <c r="FF44" s="931"/>
      <c r="FG44" s="931"/>
      <c r="FH44" s="931"/>
      <c r="FI44" s="931"/>
      <c r="FJ44" s="931"/>
      <c r="FK44" s="931"/>
      <c r="FL44" s="931"/>
      <c r="FM44" s="931"/>
      <c r="FN44" s="931"/>
      <c r="FO44" s="931"/>
      <c r="FP44" s="931"/>
      <c r="FQ44" s="931"/>
      <c r="FR44" s="931"/>
      <c r="FS44" s="931"/>
      <c r="FT44" s="931"/>
      <c r="FU44" s="931"/>
      <c r="FV44" s="931"/>
      <c r="FW44" s="964"/>
      <c r="FX44" s="964"/>
      <c r="FY44" s="964"/>
      <c r="FZ44" s="964"/>
      <c r="GA44" s="964"/>
      <c r="GB44" s="964"/>
      <c r="GC44" s="964"/>
      <c r="GD44" s="964"/>
      <c r="GE44" s="964"/>
      <c r="GF44" s="964"/>
      <c r="GI44" s="912"/>
    </row>
    <row r="45" spans="1:191" s="929" customFormat="1" x14ac:dyDescent="0.2">
      <c r="A45" s="952">
        <f t="shared" si="39"/>
        <v>32</v>
      </c>
      <c r="B45" s="952">
        <f t="shared" si="39"/>
        <v>12</v>
      </c>
      <c r="C45" s="952" t="s">
        <v>558</v>
      </c>
      <c r="D45" s="952"/>
      <c r="E45" s="952" t="s">
        <v>106</v>
      </c>
      <c r="F45" s="869" t="s">
        <v>138</v>
      </c>
      <c r="G45" s="869" t="s">
        <v>133</v>
      </c>
      <c r="H45" s="869" t="s">
        <v>150</v>
      </c>
      <c r="I45" s="869" t="s">
        <v>109</v>
      </c>
      <c r="J45" s="926">
        <v>83.12</v>
      </c>
      <c r="K45" s="962">
        <v>13.04</v>
      </c>
      <c r="L45" s="962">
        <v>0</v>
      </c>
      <c r="M45" s="926">
        <f t="shared" si="70"/>
        <v>96.16</v>
      </c>
      <c r="N45" s="926"/>
      <c r="O45" s="926"/>
      <c r="P45" s="965"/>
      <c r="Q45" s="926">
        <f t="shared" si="79"/>
        <v>10971840</v>
      </c>
      <c r="R45" s="926">
        <f t="shared" si="80"/>
        <v>860640</v>
      </c>
      <c r="S45" s="926">
        <f t="shared" si="23"/>
        <v>11832480</v>
      </c>
      <c r="T45" s="926"/>
      <c r="U45" s="869">
        <v>2</v>
      </c>
      <c r="V45" s="926">
        <f t="shared" si="81"/>
        <v>96160</v>
      </c>
      <c r="W45" s="926"/>
      <c r="X45" s="954">
        <f t="shared" si="82"/>
        <v>59162.400000000001</v>
      </c>
      <c r="Y45" s="926">
        <f>M45*$Y$5</f>
        <v>192320</v>
      </c>
      <c r="Z45" s="926"/>
      <c r="AA45" s="961" t="str">
        <f t="shared" si="91"/>
        <v>CORNER</v>
      </c>
      <c r="AB45" s="961"/>
      <c r="AC45" s="926">
        <f t="shared" si="84"/>
        <v>347642.4</v>
      </c>
      <c r="AD45" s="926"/>
      <c r="AE45" s="956">
        <f t="shared" si="24"/>
        <v>12180122.4</v>
      </c>
      <c r="AF45" s="956">
        <f t="shared" si="71"/>
        <v>375147.76992000005</v>
      </c>
      <c r="AG45" s="957">
        <f t="shared" si="72"/>
        <v>12555270.169920001</v>
      </c>
      <c r="AH45" s="919">
        <f t="shared" si="73"/>
        <v>285004.63285718404</v>
      </c>
      <c r="AI45" s="957">
        <f t="shared" si="25"/>
        <v>12840274.802777186</v>
      </c>
      <c r="AJ45" s="919">
        <f t="shared" si="74"/>
        <v>321006.87006942969</v>
      </c>
      <c r="AK45" s="920">
        <f t="shared" si="75"/>
        <v>13161281.672846615</v>
      </c>
      <c r="AL45" s="919">
        <f t="shared" si="2"/>
        <v>329032.04182116542</v>
      </c>
      <c r="AM45" s="982">
        <f t="shared" si="27"/>
        <v>13490313.71466778</v>
      </c>
      <c r="AN45" s="919">
        <f t="shared" si="3"/>
        <v>337257.84286669455</v>
      </c>
      <c r="AO45" s="920">
        <f t="shared" si="43"/>
        <v>13827571.557534475</v>
      </c>
      <c r="AP45" s="919">
        <f t="shared" si="92"/>
        <v>345689.28893836192</v>
      </c>
      <c r="AQ45" s="920">
        <f t="shared" si="93"/>
        <v>14173260.846472837</v>
      </c>
      <c r="AR45" s="919">
        <f t="shared" si="94"/>
        <v>425197.82539418509</v>
      </c>
      <c r="AS45" s="920">
        <f t="shared" si="95"/>
        <v>14598458.671867022</v>
      </c>
      <c r="AT45" s="920">
        <f t="shared" si="28"/>
        <v>437953.76015601063</v>
      </c>
      <c r="AU45" s="919">
        <f t="shared" si="96"/>
        <v>583938.34687468095</v>
      </c>
      <c r="AV45" s="919"/>
      <c r="AW45" s="920">
        <f t="shared" si="97"/>
        <v>15182397.018741703</v>
      </c>
      <c r="AX45" s="920">
        <f t="shared" si="29"/>
        <v>455471.91056225105</v>
      </c>
      <c r="AY45" s="919">
        <f t="shared" si="98"/>
        <v>607295.88074966811</v>
      </c>
      <c r="AZ45" s="919"/>
      <c r="BA45" s="920">
        <f t="shared" si="99"/>
        <v>15789692.899491372</v>
      </c>
      <c r="BB45" s="920">
        <f t="shared" si="30"/>
        <v>473690.78698474111</v>
      </c>
      <c r="BC45" s="919">
        <f t="shared" si="100"/>
        <v>631587.71597965492</v>
      </c>
      <c r="BD45" s="919"/>
      <c r="BE45" s="975">
        <f t="shared" si="101"/>
        <v>16421280.615471026</v>
      </c>
      <c r="BF45" s="975">
        <f t="shared" si="31"/>
        <v>492638.41846413078</v>
      </c>
      <c r="BG45" s="919">
        <f t="shared" si="102"/>
        <v>656851.22461884108</v>
      </c>
      <c r="BH45" s="975"/>
      <c r="BI45" s="975">
        <f t="shared" si="103"/>
        <v>17078131.840089869</v>
      </c>
      <c r="BJ45" s="975">
        <f t="shared" si="32"/>
        <v>512343.95520269603</v>
      </c>
      <c r="BK45" s="919">
        <f t="shared" si="104"/>
        <v>683125.27360359475</v>
      </c>
      <c r="BL45" s="975"/>
      <c r="BM45" s="975">
        <f t="shared" si="105"/>
        <v>17761257.113693465</v>
      </c>
      <c r="BN45" s="926">
        <f t="shared" si="106"/>
        <v>1332094.2835270099</v>
      </c>
      <c r="BO45" s="926">
        <f t="shared" si="107"/>
        <v>444031.42784233665</v>
      </c>
      <c r="BP45" s="926">
        <f t="shared" si="108"/>
        <v>2131350.8536432157</v>
      </c>
      <c r="BQ45" s="926">
        <f t="shared" si="109"/>
        <v>21668733.678706028</v>
      </c>
      <c r="BR45" s="926">
        <f t="shared" si="110"/>
        <v>225340.40847240045</v>
      </c>
      <c r="BS45" s="963">
        <v>0.15</v>
      </c>
      <c r="BT45" s="954">
        <f t="shared" si="85"/>
        <v>3250310.0518059041</v>
      </c>
      <c r="BU45" s="926">
        <v>50000</v>
      </c>
      <c r="BV45" s="954">
        <f t="shared" si="76"/>
        <v>457187.15025798633</v>
      </c>
      <c r="BW45" s="869">
        <f t="shared" si="35"/>
        <v>7</v>
      </c>
      <c r="BX45" s="954">
        <f t="shared" si="77"/>
        <v>18418423.626900122</v>
      </c>
      <c r="BY45" s="931"/>
      <c r="BZ45" s="959">
        <v>46082</v>
      </c>
      <c r="CA45" s="960">
        <f t="shared" si="37"/>
        <v>7</v>
      </c>
      <c r="CB45" s="960">
        <f t="shared" si="38"/>
        <v>8</v>
      </c>
      <c r="CC45" s="931"/>
      <c r="CD45" s="931"/>
      <c r="CE45" s="931"/>
      <c r="CF45" s="931"/>
      <c r="CG45" s="931"/>
      <c r="CH45" s="931"/>
      <c r="CI45" s="931"/>
      <c r="CJ45" s="931"/>
      <c r="CK45" s="931"/>
      <c r="CL45" s="931"/>
      <c r="CM45" s="931"/>
      <c r="CN45" s="931"/>
      <c r="CO45" s="931"/>
      <c r="CP45" s="931"/>
      <c r="CQ45" s="931"/>
      <c r="CR45" s="931"/>
      <c r="CS45" s="931"/>
      <c r="CT45" s="931"/>
      <c r="CU45" s="931"/>
      <c r="CV45" s="931"/>
      <c r="CW45" s="931"/>
      <c r="CX45" s="931"/>
      <c r="CY45" s="931"/>
      <c r="CZ45" s="931"/>
      <c r="DA45" s="931"/>
      <c r="DB45" s="931"/>
      <c r="DC45" s="931"/>
      <c r="DD45" s="931"/>
      <c r="DE45" s="931"/>
      <c r="DF45" s="931"/>
      <c r="DG45" s="931"/>
      <c r="DH45" s="931"/>
      <c r="DI45" s="931"/>
      <c r="DJ45" s="931"/>
      <c r="DK45" s="931"/>
      <c r="DL45" s="931"/>
      <c r="DM45" s="931"/>
      <c r="DN45" s="931"/>
      <c r="DO45" s="931"/>
      <c r="DP45" s="931"/>
      <c r="DQ45" s="931"/>
      <c r="DR45" s="931"/>
      <c r="DS45" s="931"/>
      <c r="DT45" s="931"/>
      <c r="DU45" s="931"/>
      <c r="DV45" s="931"/>
      <c r="DW45" s="931"/>
      <c r="DX45" s="931"/>
      <c r="DY45" s="931"/>
      <c r="DZ45" s="931"/>
      <c r="EA45" s="931"/>
      <c r="EB45" s="931"/>
      <c r="EC45" s="931"/>
      <c r="ED45" s="931"/>
      <c r="EE45" s="931"/>
      <c r="EF45" s="931"/>
      <c r="EG45" s="931"/>
      <c r="EH45" s="931"/>
      <c r="EI45" s="931"/>
      <c r="EJ45" s="931"/>
      <c r="EK45" s="931"/>
      <c r="EL45" s="931"/>
      <c r="EM45" s="931"/>
      <c r="EN45" s="931"/>
      <c r="EO45" s="931"/>
      <c r="EP45" s="931"/>
      <c r="EQ45" s="931"/>
      <c r="ER45" s="931"/>
      <c r="ES45" s="931"/>
      <c r="ET45" s="931"/>
      <c r="EU45" s="931"/>
      <c r="EV45" s="931"/>
      <c r="EW45" s="931"/>
      <c r="EX45" s="931"/>
      <c r="EY45" s="931"/>
      <c r="EZ45" s="931"/>
      <c r="FA45" s="931"/>
      <c r="FB45" s="931"/>
      <c r="FC45" s="931"/>
      <c r="FD45" s="931"/>
      <c r="FE45" s="931"/>
      <c r="FF45" s="931"/>
      <c r="FG45" s="931"/>
      <c r="FH45" s="931"/>
      <c r="FI45" s="931"/>
      <c r="FJ45" s="931"/>
      <c r="FK45" s="931"/>
      <c r="FL45" s="931"/>
      <c r="FM45" s="931"/>
      <c r="FN45" s="931"/>
      <c r="FO45" s="931"/>
      <c r="FP45" s="931"/>
      <c r="FQ45" s="931"/>
      <c r="FR45" s="931"/>
      <c r="FS45" s="931"/>
      <c r="FT45" s="931"/>
      <c r="FU45" s="931"/>
      <c r="FV45" s="931"/>
      <c r="FW45" s="964"/>
      <c r="FX45" s="964"/>
      <c r="FY45" s="964"/>
      <c r="FZ45" s="964"/>
      <c r="GA45" s="964"/>
      <c r="GB45" s="964"/>
      <c r="GC45" s="964"/>
      <c r="GD45" s="964"/>
      <c r="GE45" s="964"/>
      <c r="GF45" s="964"/>
      <c r="GI45" s="912"/>
    </row>
    <row r="46" spans="1:191" s="929" customFormat="1" x14ac:dyDescent="0.2">
      <c r="A46" s="952">
        <f t="shared" si="39"/>
        <v>33</v>
      </c>
      <c r="B46" s="952">
        <f t="shared" si="39"/>
        <v>13</v>
      </c>
      <c r="C46" s="952" t="s">
        <v>558</v>
      </c>
      <c r="D46" s="952"/>
      <c r="E46" s="952" t="s">
        <v>106</v>
      </c>
      <c r="F46" s="869" t="s">
        <v>138</v>
      </c>
      <c r="G46" s="869" t="s">
        <v>136</v>
      </c>
      <c r="H46" s="869" t="s">
        <v>151</v>
      </c>
      <c r="I46" s="869" t="s">
        <v>113</v>
      </c>
      <c r="J46" s="926">
        <v>52.04</v>
      </c>
      <c r="K46" s="962">
        <v>3.1</v>
      </c>
      <c r="L46" s="962">
        <v>0</v>
      </c>
      <c r="M46" s="926">
        <f t="shared" si="70"/>
        <v>55.14</v>
      </c>
      <c r="N46" s="926"/>
      <c r="O46" s="926"/>
      <c r="P46" s="965"/>
      <c r="Q46" s="926">
        <f t="shared" si="79"/>
        <v>6869280</v>
      </c>
      <c r="R46" s="926">
        <f t="shared" si="80"/>
        <v>204600</v>
      </c>
      <c r="S46" s="926">
        <f t="shared" si="23"/>
        <v>7073880</v>
      </c>
      <c r="T46" s="926"/>
      <c r="U46" s="869">
        <v>2</v>
      </c>
      <c r="V46" s="926">
        <f t="shared" si="81"/>
        <v>55140</v>
      </c>
      <c r="W46" s="926"/>
      <c r="X46" s="954">
        <f t="shared" si="82"/>
        <v>35369.4</v>
      </c>
      <c r="Y46" s="961"/>
      <c r="Z46" s="926"/>
      <c r="AA46" s="961" t="str">
        <f t="shared" si="91"/>
        <v>INNER</v>
      </c>
      <c r="AB46" s="961"/>
      <c r="AC46" s="926">
        <f t="shared" si="84"/>
        <v>90509.4</v>
      </c>
      <c r="AD46" s="926"/>
      <c r="AE46" s="956">
        <f t="shared" si="24"/>
        <v>7164389.4000000004</v>
      </c>
      <c r="AF46" s="956">
        <f t="shared" si="71"/>
        <v>220663.19352000003</v>
      </c>
      <c r="AG46" s="957">
        <f t="shared" si="72"/>
        <v>7385052.5935200006</v>
      </c>
      <c r="AH46" s="919">
        <f t="shared" si="73"/>
        <v>167640.69387290403</v>
      </c>
      <c r="AI46" s="957">
        <f t="shared" si="25"/>
        <v>7552693.287392905</v>
      </c>
      <c r="AJ46" s="919">
        <f t="shared" si="74"/>
        <v>188817.33218482265</v>
      </c>
      <c r="AK46" s="920">
        <f t="shared" si="75"/>
        <v>7741510.6195777273</v>
      </c>
      <c r="AL46" s="919">
        <f t="shared" si="2"/>
        <v>193537.76548944321</v>
      </c>
      <c r="AM46" s="982">
        <f t="shared" si="27"/>
        <v>7935048.3850671705</v>
      </c>
      <c r="AN46" s="919">
        <f t="shared" si="3"/>
        <v>198376.20962667928</v>
      </c>
      <c r="AO46" s="920">
        <f t="shared" si="43"/>
        <v>8133424.5946938498</v>
      </c>
      <c r="AP46" s="919">
        <f t="shared" si="92"/>
        <v>203335.61486734624</v>
      </c>
      <c r="AQ46" s="920">
        <f t="shared" si="93"/>
        <v>8336760.2095611962</v>
      </c>
      <c r="AR46" s="919">
        <f t="shared" si="94"/>
        <v>250102.80628683587</v>
      </c>
      <c r="AS46" s="920">
        <f t="shared" si="95"/>
        <v>8586863.0158480313</v>
      </c>
      <c r="AT46" s="920">
        <f t="shared" si="28"/>
        <v>257605.89047544092</v>
      </c>
      <c r="AU46" s="919">
        <f t="shared" si="96"/>
        <v>343474.52063392126</v>
      </c>
      <c r="AV46" s="919"/>
      <c r="AW46" s="920">
        <f t="shared" si="97"/>
        <v>8930337.5364819523</v>
      </c>
      <c r="AX46" s="920">
        <f t="shared" si="29"/>
        <v>267910.12609445857</v>
      </c>
      <c r="AY46" s="919">
        <f t="shared" si="98"/>
        <v>357213.50145927811</v>
      </c>
      <c r="AZ46" s="919"/>
      <c r="BA46" s="920">
        <f t="shared" si="99"/>
        <v>9287551.0379412305</v>
      </c>
      <c r="BB46" s="920">
        <f t="shared" si="30"/>
        <v>278626.53113823693</v>
      </c>
      <c r="BC46" s="919">
        <f t="shared" si="100"/>
        <v>371502.04151764925</v>
      </c>
      <c r="BD46" s="919"/>
      <c r="BE46" s="975">
        <f t="shared" si="101"/>
        <v>9659053.0794588793</v>
      </c>
      <c r="BF46" s="975">
        <f t="shared" si="31"/>
        <v>289771.59238376637</v>
      </c>
      <c r="BG46" s="919">
        <f t="shared" si="102"/>
        <v>386362.12317835516</v>
      </c>
      <c r="BH46" s="975"/>
      <c r="BI46" s="975">
        <f t="shared" si="103"/>
        <v>10045415.202637235</v>
      </c>
      <c r="BJ46" s="975">
        <f t="shared" si="32"/>
        <v>301362.45607911702</v>
      </c>
      <c r="BK46" s="919">
        <f t="shared" si="104"/>
        <v>401816.6081054894</v>
      </c>
      <c r="BL46" s="975"/>
      <c r="BM46" s="975">
        <f t="shared" si="105"/>
        <v>10447231.810742725</v>
      </c>
      <c r="BN46" s="926">
        <f t="shared" si="106"/>
        <v>783542.38580570428</v>
      </c>
      <c r="BO46" s="926">
        <f t="shared" si="107"/>
        <v>261180.79526856812</v>
      </c>
      <c r="BP46" s="926">
        <f t="shared" si="108"/>
        <v>1253667.8172891268</v>
      </c>
      <c r="BQ46" s="926">
        <f t="shared" si="109"/>
        <v>12745622.809106123</v>
      </c>
      <c r="BR46" s="926">
        <f t="shared" si="110"/>
        <v>231150.21416587092</v>
      </c>
      <c r="BS46" s="963">
        <v>0.15</v>
      </c>
      <c r="BT46" s="954">
        <f t="shared" si="85"/>
        <v>1911843.4213659184</v>
      </c>
      <c r="BU46" s="926">
        <v>50000</v>
      </c>
      <c r="BV46" s="954">
        <f t="shared" si="76"/>
        <v>265977.63162370265</v>
      </c>
      <c r="BW46" s="869">
        <f t="shared" si="35"/>
        <v>7</v>
      </c>
      <c r="BX46" s="954">
        <f t="shared" si="77"/>
        <v>10833779.387740204</v>
      </c>
      <c r="BY46" s="931"/>
      <c r="BZ46" s="959">
        <v>46082</v>
      </c>
      <c r="CA46" s="960">
        <f t="shared" si="37"/>
        <v>7</v>
      </c>
      <c r="CB46" s="960">
        <f t="shared" si="38"/>
        <v>8</v>
      </c>
      <c r="CC46" s="931"/>
      <c r="CD46" s="931"/>
      <c r="CE46" s="931"/>
      <c r="CF46" s="931"/>
      <c r="CG46" s="931"/>
      <c r="CH46" s="931"/>
      <c r="CI46" s="931"/>
      <c r="CJ46" s="931"/>
      <c r="CK46" s="931"/>
      <c r="CL46" s="931"/>
      <c r="CM46" s="931"/>
      <c r="CN46" s="931"/>
      <c r="CO46" s="931"/>
      <c r="CP46" s="931"/>
      <c r="CQ46" s="931"/>
      <c r="CR46" s="931"/>
      <c r="CS46" s="931"/>
      <c r="CT46" s="931"/>
      <c r="CU46" s="931"/>
      <c r="CV46" s="931"/>
      <c r="CW46" s="931"/>
      <c r="CX46" s="931"/>
      <c r="CY46" s="931"/>
      <c r="CZ46" s="931"/>
      <c r="DA46" s="931"/>
      <c r="DB46" s="931"/>
      <c r="DC46" s="931"/>
      <c r="DD46" s="931"/>
      <c r="DE46" s="931"/>
      <c r="DF46" s="931"/>
      <c r="DG46" s="931"/>
      <c r="DH46" s="931"/>
      <c r="DI46" s="931"/>
      <c r="DJ46" s="931"/>
      <c r="DK46" s="931"/>
      <c r="DL46" s="931"/>
      <c r="DM46" s="931"/>
      <c r="DN46" s="931"/>
      <c r="DO46" s="931"/>
      <c r="DP46" s="931"/>
      <c r="DQ46" s="931"/>
      <c r="DR46" s="931"/>
      <c r="DS46" s="931"/>
      <c r="DT46" s="931"/>
      <c r="DU46" s="931"/>
      <c r="DV46" s="931"/>
      <c r="DW46" s="931"/>
      <c r="DX46" s="931"/>
      <c r="DY46" s="931"/>
      <c r="DZ46" s="931"/>
      <c r="EA46" s="931"/>
      <c r="EB46" s="931"/>
      <c r="EC46" s="931"/>
      <c r="ED46" s="931"/>
      <c r="EE46" s="931"/>
      <c r="EF46" s="931"/>
      <c r="EG46" s="931"/>
      <c r="EH46" s="931"/>
      <c r="EI46" s="931"/>
      <c r="EJ46" s="931"/>
      <c r="EK46" s="931"/>
      <c r="EL46" s="931"/>
      <c r="EM46" s="931"/>
      <c r="EN46" s="931"/>
      <c r="EO46" s="931"/>
      <c r="EP46" s="931"/>
      <c r="EQ46" s="931"/>
      <c r="ER46" s="931"/>
      <c r="ES46" s="931"/>
      <c r="ET46" s="931"/>
      <c r="EU46" s="931"/>
      <c r="EV46" s="931"/>
      <c r="EW46" s="931"/>
      <c r="EX46" s="931"/>
      <c r="EY46" s="931"/>
      <c r="EZ46" s="931"/>
      <c r="FA46" s="931"/>
      <c r="FB46" s="931"/>
      <c r="FC46" s="931"/>
      <c r="FD46" s="931"/>
      <c r="FE46" s="931"/>
      <c r="FF46" s="931"/>
      <c r="FG46" s="931"/>
      <c r="FH46" s="931"/>
      <c r="FI46" s="931"/>
      <c r="FJ46" s="931"/>
      <c r="FK46" s="931"/>
      <c r="FL46" s="931"/>
      <c r="FM46" s="931"/>
      <c r="FN46" s="931"/>
      <c r="FO46" s="931"/>
      <c r="FP46" s="931"/>
      <c r="FQ46" s="931"/>
      <c r="FR46" s="931"/>
      <c r="FS46" s="931"/>
      <c r="FT46" s="931"/>
      <c r="FU46" s="931"/>
      <c r="FV46" s="931"/>
      <c r="FW46" s="964"/>
      <c r="FX46" s="964"/>
      <c r="FY46" s="964"/>
      <c r="FZ46" s="964"/>
      <c r="GA46" s="964"/>
      <c r="GB46" s="964"/>
      <c r="GC46" s="964"/>
      <c r="GD46" s="964"/>
      <c r="GE46" s="964"/>
      <c r="GF46" s="964"/>
      <c r="GI46" s="912"/>
    </row>
    <row r="47" spans="1:191" x14ac:dyDescent="0.2">
      <c r="A47" s="952">
        <f t="shared" si="39"/>
        <v>34</v>
      </c>
      <c r="B47" s="952">
        <v>1</v>
      </c>
      <c r="C47" s="952" t="s">
        <v>104</v>
      </c>
      <c r="D47" s="952"/>
      <c r="E47" s="952" t="s">
        <v>138</v>
      </c>
      <c r="F47" s="869" t="s">
        <v>152</v>
      </c>
      <c r="G47" s="869" t="s">
        <v>107</v>
      </c>
      <c r="H47" s="869" t="s">
        <v>153</v>
      </c>
      <c r="I47" s="869" t="s">
        <v>572</v>
      </c>
      <c r="J47" s="926">
        <v>99.98</v>
      </c>
      <c r="K47" s="962">
        <v>10.29</v>
      </c>
      <c r="L47" s="962">
        <v>0</v>
      </c>
      <c r="M47" s="926">
        <f t="shared" si="70"/>
        <v>110.27000000000001</v>
      </c>
      <c r="N47" s="926"/>
      <c r="O47" s="926"/>
      <c r="P47" s="965"/>
      <c r="Q47" s="926">
        <f t="shared" si="79"/>
        <v>13197360</v>
      </c>
      <c r="R47" s="926">
        <f t="shared" si="80"/>
        <v>679140</v>
      </c>
      <c r="S47" s="926">
        <f t="shared" si="23"/>
        <v>13876500</v>
      </c>
      <c r="T47" s="926"/>
      <c r="U47" s="869">
        <v>3</v>
      </c>
      <c r="V47" s="926">
        <f t="shared" si="81"/>
        <v>165405.00000000003</v>
      </c>
      <c r="W47" s="926"/>
      <c r="X47" s="954">
        <f t="shared" si="82"/>
        <v>69382.5</v>
      </c>
      <c r="Y47" s="926">
        <f>M47*$Y$5</f>
        <v>220540.00000000003</v>
      </c>
      <c r="Z47" s="926">
        <f t="shared" ref="Z47:Z51" si="111">M47*$Z$5</f>
        <v>110270.00000000001</v>
      </c>
      <c r="AA47" s="961" t="str">
        <f t="shared" ref="AA47:AA59" si="112">AA21</f>
        <v>CORNER</v>
      </c>
      <c r="AB47" s="961" t="s">
        <v>573</v>
      </c>
      <c r="AC47" s="926">
        <f>SUM(V47:Z47)</f>
        <v>565597.50000000012</v>
      </c>
      <c r="AD47" s="926"/>
      <c r="AE47" s="956">
        <f t="shared" si="24"/>
        <v>14442097.5</v>
      </c>
      <c r="AF47" s="956">
        <f t="shared" si="71"/>
        <v>444816.603</v>
      </c>
      <c r="AG47" s="957">
        <f t="shared" si="72"/>
        <v>14886914.103</v>
      </c>
      <c r="AH47" s="919">
        <f t="shared" si="73"/>
        <v>337932.95013810002</v>
      </c>
      <c r="AI47" s="957">
        <f t="shared" si="25"/>
        <v>15224847.0531381</v>
      </c>
      <c r="AJ47" s="919">
        <f t="shared" si="74"/>
        <v>380621.17632845254</v>
      </c>
      <c r="AK47" s="920">
        <f t="shared" si="75"/>
        <v>15605468.229466552</v>
      </c>
      <c r="AL47" s="919">
        <f t="shared" si="2"/>
        <v>390136.70573666383</v>
      </c>
      <c r="AM47" s="982">
        <f t="shared" si="27"/>
        <v>15995604.935203215</v>
      </c>
      <c r="AN47" s="919">
        <f t="shared" si="3"/>
        <v>399890.12338008039</v>
      </c>
      <c r="AO47" s="920">
        <f t="shared" si="43"/>
        <v>16395495.058583295</v>
      </c>
      <c r="AP47" s="919">
        <f t="shared" si="92"/>
        <v>409887.3764645824</v>
      </c>
      <c r="AQ47" s="920">
        <f t="shared" si="93"/>
        <v>16805382.435047876</v>
      </c>
      <c r="AR47" s="919">
        <f t="shared" si="94"/>
        <v>504161.47305143625</v>
      </c>
      <c r="AS47" s="920">
        <f t="shared" si="95"/>
        <v>17309543.908099312</v>
      </c>
      <c r="AT47" s="920">
        <f t="shared" si="28"/>
        <v>519286.31724297936</v>
      </c>
      <c r="AU47" s="919">
        <f t="shared" si="96"/>
        <v>692381.75632397248</v>
      </c>
      <c r="AV47" s="919"/>
      <c r="AW47" s="920">
        <f t="shared" si="97"/>
        <v>18001925.664423283</v>
      </c>
      <c r="AX47" s="920">
        <f t="shared" si="29"/>
        <v>540057.76993269846</v>
      </c>
      <c r="AY47" s="919">
        <f t="shared" si="98"/>
        <v>720077.02657693136</v>
      </c>
      <c r="AZ47" s="919"/>
      <c r="BA47" s="920">
        <f t="shared" si="99"/>
        <v>18722002.691000216</v>
      </c>
      <c r="BB47" s="920">
        <f t="shared" si="30"/>
        <v>561660.08073000645</v>
      </c>
      <c r="BC47" s="919">
        <f t="shared" si="100"/>
        <v>748880.10764000867</v>
      </c>
      <c r="BD47" s="919"/>
      <c r="BE47" s="975">
        <f t="shared" si="101"/>
        <v>19470882.798640225</v>
      </c>
      <c r="BF47" s="975">
        <f t="shared" si="31"/>
        <v>584126.48395920673</v>
      </c>
      <c r="BG47" s="919">
        <f t="shared" si="102"/>
        <v>778835.31194560905</v>
      </c>
      <c r="BH47" s="975"/>
      <c r="BI47" s="975">
        <f t="shared" si="103"/>
        <v>20249718.110585835</v>
      </c>
      <c r="BJ47" s="975">
        <f t="shared" si="32"/>
        <v>607491.54331757501</v>
      </c>
      <c r="BK47" s="919">
        <f t="shared" si="104"/>
        <v>809988.72442343342</v>
      </c>
      <c r="BL47" s="975"/>
      <c r="BM47" s="975">
        <f t="shared" si="105"/>
        <v>21059706.835009269</v>
      </c>
      <c r="BN47" s="926">
        <f t="shared" si="106"/>
        <v>1579478.0126256952</v>
      </c>
      <c r="BO47" s="926">
        <f t="shared" si="107"/>
        <v>526492.67087523174</v>
      </c>
      <c r="BP47" s="926">
        <f t="shared" si="108"/>
        <v>2527164.8202011124</v>
      </c>
      <c r="BQ47" s="926">
        <f t="shared" si="109"/>
        <v>25692842.33871131</v>
      </c>
      <c r="BR47" s="926">
        <f t="shared" si="110"/>
        <v>232999.38640347609</v>
      </c>
      <c r="BS47" s="963">
        <v>0.15</v>
      </c>
      <c r="BT47" s="954">
        <f t="shared" si="85"/>
        <v>3853926.3508066963</v>
      </c>
      <c r="BU47" s="926">
        <f>'[19]Package Breakdown'!F27</f>
        <v>50000</v>
      </c>
      <c r="BV47" s="954">
        <f t="shared" si="76"/>
        <v>543418.05011524237</v>
      </c>
      <c r="BW47" s="869">
        <f t="shared" si="35"/>
        <v>7</v>
      </c>
      <c r="BX47" s="954">
        <f t="shared" si="77"/>
        <v>21838915.987904616</v>
      </c>
      <c r="BZ47" s="959">
        <v>46082</v>
      </c>
      <c r="CA47" s="960">
        <f t="shared" si="37"/>
        <v>7</v>
      </c>
      <c r="CB47" s="960">
        <f t="shared" si="38"/>
        <v>8</v>
      </c>
      <c r="DS47" s="932"/>
      <c r="DT47" s="932"/>
      <c r="DU47" s="932"/>
      <c r="DV47" s="932"/>
      <c r="DW47" s="932"/>
      <c r="DX47" s="932"/>
      <c r="DY47" s="932"/>
      <c r="DZ47" s="932"/>
      <c r="EA47" s="932"/>
      <c r="EB47" s="932"/>
      <c r="EC47" s="932"/>
      <c r="ED47" s="932"/>
      <c r="EE47" s="932"/>
      <c r="EF47" s="932"/>
      <c r="EG47" s="932"/>
      <c r="EH47" s="932"/>
      <c r="EI47" s="932"/>
      <c r="EJ47" s="932"/>
      <c r="EK47" s="932"/>
      <c r="EL47" s="932"/>
      <c r="EM47" s="932"/>
      <c r="EN47" s="932"/>
      <c r="EO47" s="932"/>
      <c r="EP47" s="932"/>
      <c r="EQ47" s="932"/>
      <c r="ER47" s="932"/>
      <c r="ES47" s="932"/>
      <c r="ET47" s="932"/>
      <c r="EU47" s="932"/>
      <c r="EV47" s="932"/>
      <c r="EW47" s="932"/>
      <c r="EX47" s="932"/>
      <c r="EY47" s="932"/>
      <c r="EZ47" s="932"/>
      <c r="FA47" s="932"/>
      <c r="FB47" s="932"/>
      <c r="FC47" s="932"/>
      <c r="FD47" s="932"/>
      <c r="FE47" s="932"/>
      <c r="FF47" s="932"/>
      <c r="FG47" s="932"/>
      <c r="FH47" s="932"/>
      <c r="FI47" s="932"/>
      <c r="FJ47" s="932"/>
      <c r="FK47" s="932"/>
      <c r="FL47" s="932"/>
      <c r="FM47" s="932"/>
      <c r="FN47" s="932"/>
      <c r="FO47" s="932"/>
      <c r="FP47" s="932"/>
      <c r="FQ47" s="932"/>
      <c r="FR47" s="932"/>
      <c r="FS47" s="932"/>
      <c r="FT47" s="932"/>
      <c r="FU47" s="932"/>
      <c r="FV47" s="932"/>
      <c r="GI47" s="912"/>
    </row>
    <row r="48" spans="1:191" x14ac:dyDescent="0.2">
      <c r="A48" s="952">
        <f t="shared" si="39"/>
        <v>35</v>
      </c>
      <c r="B48" s="952">
        <f>B47+1</f>
        <v>2</v>
      </c>
      <c r="C48" s="952" t="s">
        <v>558</v>
      </c>
      <c r="D48" s="952"/>
      <c r="E48" s="952" t="s">
        <v>138</v>
      </c>
      <c r="F48" s="869" t="s">
        <v>152</v>
      </c>
      <c r="G48" s="869" t="s">
        <v>111</v>
      </c>
      <c r="H48" s="869" t="s">
        <v>154</v>
      </c>
      <c r="I48" s="869" t="s">
        <v>113</v>
      </c>
      <c r="J48" s="926">
        <v>52.86</v>
      </c>
      <c r="K48" s="962">
        <v>5.09</v>
      </c>
      <c r="L48" s="962">
        <v>0</v>
      </c>
      <c r="M48" s="926">
        <f t="shared" si="70"/>
        <v>57.95</v>
      </c>
      <c r="N48" s="926"/>
      <c r="O48" s="926"/>
      <c r="P48" s="965"/>
      <c r="Q48" s="926">
        <f t="shared" si="79"/>
        <v>6977520</v>
      </c>
      <c r="R48" s="926">
        <f t="shared" si="80"/>
        <v>335940</v>
      </c>
      <c r="S48" s="926">
        <f t="shared" si="23"/>
        <v>7313460</v>
      </c>
      <c r="T48" s="926"/>
      <c r="U48" s="869">
        <f t="shared" ref="U48:U59" si="113">$U$47</f>
        <v>3</v>
      </c>
      <c r="V48" s="926">
        <f t="shared" si="81"/>
        <v>86925.000000000015</v>
      </c>
      <c r="W48" s="926"/>
      <c r="X48" s="954">
        <f t="shared" si="82"/>
        <v>36567.300000000003</v>
      </c>
      <c r="Y48" s="961"/>
      <c r="Z48" s="926">
        <f t="shared" si="111"/>
        <v>57950</v>
      </c>
      <c r="AA48" s="961" t="str">
        <f t="shared" si="112"/>
        <v>INNER</v>
      </c>
      <c r="AB48" s="961" t="s">
        <v>573</v>
      </c>
      <c r="AC48" s="926">
        <f t="shared" ref="AC48:AC120" si="114">SUM(V48:Z48)</f>
        <v>181442.30000000002</v>
      </c>
      <c r="AD48" s="926"/>
      <c r="AE48" s="956">
        <f t="shared" si="24"/>
        <v>7494902.2999999998</v>
      </c>
      <c r="AF48" s="956">
        <f t="shared" si="71"/>
        <v>230842.99084000001</v>
      </c>
      <c r="AG48" s="957">
        <f t="shared" si="72"/>
        <v>7725745.2908399999</v>
      </c>
      <c r="AH48" s="919">
        <f t="shared" si="73"/>
        <v>175374.41810206801</v>
      </c>
      <c r="AI48" s="957">
        <f t="shared" si="25"/>
        <v>7901119.7089420678</v>
      </c>
      <c r="AJ48" s="919">
        <f t="shared" si="74"/>
        <v>197527.9927235517</v>
      </c>
      <c r="AK48" s="920">
        <f t="shared" si="75"/>
        <v>8098647.7016656194</v>
      </c>
      <c r="AL48" s="919">
        <f t="shared" si="2"/>
        <v>202466.19254164048</v>
      </c>
      <c r="AM48" s="982">
        <f t="shared" si="27"/>
        <v>8301113.8942072596</v>
      </c>
      <c r="AN48" s="919">
        <f t="shared" si="3"/>
        <v>207527.8473551815</v>
      </c>
      <c r="AO48" s="920">
        <f t="shared" si="43"/>
        <v>8508641.741562441</v>
      </c>
      <c r="AP48" s="919">
        <f t="shared" si="92"/>
        <v>212716.04353906104</v>
      </c>
      <c r="AQ48" s="920">
        <f t="shared" si="93"/>
        <v>8721357.7851015013</v>
      </c>
      <c r="AR48" s="919">
        <f t="shared" si="94"/>
        <v>261640.73355304502</v>
      </c>
      <c r="AS48" s="920">
        <f t="shared" si="95"/>
        <v>8982998.5186545458</v>
      </c>
      <c r="AT48" s="920">
        <f t="shared" si="28"/>
        <v>269489.95555963635</v>
      </c>
      <c r="AU48" s="919">
        <f t="shared" si="96"/>
        <v>359319.94074618182</v>
      </c>
      <c r="AV48" s="919"/>
      <c r="AW48" s="920">
        <f t="shared" si="97"/>
        <v>9342318.4594007283</v>
      </c>
      <c r="AX48" s="920">
        <f t="shared" si="29"/>
        <v>280269.55378202186</v>
      </c>
      <c r="AY48" s="919">
        <f t="shared" si="98"/>
        <v>373692.73837602913</v>
      </c>
      <c r="AZ48" s="919"/>
      <c r="BA48" s="920">
        <f t="shared" si="99"/>
        <v>9716011.1977767572</v>
      </c>
      <c r="BB48" s="920">
        <f t="shared" si="30"/>
        <v>291480.3359333027</v>
      </c>
      <c r="BC48" s="919">
        <f t="shared" si="100"/>
        <v>388640.44791107031</v>
      </c>
      <c r="BD48" s="919"/>
      <c r="BE48" s="975">
        <f t="shared" si="101"/>
        <v>10104651.645687828</v>
      </c>
      <c r="BF48" s="975">
        <f t="shared" si="31"/>
        <v>303139.54937063484</v>
      </c>
      <c r="BG48" s="919">
        <f t="shared" si="102"/>
        <v>404186.06582751311</v>
      </c>
      <c r="BH48" s="975"/>
      <c r="BI48" s="975">
        <f t="shared" si="103"/>
        <v>10508837.711515341</v>
      </c>
      <c r="BJ48" s="975">
        <f t="shared" si="32"/>
        <v>315265.13134546019</v>
      </c>
      <c r="BK48" s="919">
        <f t="shared" si="104"/>
        <v>420353.50846061367</v>
      </c>
      <c r="BL48" s="975"/>
      <c r="BM48" s="975">
        <f t="shared" si="105"/>
        <v>10929191.219975954</v>
      </c>
      <c r="BN48" s="926">
        <f t="shared" si="106"/>
        <v>819689.34149819647</v>
      </c>
      <c r="BO48" s="926">
        <f t="shared" si="107"/>
        <v>273229.78049939888</v>
      </c>
      <c r="BP48" s="926">
        <f t="shared" si="108"/>
        <v>1311502.9463971143</v>
      </c>
      <c r="BQ48" s="926">
        <f t="shared" si="109"/>
        <v>13333613.288370663</v>
      </c>
      <c r="BR48" s="926">
        <f t="shared" si="110"/>
        <v>230088.23621002006</v>
      </c>
      <c r="BS48" s="963">
        <v>0.15</v>
      </c>
      <c r="BT48" s="954">
        <f t="shared" si="85"/>
        <v>2000041.9932555994</v>
      </c>
      <c r="BU48" s="926">
        <f>BU47</f>
        <v>50000</v>
      </c>
      <c r="BV48" s="954">
        <f t="shared" si="76"/>
        <v>278577.42760794278</v>
      </c>
      <c r="BW48" s="869">
        <f t="shared" si="35"/>
        <v>7</v>
      </c>
      <c r="BX48" s="954">
        <f t="shared" si="77"/>
        <v>11333571.295115065</v>
      </c>
      <c r="BZ48" s="959">
        <v>46082</v>
      </c>
      <c r="CA48" s="960">
        <f t="shared" si="37"/>
        <v>7</v>
      </c>
      <c r="CB48" s="960">
        <f t="shared" si="38"/>
        <v>8</v>
      </c>
      <c r="DS48" s="932"/>
      <c r="DT48" s="932"/>
      <c r="DU48" s="932"/>
      <c r="DV48" s="932"/>
      <c r="DW48" s="932"/>
      <c r="DX48" s="932"/>
      <c r="DY48" s="932"/>
      <c r="DZ48" s="932"/>
      <c r="EA48" s="932"/>
      <c r="EB48" s="932"/>
      <c r="EC48" s="932"/>
      <c r="ED48" s="932"/>
      <c r="EE48" s="932"/>
      <c r="EF48" s="932"/>
      <c r="EG48" s="932"/>
      <c r="EH48" s="932"/>
      <c r="EI48" s="932"/>
      <c r="EJ48" s="932"/>
      <c r="EK48" s="932"/>
      <c r="EL48" s="932"/>
      <c r="EM48" s="932"/>
      <c r="EN48" s="932"/>
      <c r="EO48" s="932"/>
      <c r="EP48" s="932"/>
      <c r="EQ48" s="932"/>
      <c r="ER48" s="932"/>
      <c r="ES48" s="932"/>
      <c r="ET48" s="932"/>
      <c r="EU48" s="932"/>
      <c r="EV48" s="932"/>
      <c r="EW48" s="932"/>
      <c r="EX48" s="932"/>
      <c r="EY48" s="932"/>
      <c r="EZ48" s="932"/>
      <c r="FA48" s="932"/>
      <c r="FB48" s="932"/>
      <c r="FC48" s="932"/>
      <c r="FD48" s="932"/>
      <c r="FE48" s="932"/>
      <c r="FF48" s="932"/>
      <c r="FG48" s="932"/>
      <c r="FH48" s="932"/>
      <c r="FI48" s="932"/>
      <c r="FJ48" s="932"/>
      <c r="FK48" s="932"/>
      <c r="FL48" s="932"/>
      <c r="FM48" s="932"/>
      <c r="FN48" s="932"/>
      <c r="FO48" s="932"/>
      <c r="FP48" s="932"/>
      <c r="FQ48" s="932"/>
      <c r="FR48" s="932"/>
      <c r="FS48" s="932"/>
      <c r="FT48" s="932"/>
      <c r="FU48" s="932"/>
      <c r="FV48" s="932"/>
      <c r="GI48" s="912"/>
    </row>
    <row r="49" spans="1:191" x14ac:dyDescent="0.2">
      <c r="A49" s="952">
        <f t="shared" si="39"/>
        <v>36</v>
      </c>
      <c r="B49" s="952">
        <f t="shared" si="39"/>
        <v>3</v>
      </c>
      <c r="C49" s="952" t="s">
        <v>558</v>
      </c>
      <c r="D49" s="952"/>
      <c r="E49" s="952" t="s">
        <v>138</v>
      </c>
      <c r="F49" s="869" t="s">
        <v>152</v>
      </c>
      <c r="G49" s="869" t="s">
        <v>115</v>
      </c>
      <c r="H49" s="869" t="s">
        <v>155</v>
      </c>
      <c r="I49" s="869" t="s">
        <v>109</v>
      </c>
      <c r="J49" s="926">
        <v>57.5</v>
      </c>
      <c r="K49" s="962">
        <v>5.09</v>
      </c>
      <c r="L49" s="962">
        <v>0</v>
      </c>
      <c r="M49" s="926">
        <f t="shared" si="70"/>
        <v>62.59</v>
      </c>
      <c r="N49" s="926"/>
      <c r="O49" s="926"/>
      <c r="P49" s="965"/>
      <c r="Q49" s="926">
        <f t="shared" si="79"/>
        <v>7590000</v>
      </c>
      <c r="R49" s="926">
        <f t="shared" si="80"/>
        <v>335940</v>
      </c>
      <c r="S49" s="926">
        <f t="shared" si="23"/>
        <v>7925940</v>
      </c>
      <c r="T49" s="926"/>
      <c r="U49" s="869">
        <f t="shared" si="113"/>
        <v>3</v>
      </c>
      <c r="V49" s="926">
        <f t="shared" si="81"/>
        <v>93885</v>
      </c>
      <c r="W49" s="926"/>
      <c r="X49" s="954">
        <f t="shared" si="82"/>
        <v>39629.700000000004</v>
      </c>
      <c r="Y49" s="961"/>
      <c r="Z49" s="926">
        <f t="shared" si="111"/>
        <v>62590</v>
      </c>
      <c r="AA49" s="961" t="str">
        <f t="shared" si="112"/>
        <v>INNER</v>
      </c>
      <c r="AB49" s="961" t="s">
        <v>573</v>
      </c>
      <c r="AC49" s="926">
        <f t="shared" si="114"/>
        <v>196104.7</v>
      </c>
      <c r="AD49" s="926"/>
      <c r="AE49" s="956">
        <f t="shared" si="24"/>
        <v>8122044.7000000002</v>
      </c>
      <c r="AF49" s="956">
        <f t="shared" si="71"/>
        <v>250158.97676000002</v>
      </c>
      <c r="AG49" s="957">
        <f t="shared" si="72"/>
        <v>8372203.6767600002</v>
      </c>
      <c r="AH49" s="919">
        <f t="shared" si="73"/>
        <v>190049.02346245202</v>
      </c>
      <c r="AI49" s="957">
        <f t="shared" si="25"/>
        <v>8562252.7002224531</v>
      </c>
      <c r="AJ49" s="919">
        <f t="shared" si="74"/>
        <v>214056.31750556134</v>
      </c>
      <c r="AK49" s="920">
        <f t="shared" si="75"/>
        <v>8776309.0177280139</v>
      </c>
      <c r="AL49" s="919">
        <f t="shared" si="2"/>
        <v>219407.72544320035</v>
      </c>
      <c r="AM49" s="982">
        <f t="shared" si="27"/>
        <v>8995716.7431712151</v>
      </c>
      <c r="AN49" s="919">
        <f t="shared" si="3"/>
        <v>224892.91857928038</v>
      </c>
      <c r="AO49" s="920">
        <f t="shared" si="43"/>
        <v>9220609.6617504954</v>
      </c>
      <c r="AP49" s="919">
        <f t="shared" si="92"/>
        <v>230515.24154376239</v>
      </c>
      <c r="AQ49" s="920">
        <f t="shared" si="93"/>
        <v>9451124.9032942578</v>
      </c>
      <c r="AR49" s="919">
        <f t="shared" si="94"/>
        <v>283533.74709882773</v>
      </c>
      <c r="AS49" s="920">
        <f t="shared" si="95"/>
        <v>9734658.6503930856</v>
      </c>
      <c r="AT49" s="920">
        <f t="shared" si="28"/>
        <v>292039.75951179257</v>
      </c>
      <c r="AU49" s="919">
        <f t="shared" si="96"/>
        <v>389386.34601572342</v>
      </c>
      <c r="AV49" s="919"/>
      <c r="AW49" s="920">
        <f t="shared" si="97"/>
        <v>10124044.996408809</v>
      </c>
      <c r="AX49" s="920">
        <f t="shared" si="29"/>
        <v>303721.34989226423</v>
      </c>
      <c r="AY49" s="919">
        <f t="shared" si="98"/>
        <v>404961.79985635239</v>
      </c>
      <c r="AZ49" s="919"/>
      <c r="BA49" s="920">
        <f t="shared" si="99"/>
        <v>10529006.796265161</v>
      </c>
      <c r="BB49" s="920">
        <f t="shared" si="30"/>
        <v>315870.20388795482</v>
      </c>
      <c r="BC49" s="919">
        <f t="shared" si="100"/>
        <v>421160.27185060643</v>
      </c>
      <c r="BD49" s="919"/>
      <c r="BE49" s="975">
        <f t="shared" si="101"/>
        <v>10950167.068115767</v>
      </c>
      <c r="BF49" s="975">
        <f t="shared" si="31"/>
        <v>328505.01204347302</v>
      </c>
      <c r="BG49" s="919">
        <f t="shared" si="102"/>
        <v>438006.68272463069</v>
      </c>
      <c r="BH49" s="975"/>
      <c r="BI49" s="975">
        <f t="shared" si="103"/>
        <v>11388173.750840398</v>
      </c>
      <c r="BJ49" s="975">
        <f t="shared" si="32"/>
        <v>341645.21252521191</v>
      </c>
      <c r="BK49" s="919">
        <f t="shared" si="104"/>
        <v>455526.95003361593</v>
      </c>
      <c r="BL49" s="975"/>
      <c r="BM49" s="975">
        <f t="shared" si="105"/>
        <v>11843700.700874014</v>
      </c>
      <c r="BN49" s="926">
        <f t="shared" si="106"/>
        <v>888277.55256555101</v>
      </c>
      <c r="BO49" s="926">
        <f t="shared" si="107"/>
        <v>296092.51752185036</v>
      </c>
      <c r="BP49" s="926">
        <f t="shared" si="108"/>
        <v>1421244.0841048816</v>
      </c>
      <c r="BQ49" s="926">
        <f t="shared" si="109"/>
        <v>14449314.855066296</v>
      </c>
      <c r="BR49" s="926">
        <f t="shared" si="110"/>
        <v>230856.60417105441</v>
      </c>
      <c r="BS49" s="963">
        <v>0.15</v>
      </c>
      <c r="BT49" s="954">
        <f t="shared" si="85"/>
        <v>2167397.2282599444</v>
      </c>
      <c r="BU49" s="926">
        <f t="shared" ref="BU49:BU111" si="115">BU48</f>
        <v>50000</v>
      </c>
      <c r="BV49" s="954">
        <f t="shared" si="76"/>
        <v>302485.31832284917</v>
      </c>
      <c r="BW49" s="869">
        <f t="shared" si="35"/>
        <v>7</v>
      </c>
      <c r="BX49" s="954">
        <f t="shared" si="77"/>
        <v>12281917.626806352</v>
      </c>
      <c r="BZ49" s="959">
        <v>46082</v>
      </c>
      <c r="CA49" s="960">
        <f t="shared" si="37"/>
        <v>7</v>
      </c>
      <c r="CB49" s="960">
        <f t="shared" si="38"/>
        <v>8</v>
      </c>
      <c r="DS49" s="932"/>
      <c r="DT49" s="932"/>
      <c r="DU49" s="932"/>
      <c r="DV49" s="932"/>
      <c r="DW49" s="932"/>
      <c r="DX49" s="932"/>
      <c r="DY49" s="932"/>
      <c r="DZ49" s="932"/>
      <c r="EA49" s="932"/>
      <c r="EB49" s="932"/>
      <c r="EC49" s="932"/>
      <c r="ED49" s="932"/>
      <c r="EE49" s="932"/>
      <c r="EF49" s="932"/>
      <c r="EG49" s="932"/>
      <c r="EH49" s="932"/>
      <c r="EI49" s="932"/>
      <c r="EJ49" s="932"/>
      <c r="EK49" s="932"/>
      <c r="EL49" s="932"/>
      <c r="EM49" s="932"/>
      <c r="EN49" s="932"/>
      <c r="EO49" s="932"/>
      <c r="EP49" s="932"/>
      <c r="EQ49" s="932"/>
      <c r="ER49" s="932"/>
      <c r="ES49" s="932"/>
      <c r="ET49" s="932"/>
      <c r="EU49" s="932"/>
      <c r="EV49" s="932"/>
      <c r="EW49" s="932"/>
      <c r="EX49" s="932"/>
      <c r="EY49" s="932"/>
      <c r="EZ49" s="932"/>
      <c r="FA49" s="932"/>
      <c r="FB49" s="932"/>
      <c r="FC49" s="932"/>
      <c r="FD49" s="932"/>
      <c r="FE49" s="932"/>
      <c r="FF49" s="932"/>
      <c r="FG49" s="932"/>
      <c r="FH49" s="932"/>
      <c r="FI49" s="932"/>
      <c r="FJ49" s="932"/>
      <c r="FK49" s="932"/>
      <c r="FL49" s="932"/>
      <c r="FM49" s="932"/>
      <c r="FN49" s="932"/>
      <c r="FO49" s="932"/>
      <c r="FP49" s="932"/>
      <c r="FQ49" s="932"/>
      <c r="FR49" s="932"/>
      <c r="FS49" s="932"/>
      <c r="FT49" s="932"/>
      <c r="FU49" s="932"/>
      <c r="FV49" s="932"/>
      <c r="GI49" s="912"/>
    </row>
    <row r="50" spans="1:191" x14ac:dyDescent="0.2">
      <c r="A50" s="952">
        <f t="shared" si="39"/>
        <v>37</v>
      </c>
      <c r="B50" s="952">
        <f t="shared" si="39"/>
        <v>4</v>
      </c>
      <c r="C50" s="952" t="s">
        <v>558</v>
      </c>
      <c r="D50" s="952"/>
      <c r="E50" s="952" t="s">
        <v>138</v>
      </c>
      <c r="F50" s="869" t="s">
        <v>152</v>
      </c>
      <c r="G50" s="869" t="s">
        <v>117</v>
      </c>
      <c r="H50" s="869" t="s">
        <v>156</v>
      </c>
      <c r="I50" s="869" t="s">
        <v>109</v>
      </c>
      <c r="J50" s="926">
        <v>62.11</v>
      </c>
      <c r="K50" s="962">
        <v>5.19</v>
      </c>
      <c r="L50" s="962">
        <v>0</v>
      </c>
      <c r="M50" s="926">
        <f t="shared" si="70"/>
        <v>67.3</v>
      </c>
      <c r="N50" s="926"/>
      <c r="O50" s="926"/>
      <c r="P50" s="965"/>
      <c r="Q50" s="926">
        <f t="shared" si="79"/>
        <v>8198520</v>
      </c>
      <c r="R50" s="926">
        <f t="shared" si="80"/>
        <v>342540</v>
      </c>
      <c r="S50" s="926">
        <f t="shared" si="23"/>
        <v>8541060</v>
      </c>
      <c r="T50" s="926"/>
      <c r="U50" s="869">
        <f t="shared" si="113"/>
        <v>3</v>
      </c>
      <c r="V50" s="926">
        <f t="shared" si="81"/>
        <v>100949.99999999999</v>
      </c>
      <c r="W50" s="926"/>
      <c r="X50" s="954">
        <f t="shared" si="82"/>
        <v>42705.3</v>
      </c>
      <c r="Y50" s="961"/>
      <c r="Z50" s="926">
        <f t="shared" si="111"/>
        <v>67300</v>
      </c>
      <c r="AA50" s="961" t="str">
        <f t="shared" si="112"/>
        <v>INNER</v>
      </c>
      <c r="AB50" s="961" t="s">
        <v>573</v>
      </c>
      <c r="AC50" s="926">
        <f t="shared" si="114"/>
        <v>210955.3</v>
      </c>
      <c r="AD50" s="926"/>
      <c r="AE50" s="956">
        <f t="shared" si="24"/>
        <v>8752015.3000000007</v>
      </c>
      <c r="AF50" s="956">
        <f t="shared" si="71"/>
        <v>269562.07124000002</v>
      </c>
      <c r="AG50" s="957">
        <f t="shared" si="72"/>
        <v>9021577.3712400012</v>
      </c>
      <c r="AH50" s="919">
        <f t="shared" si="73"/>
        <v>204789.80632714805</v>
      </c>
      <c r="AI50" s="957">
        <f t="shared" si="25"/>
        <v>9226367.1775671486</v>
      </c>
      <c r="AJ50" s="919">
        <f t="shared" si="74"/>
        <v>230659.17943917873</v>
      </c>
      <c r="AK50" s="920">
        <f t="shared" si="75"/>
        <v>9457026.3570063282</v>
      </c>
      <c r="AL50" s="919">
        <f t="shared" si="2"/>
        <v>236425.6589251582</v>
      </c>
      <c r="AM50" s="920">
        <f t="shared" si="27"/>
        <v>9693452.0159314871</v>
      </c>
      <c r="AN50" s="919">
        <f t="shared" si="3"/>
        <v>242336.30039828719</v>
      </c>
      <c r="AO50" s="920">
        <f t="shared" si="43"/>
        <v>9935788.3163297735</v>
      </c>
      <c r="AP50" s="919">
        <f t="shared" si="92"/>
        <v>248394.70790824434</v>
      </c>
      <c r="AQ50" s="920">
        <f t="shared" si="93"/>
        <v>10184183.024238018</v>
      </c>
      <c r="AR50" s="919">
        <f t="shared" si="94"/>
        <v>305525.49072714051</v>
      </c>
      <c r="AS50" s="920">
        <f t="shared" si="95"/>
        <v>10489708.514965158</v>
      </c>
      <c r="AT50" s="920">
        <f t="shared" si="28"/>
        <v>314691.2554489547</v>
      </c>
      <c r="AU50" s="919">
        <f t="shared" si="96"/>
        <v>419588.34059860633</v>
      </c>
      <c r="AV50" s="919"/>
      <c r="AW50" s="920">
        <f t="shared" si="97"/>
        <v>10909296.855563764</v>
      </c>
      <c r="AX50" s="920">
        <f t="shared" si="29"/>
        <v>327278.90566691291</v>
      </c>
      <c r="AY50" s="919">
        <f t="shared" si="98"/>
        <v>436371.87422255054</v>
      </c>
      <c r="AZ50" s="919"/>
      <c r="BA50" s="920">
        <f t="shared" si="99"/>
        <v>11345668.729786314</v>
      </c>
      <c r="BB50" s="920">
        <f t="shared" si="30"/>
        <v>340370.06189358939</v>
      </c>
      <c r="BC50" s="919">
        <f t="shared" si="100"/>
        <v>453826.74919145257</v>
      </c>
      <c r="BD50" s="919"/>
      <c r="BE50" s="975">
        <f t="shared" si="101"/>
        <v>11799495.478977766</v>
      </c>
      <c r="BF50" s="975">
        <f t="shared" si="31"/>
        <v>353984.86436933296</v>
      </c>
      <c r="BG50" s="919">
        <f t="shared" si="102"/>
        <v>471979.81915911066</v>
      </c>
      <c r="BH50" s="975">
        <f>BG50-BF50</f>
        <v>117994.95478977769</v>
      </c>
      <c r="BI50" s="975">
        <f t="shared" si="103"/>
        <v>12271475.298136877</v>
      </c>
      <c r="BJ50" s="975">
        <f t="shared" si="32"/>
        <v>368144.25894410629</v>
      </c>
      <c r="BK50" s="919">
        <f t="shared" si="104"/>
        <v>490859.01192547509</v>
      </c>
      <c r="BL50" s="975"/>
      <c r="BM50" s="975">
        <f t="shared" si="105"/>
        <v>12762334.310062353</v>
      </c>
      <c r="BN50" s="926">
        <f t="shared" si="106"/>
        <v>957175.07325467642</v>
      </c>
      <c r="BO50" s="926">
        <f t="shared" si="107"/>
        <v>319058.35775155883</v>
      </c>
      <c r="BP50" s="926">
        <f t="shared" si="108"/>
        <v>1531480.1172074822</v>
      </c>
      <c r="BQ50" s="926">
        <f t="shared" si="109"/>
        <v>15570047.858276071</v>
      </c>
      <c r="BR50" s="926">
        <f t="shared" si="110"/>
        <v>231352.8656504617</v>
      </c>
      <c r="BS50" s="963">
        <v>0.15</v>
      </c>
      <c r="BT50" s="954">
        <f t="shared" si="85"/>
        <v>2335507.1787414104</v>
      </c>
      <c r="BU50" s="926">
        <f t="shared" si="115"/>
        <v>50000</v>
      </c>
      <c r="BV50" s="954">
        <f t="shared" si="76"/>
        <v>326501.02553448721</v>
      </c>
      <c r="BW50" s="869">
        <f t="shared" si="35"/>
        <v>7</v>
      </c>
      <c r="BX50" s="954">
        <f t="shared" si="77"/>
        <v>13234540.679534661</v>
      </c>
      <c r="BZ50" s="959">
        <v>46082</v>
      </c>
      <c r="CA50" s="960">
        <f t="shared" si="37"/>
        <v>7</v>
      </c>
      <c r="CB50" s="960">
        <f t="shared" si="38"/>
        <v>8</v>
      </c>
      <c r="GI50" s="912"/>
    </row>
    <row r="51" spans="1:191" x14ac:dyDescent="0.2">
      <c r="A51" s="952">
        <f t="shared" si="39"/>
        <v>38</v>
      </c>
      <c r="B51" s="952">
        <f t="shared" si="39"/>
        <v>5</v>
      </c>
      <c r="C51" s="952" t="s">
        <v>558</v>
      </c>
      <c r="D51" s="952"/>
      <c r="E51" s="952" t="s">
        <v>138</v>
      </c>
      <c r="F51" s="869" t="s">
        <v>152</v>
      </c>
      <c r="G51" s="869" t="s">
        <v>119</v>
      </c>
      <c r="H51" s="869" t="s">
        <v>157</v>
      </c>
      <c r="I51" s="869" t="s">
        <v>109</v>
      </c>
      <c r="J51" s="926">
        <v>80.900000000000006</v>
      </c>
      <c r="K51" s="962">
        <v>15.65</v>
      </c>
      <c r="L51" s="962">
        <v>0</v>
      </c>
      <c r="M51" s="926">
        <f t="shared" si="70"/>
        <v>96.550000000000011</v>
      </c>
      <c r="N51" s="926"/>
      <c r="O51" s="926"/>
      <c r="P51" s="965"/>
      <c r="Q51" s="926">
        <f t="shared" si="79"/>
        <v>10678800</v>
      </c>
      <c r="R51" s="926">
        <f t="shared" si="80"/>
        <v>1032900</v>
      </c>
      <c r="S51" s="926">
        <f t="shared" si="23"/>
        <v>11711700</v>
      </c>
      <c r="T51" s="926"/>
      <c r="U51" s="869">
        <f t="shared" si="113"/>
        <v>3</v>
      </c>
      <c r="V51" s="926">
        <f t="shared" si="81"/>
        <v>144825.00000000003</v>
      </c>
      <c r="W51" s="926"/>
      <c r="X51" s="954">
        <f t="shared" si="82"/>
        <v>58558.5</v>
      </c>
      <c r="Y51" s="926">
        <f>M51*$Y$5</f>
        <v>193100.00000000003</v>
      </c>
      <c r="Z51" s="926">
        <f t="shared" si="111"/>
        <v>96550.000000000015</v>
      </c>
      <c r="AA51" s="961" t="str">
        <f t="shared" si="112"/>
        <v>CORNER</v>
      </c>
      <c r="AB51" s="961" t="s">
        <v>573</v>
      </c>
      <c r="AC51" s="926">
        <f t="shared" si="114"/>
        <v>493033.50000000006</v>
      </c>
      <c r="AD51" s="926"/>
      <c r="AE51" s="956">
        <f t="shared" si="24"/>
        <v>12204733.5</v>
      </c>
      <c r="AF51" s="956">
        <f t="shared" si="71"/>
        <v>375905.79180000001</v>
      </c>
      <c r="AG51" s="957">
        <f t="shared" si="72"/>
        <v>12580639.2918</v>
      </c>
      <c r="AH51" s="919">
        <f t="shared" si="73"/>
        <v>285580.51192386</v>
      </c>
      <c r="AI51" s="957">
        <f t="shared" si="25"/>
        <v>12866219.803723861</v>
      </c>
      <c r="AJ51" s="919">
        <f t="shared" si="74"/>
        <v>321655.49509309651</v>
      </c>
      <c r="AK51" s="920">
        <f t="shared" si="75"/>
        <v>13187875.298816957</v>
      </c>
      <c r="AL51" s="919">
        <f t="shared" si="2"/>
        <v>329696.88247042394</v>
      </c>
      <c r="AM51" s="982">
        <f t="shared" si="27"/>
        <v>13517572.18128738</v>
      </c>
      <c r="AN51" s="919">
        <f t="shared" si="3"/>
        <v>337939.3045321845</v>
      </c>
      <c r="AO51" s="920">
        <f t="shared" si="43"/>
        <v>13855511.485819565</v>
      </c>
      <c r="AP51" s="919">
        <f t="shared" si="92"/>
        <v>346387.78714548913</v>
      </c>
      <c r="AQ51" s="920">
        <f t="shared" si="93"/>
        <v>14201899.272965055</v>
      </c>
      <c r="AR51" s="919">
        <f t="shared" si="94"/>
        <v>426056.97818895162</v>
      </c>
      <c r="AS51" s="920">
        <f t="shared" si="95"/>
        <v>14627956.251154007</v>
      </c>
      <c r="AT51" s="920">
        <f t="shared" si="28"/>
        <v>438838.68753462023</v>
      </c>
      <c r="AU51" s="919">
        <f t="shared" si="96"/>
        <v>585118.2500461603</v>
      </c>
      <c r="AV51" s="919"/>
      <c r="AW51" s="920">
        <f t="shared" si="97"/>
        <v>15213074.501200167</v>
      </c>
      <c r="AX51" s="920">
        <f t="shared" si="29"/>
        <v>456392.23503600503</v>
      </c>
      <c r="AY51" s="919">
        <f t="shared" si="98"/>
        <v>608522.98004800675</v>
      </c>
      <c r="AZ51" s="919"/>
      <c r="BA51" s="920">
        <f t="shared" si="99"/>
        <v>15821597.481248174</v>
      </c>
      <c r="BB51" s="920">
        <f t="shared" si="30"/>
        <v>474647.92443744518</v>
      </c>
      <c r="BC51" s="919">
        <f t="shared" si="100"/>
        <v>632863.89924992702</v>
      </c>
      <c r="BD51" s="919"/>
      <c r="BE51" s="975">
        <f t="shared" si="101"/>
        <v>16454461.3804981</v>
      </c>
      <c r="BF51" s="975">
        <f t="shared" si="31"/>
        <v>493633.84141494299</v>
      </c>
      <c r="BG51" s="919">
        <f t="shared" si="102"/>
        <v>658178.45521992398</v>
      </c>
      <c r="BH51" s="975"/>
      <c r="BI51" s="975">
        <f t="shared" si="103"/>
        <v>17112639.835718025</v>
      </c>
      <c r="BJ51" s="975">
        <f t="shared" si="32"/>
        <v>513379.19507154071</v>
      </c>
      <c r="BK51" s="919">
        <f t="shared" si="104"/>
        <v>684505.59342872095</v>
      </c>
      <c r="BL51" s="975"/>
      <c r="BM51" s="975">
        <f t="shared" si="105"/>
        <v>17797145.429146744</v>
      </c>
      <c r="BN51" s="926">
        <f t="shared" si="106"/>
        <v>1334785.9071860057</v>
      </c>
      <c r="BO51" s="926">
        <f t="shared" si="107"/>
        <v>444928.63572866865</v>
      </c>
      <c r="BP51" s="926">
        <f t="shared" si="108"/>
        <v>2135657.4514976093</v>
      </c>
      <c r="BQ51" s="926">
        <f t="shared" si="109"/>
        <v>21712517.423559029</v>
      </c>
      <c r="BR51" s="926">
        <f t="shared" si="110"/>
        <v>224883.66052365641</v>
      </c>
      <c r="BS51" s="963">
        <v>0.15</v>
      </c>
      <c r="BT51" s="954">
        <f t="shared" si="85"/>
        <v>3256877.613533854</v>
      </c>
      <c r="BU51" s="926">
        <f t="shared" si="115"/>
        <v>50000</v>
      </c>
      <c r="BV51" s="954">
        <f t="shared" si="76"/>
        <v>458125.37336197915</v>
      </c>
      <c r="BW51" s="869">
        <f t="shared" si="35"/>
        <v>7</v>
      </c>
      <c r="BX51" s="954">
        <f t="shared" si="77"/>
        <v>18455639.810025174</v>
      </c>
      <c r="BZ51" s="959">
        <v>46082</v>
      </c>
      <c r="CA51" s="960">
        <f t="shared" si="37"/>
        <v>7</v>
      </c>
      <c r="CB51" s="960">
        <f t="shared" si="38"/>
        <v>8</v>
      </c>
      <c r="GI51" s="912"/>
    </row>
    <row r="52" spans="1:191" x14ac:dyDescent="0.2">
      <c r="A52" s="952">
        <f t="shared" si="39"/>
        <v>39</v>
      </c>
      <c r="B52" s="952">
        <f t="shared" si="39"/>
        <v>6</v>
      </c>
      <c r="C52" s="952" t="s">
        <v>558</v>
      </c>
      <c r="D52" s="952"/>
      <c r="E52" s="952" t="s">
        <v>138</v>
      </c>
      <c r="F52" s="869" t="s">
        <v>152</v>
      </c>
      <c r="G52" s="869" t="s">
        <v>121</v>
      </c>
      <c r="H52" s="869" t="s">
        <v>158</v>
      </c>
      <c r="I52" s="869" t="s">
        <v>109</v>
      </c>
      <c r="J52" s="926">
        <v>61.56</v>
      </c>
      <c r="K52" s="962">
        <v>4.0999999999999996</v>
      </c>
      <c r="L52" s="962">
        <v>0</v>
      </c>
      <c r="M52" s="926">
        <f t="shared" si="70"/>
        <v>65.66</v>
      </c>
      <c r="N52" s="926"/>
      <c r="O52" s="926"/>
      <c r="P52" s="965"/>
      <c r="Q52" s="926">
        <f t="shared" si="79"/>
        <v>8125920</v>
      </c>
      <c r="R52" s="926">
        <f t="shared" si="80"/>
        <v>270600</v>
      </c>
      <c r="S52" s="926">
        <f t="shared" si="23"/>
        <v>8396520</v>
      </c>
      <c r="T52" s="926"/>
      <c r="U52" s="869">
        <f t="shared" si="113"/>
        <v>3</v>
      </c>
      <c r="V52" s="926">
        <f t="shared" si="81"/>
        <v>98490</v>
      </c>
      <c r="W52" s="926"/>
      <c r="X52" s="954">
        <f t="shared" si="82"/>
        <v>41982.6</v>
      </c>
      <c r="Y52" s="961"/>
      <c r="Z52" s="926"/>
      <c r="AA52" s="961" t="str">
        <f t="shared" si="112"/>
        <v>INNER</v>
      </c>
      <c r="AB52" s="961"/>
      <c r="AC52" s="926">
        <f t="shared" si="114"/>
        <v>140472.6</v>
      </c>
      <c r="AD52" s="926"/>
      <c r="AE52" s="956">
        <f t="shared" si="24"/>
        <v>8536992.5999999996</v>
      </c>
      <c r="AF52" s="956">
        <f t="shared" si="71"/>
        <v>262939.37208</v>
      </c>
      <c r="AG52" s="957">
        <f t="shared" si="72"/>
        <v>8799931.9720799997</v>
      </c>
      <c r="AH52" s="919">
        <f t="shared" si="73"/>
        <v>199758.45576621601</v>
      </c>
      <c r="AI52" s="957">
        <f t="shared" si="25"/>
        <v>8999690.4278462157</v>
      </c>
      <c r="AJ52" s="919">
        <f t="shared" si="74"/>
        <v>224992.2606961554</v>
      </c>
      <c r="AK52" s="920">
        <f t="shared" si="75"/>
        <v>9224682.6885423716</v>
      </c>
      <c r="AL52" s="919">
        <f t="shared" si="2"/>
        <v>230617.06721355929</v>
      </c>
      <c r="AM52" s="982">
        <f t="shared" si="27"/>
        <v>9455299.7557559311</v>
      </c>
      <c r="AN52" s="919">
        <f t="shared" si="3"/>
        <v>236382.4938938983</v>
      </c>
      <c r="AO52" s="920">
        <f t="shared" si="43"/>
        <v>9691682.2496498302</v>
      </c>
      <c r="AP52" s="919">
        <f t="shared" si="92"/>
        <v>242292.05624124577</v>
      </c>
      <c r="AQ52" s="920">
        <f t="shared" si="93"/>
        <v>9933974.3058910761</v>
      </c>
      <c r="AR52" s="919">
        <f t="shared" si="94"/>
        <v>298019.22917673225</v>
      </c>
      <c r="AS52" s="920">
        <f t="shared" si="95"/>
        <v>10231993.535067808</v>
      </c>
      <c r="AT52" s="920">
        <f t="shared" si="28"/>
        <v>306959.8060520342</v>
      </c>
      <c r="AU52" s="919">
        <f t="shared" si="96"/>
        <v>409279.7414027123</v>
      </c>
      <c r="AV52" s="919"/>
      <c r="AW52" s="920">
        <f t="shared" si="97"/>
        <v>10641273.27647052</v>
      </c>
      <c r="AX52" s="920">
        <f t="shared" si="29"/>
        <v>319238.1982941156</v>
      </c>
      <c r="AY52" s="919">
        <f t="shared" si="98"/>
        <v>425650.9310588208</v>
      </c>
      <c r="AZ52" s="919"/>
      <c r="BA52" s="920">
        <f t="shared" si="99"/>
        <v>11066924.20752934</v>
      </c>
      <c r="BB52" s="920">
        <f t="shared" si="30"/>
        <v>332007.72622588021</v>
      </c>
      <c r="BC52" s="919">
        <f t="shared" si="100"/>
        <v>442676.96830117359</v>
      </c>
      <c r="BD52" s="919"/>
      <c r="BE52" s="975">
        <f t="shared" si="101"/>
        <v>11509601.175830513</v>
      </c>
      <c r="BF52" s="975">
        <f t="shared" si="31"/>
        <v>345288.0352749154</v>
      </c>
      <c r="BG52" s="919">
        <f t="shared" si="102"/>
        <v>460384.04703322053</v>
      </c>
      <c r="BH52" s="975"/>
      <c r="BI52" s="975">
        <f t="shared" si="103"/>
        <v>11969985.222863734</v>
      </c>
      <c r="BJ52" s="975">
        <f t="shared" si="32"/>
        <v>359099.55668591202</v>
      </c>
      <c r="BK52" s="919">
        <f t="shared" si="104"/>
        <v>478799.40891454933</v>
      </c>
      <c r="BL52" s="975"/>
      <c r="BM52" s="975">
        <f t="shared" si="105"/>
        <v>12448784.631778283</v>
      </c>
      <c r="BN52" s="926">
        <f t="shared" si="106"/>
        <v>933658.84738337121</v>
      </c>
      <c r="BO52" s="926">
        <f t="shared" si="107"/>
        <v>311219.61579445709</v>
      </c>
      <c r="BP52" s="926">
        <f t="shared" si="108"/>
        <v>1493854.1558133939</v>
      </c>
      <c r="BQ52" s="926">
        <f t="shared" si="109"/>
        <v>15187517.250769505</v>
      </c>
      <c r="BR52" s="926">
        <f t="shared" si="110"/>
        <v>231305.4713793711</v>
      </c>
      <c r="BS52" s="963">
        <v>0.15</v>
      </c>
      <c r="BT52" s="954">
        <f t="shared" si="85"/>
        <v>2278127.5876154257</v>
      </c>
      <c r="BU52" s="926">
        <f t="shared" si="115"/>
        <v>50000</v>
      </c>
      <c r="BV52" s="954">
        <f t="shared" si="76"/>
        <v>318303.94108791795</v>
      </c>
      <c r="BW52" s="869">
        <f t="shared" si="35"/>
        <v>7</v>
      </c>
      <c r="BX52" s="954">
        <f t="shared" si="77"/>
        <v>12909389.663154081</v>
      </c>
      <c r="BZ52" s="959">
        <v>46082</v>
      </c>
      <c r="CA52" s="960">
        <f t="shared" si="37"/>
        <v>7</v>
      </c>
      <c r="CB52" s="960">
        <f t="shared" si="38"/>
        <v>8</v>
      </c>
      <c r="GI52" s="912"/>
    </row>
    <row r="53" spans="1:191" x14ac:dyDescent="0.2">
      <c r="A53" s="952">
        <f t="shared" si="39"/>
        <v>40</v>
      </c>
      <c r="B53" s="952">
        <f t="shared" si="39"/>
        <v>7</v>
      </c>
      <c r="C53" s="952" t="s">
        <v>558</v>
      </c>
      <c r="D53" s="952"/>
      <c r="E53" s="952" t="s">
        <v>138</v>
      </c>
      <c r="F53" s="869" t="s">
        <v>152</v>
      </c>
      <c r="G53" s="869" t="s">
        <v>123</v>
      </c>
      <c r="H53" s="869" t="s">
        <v>159</v>
      </c>
      <c r="I53" s="869" t="s">
        <v>109</v>
      </c>
      <c r="J53" s="926">
        <v>95.44</v>
      </c>
      <c r="K53" s="962">
        <v>13.34</v>
      </c>
      <c r="L53" s="962">
        <v>0</v>
      </c>
      <c r="M53" s="926">
        <f t="shared" si="70"/>
        <v>108.78</v>
      </c>
      <c r="N53" s="926"/>
      <c r="O53" s="926"/>
      <c r="P53" s="965"/>
      <c r="Q53" s="926">
        <f t="shared" si="79"/>
        <v>12598080</v>
      </c>
      <c r="R53" s="926">
        <f t="shared" si="80"/>
        <v>880440</v>
      </c>
      <c r="S53" s="926">
        <f t="shared" si="23"/>
        <v>13478520</v>
      </c>
      <c r="T53" s="926"/>
      <c r="U53" s="869">
        <f t="shared" si="113"/>
        <v>3</v>
      </c>
      <c r="V53" s="926">
        <f t="shared" si="81"/>
        <v>163170.00000000003</v>
      </c>
      <c r="W53" s="926"/>
      <c r="X53" s="954">
        <f t="shared" si="82"/>
        <v>67392.600000000006</v>
      </c>
      <c r="Y53" s="926">
        <f>M53*$Y$5</f>
        <v>217560</v>
      </c>
      <c r="Z53" s="926"/>
      <c r="AA53" s="961" t="str">
        <f t="shared" si="112"/>
        <v>CORNER</v>
      </c>
      <c r="AB53" s="961"/>
      <c r="AC53" s="926">
        <f t="shared" si="114"/>
        <v>448122.60000000003</v>
      </c>
      <c r="AD53" s="926"/>
      <c r="AE53" s="956">
        <f t="shared" si="24"/>
        <v>13926642.6</v>
      </c>
      <c r="AF53" s="956">
        <f t="shared" si="71"/>
        <v>428940.59208000003</v>
      </c>
      <c r="AG53" s="957">
        <f t="shared" si="72"/>
        <v>14355583.19208</v>
      </c>
      <c r="AH53" s="919">
        <f t="shared" si="73"/>
        <v>325871.73846021603</v>
      </c>
      <c r="AI53" s="957">
        <f t="shared" si="25"/>
        <v>14681454.930540217</v>
      </c>
      <c r="AJ53" s="919">
        <f t="shared" si="74"/>
        <v>367036.37326350546</v>
      </c>
      <c r="AK53" s="920">
        <f t="shared" si="75"/>
        <v>15048491.303803723</v>
      </c>
      <c r="AL53" s="919">
        <f t="shared" si="2"/>
        <v>376212.28259509313</v>
      </c>
      <c r="AM53" s="982">
        <f t="shared" si="27"/>
        <v>15424703.586398816</v>
      </c>
      <c r="AN53" s="919">
        <f t="shared" si="3"/>
        <v>385617.58965997043</v>
      </c>
      <c r="AO53" s="920">
        <f t="shared" si="43"/>
        <v>15810321.176058786</v>
      </c>
      <c r="AP53" s="919">
        <f t="shared" si="92"/>
        <v>395258.02940146968</v>
      </c>
      <c r="AQ53" s="920">
        <f t="shared" si="93"/>
        <v>16205579.205460256</v>
      </c>
      <c r="AR53" s="919">
        <f t="shared" si="94"/>
        <v>486167.37616380764</v>
      </c>
      <c r="AS53" s="920">
        <f t="shared" si="95"/>
        <v>16691746.581624063</v>
      </c>
      <c r="AT53" s="920">
        <f t="shared" si="28"/>
        <v>500752.39744872187</v>
      </c>
      <c r="AU53" s="919">
        <f t="shared" si="96"/>
        <v>667669.86326496257</v>
      </c>
      <c r="AV53" s="919"/>
      <c r="AW53" s="920">
        <f t="shared" si="97"/>
        <v>17359416.444889024</v>
      </c>
      <c r="AX53" s="920">
        <f t="shared" si="29"/>
        <v>520782.4933466707</v>
      </c>
      <c r="AY53" s="919">
        <f t="shared" si="98"/>
        <v>694376.65779556101</v>
      </c>
      <c r="AZ53" s="919"/>
      <c r="BA53" s="920">
        <f t="shared" si="99"/>
        <v>18053793.102684584</v>
      </c>
      <c r="BB53" s="920">
        <f t="shared" si="30"/>
        <v>541613.79308053746</v>
      </c>
      <c r="BC53" s="919">
        <f t="shared" si="100"/>
        <v>722151.7241073834</v>
      </c>
      <c r="BD53" s="919"/>
      <c r="BE53" s="975">
        <f t="shared" si="101"/>
        <v>18775944.826791968</v>
      </c>
      <c r="BF53" s="975">
        <f t="shared" si="31"/>
        <v>563278.34480375901</v>
      </c>
      <c r="BG53" s="919">
        <f t="shared" si="102"/>
        <v>751037.79307167872</v>
      </c>
      <c r="BH53" s="975"/>
      <c r="BI53" s="975">
        <f t="shared" si="103"/>
        <v>19526982.619863648</v>
      </c>
      <c r="BJ53" s="975">
        <f t="shared" si="32"/>
        <v>585809.47859590943</v>
      </c>
      <c r="BK53" s="919">
        <f t="shared" si="104"/>
        <v>781079.30479454598</v>
      </c>
      <c r="BL53" s="975"/>
      <c r="BM53" s="975">
        <f t="shared" si="105"/>
        <v>20308061.924658194</v>
      </c>
      <c r="BN53" s="926">
        <f t="shared" si="106"/>
        <v>1523104.6443493646</v>
      </c>
      <c r="BO53" s="926">
        <f t="shared" si="107"/>
        <v>507701.54811645485</v>
      </c>
      <c r="BP53" s="926">
        <f t="shared" si="108"/>
        <v>2436967.430958983</v>
      </c>
      <c r="BQ53" s="926">
        <f t="shared" si="109"/>
        <v>24775835.548082996</v>
      </c>
      <c r="BR53" s="926">
        <f t="shared" si="110"/>
        <v>227760.94454939323</v>
      </c>
      <c r="BS53" s="963">
        <v>0.15</v>
      </c>
      <c r="BT53" s="954">
        <f t="shared" si="85"/>
        <v>3716375.3322124495</v>
      </c>
      <c r="BU53" s="926">
        <f t="shared" si="115"/>
        <v>50000</v>
      </c>
      <c r="BV53" s="954">
        <f t="shared" si="76"/>
        <v>523767.90460177849</v>
      </c>
      <c r="BW53" s="869">
        <f t="shared" si="35"/>
        <v>7</v>
      </c>
      <c r="BX53" s="954">
        <f t="shared" si="77"/>
        <v>21059460.215870548</v>
      </c>
      <c r="BZ53" s="959">
        <v>46082</v>
      </c>
      <c r="CA53" s="960">
        <f t="shared" si="37"/>
        <v>7</v>
      </c>
      <c r="CB53" s="960">
        <f t="shared" si="38"/>
        <v>8</v>
      </c>
      <c r="GI53" s="912"/>
    </row>
    <row r="54" spans="1:191" x14ac:dyDescent="0.2">
      <c r="A54" s="952">
        <f t="shared" si="39"/>
        <v>41</v>
      </c>
      <c r="B54" s="952">
        <f t="shared" si="39"/>
        <v>8</v>
      </c>
      <c r="C54" s="952" t="s">
        <v>104</v>
      </c>
      <c r="D54" s="952"/>
      <c r="E54" s="952" t="s">
        <v>138</v>
      </c>
      <c r="F54" s="869" t="s">
        <v>152</v>
      </c>
      <c r="G54" s="869" t="s">
        <v>125</v>
      </c>
      <c r="H54" s="869" t="s">
        <v>160</v>
      </c>
      <c r="I54" s="869" t="s">
        <v>109</v>
      </c>
      <c r="J54" s="926">
        <v>69.2</v>
      </c>
      <c r="K54" s="962">
        <v>4.7699999999999996</v>
      </c>
      <c r="L54" s="962">
        <v>0</v>
      </c>
      <c r="M54" s="926">
        <f t="shared" si="70"/>
        <v>73.97</v>
      </c>
      <c r="N54" s="926"/>
      <c r="O54" s="926"/>
      <c r="P54" s="965"/>
      <c r="Q54" s="926">
        <f t="shared" si="79"/>
        <v>9134400</v>
      </c>
      <c r="R54" s="926">
        <f t="shared" si="80"/>
        <v>314820</v>
      </c>
      <c r="S54" s="926">
        <f t="shared" si="23"/>
        <v>9449220</v>
      </c>
      <c r="T54" s="926"/>
      <c r="U54" s="869">
        <v>3</v>
      </c>
      <c r="V54" s="926">
        <f t="shared" si="81"/>
        <v>110955</v>
      </c>
      <c r="W54" s="926"/>
      <c r="X54" s="954">
        <f t="shared" si="82"/>
        <v>47246.1</v>
      </c>
      <c r="Y54" s="961"/>
      <c r="Z54" s="926"/>
      <c r="AA54" s="961" t="str">
        <f t="shared" si="112"/>
        <v>INNER</v>
      </c>
      <c r="AB54" s="961"/>
      <c r="AC54" s="926">
        <f t="shared" si="114"/>
        <v>158201.1</v>
      </c>
      <c r="AD54" s="926"/>
      <c r="AE54" s="956">
        <f t="shared" si="24"/>
        <v>9607421.0999999996</v>
      </c>
      <c r="AF54" s="956">
        <f t="shared" si="71"/>
        <v>295908.56988000002</v>
      </c>
      <c r="AG54" s="957">
        <f t="shared" si="72"/>
        <v>9903329.669879999</v>
      </c>
      <c r="AH54" s="919">
        <f t="shared" si="73"/>
        <v>224805.58350627599</v>
      </c>
      <c r="AI54" s="957">
        <f t="shared" si="25"/>
        <v>10128135.253386276</v>
      </c>
      <c r="AJ54" s="919">
        <f t="shared" si="74"/>
        <v>253203.38133465691</v>
      </c>
      <c r="AK54" s="920">
        <f t="shared" si="75"/>
        <v>10381338.634720933</v>
      </c>
      <c r="AL54" s="919">
        <f t="shared" si="2"/>
        <v>259533.46586802334</v>
      </c>
      <c r="AM54" s="920">
        <f t="shared" si="27"/>
        <v>10640872.100588957</v>
      </c>
      <c r="AN54" s="919">
        <f t="shared" si="3"/>
        <v>266021.80251472391</v>
      </c>
      <c r="AO54" s="920">
        <f t="shared" si="43"/>
        <v>10906893.903103681</v>
      </c>
      <c r="AP54" s="919">
        <f t="shared" si="92"/>
        <v>272672.34757759207</v>
      </c>
      <c r="AQ54" s="920">
        <f t="shared" si="93"/>
        <v>11179566.250681274</v>
      </c>
      <c r="AR54" s="919">
        <f t="shared" si="94"/>
        <v>335386.98752043821</v>
      </c>
      <c r="AS54" s="920">
        <f t="shared" si="95"/>
        <v>11514953.238201711</v>
      </c>
      <c r="AT54" s="920">
        <f t="shared" si="28"/>
        <v>345448.59714605135</v>
      </c>
      <c r="AU54" s="919">
        <f t="shared" si="96"/>
        <v>460598.12952806847</v>
      </c>
      <c r="AV54" s="919"/>
      <c r="AW54" s="920">
        <f t="shared" si="97"/>
        <v>11975551.367729779</v>
      </c>
      <c r="AX54" s="920">
        <f t="shared" si="29"/>
        <v>359266.54103189334</v>
      </c>
      <c r="AY54" s="919">
        <f t="shared" si="98"/>
        <v>479022.0547091912</v>
      </c>
      <c r="AZ54" s="919"/>
      <c r="BA54" s="920">
        <f t="shared" si="99"/>
        <v>12454573.42243897</v>
      </c>
      <c r="BB54" s="920">
        <f t="shared" si="30"/>
        <v>373637.20267316909</v>
      </c>
      <c r="BC54" s="919">
        <f t="shared" si="100"/>
        <v>498182.9368975588</v>
      </c>
      <c r="BD54" s="919"/>
      <c r="BE54" s="975">
        <f t="shared" si="101"/>
        <v>12952756.359336529</v>
      </c>
      <c r="BF54" s="975">
        <f t="shared" si="31"/>
        <v>388582.69078009587</v>
      </c>
      <c r="BG54" s="919">
        <f t="shared" si="102"/>
        <v>518110.25437346118</v>
      </c>
      <c r="BH54" s="975">
        <f>BG54-BF54</f>
        <v>129527.56359336531</v>
      </c>
      <c r="BI54" s="975">
        <f t="shared" si="103"/>
        <v>13470866.61370999</v>
      </c>
      <c r="BJ54" s="975">
        <f t="shared" si="32"/>
        <v>404125.99841129966</v>
      </c>
      <c r="BK54" s="919">
        <f t="shared" si="104"/>
        <v>538834.66454839963</v>
      </c>
      <c r="BL54" s="975"/>
      <c r="BM54" s="975">
        <f t="shared" si="105"/>
        <v>14009701.278258389</v>
      </c>
      <c r="BN54" s="926">
        <f t="shared" si="106"/>
        <v>1050727.5958693791</v>
      </c>
      <c r="BO54" s="926">
        <f t="shared" si="107"/>
        <v>350242.53195645974</v>
      </c>
      <c r="BP54" s="926">
        <f t="shared" si="108"/>
        <v>1681164.1533910066</v>
      </c>
      <c r="BQ54" s="926">
        <f t="shared" si="109"/>
        <v>17091835.559475236</v>
      </c>
      <c r="BR54" s="926">
        <f t="shared" si="110"/>
        <v>231064.42557084272</v>
      </c>
      <c r="BS54" s="963">
        <v>0.15</v>
      </c>
      <c r="BT54" s="954">
        <f t="shared" si="85"/>
        <v>2563775.3339212853</v>
      </c>
      <c r="BU54" s="926">
        <f t="shared" si="115"/>
        <v>50000</v>
      </c>
      <c r="BV54" s="954">
        <f t="shared" si="76"/>
        <v>359110.76198875502</v>
      </c>
      <c r="BW54" s="869">
        <f t="shared" si="35"/>
        <v>7</v>
      </c>
      <c r="BX54" s="954">
        <f t="shared" si="77"/>
        <v>14528060.22555395</v>
      </c>
      <c r="BZ54" s="959">
        <v>46082</v>
      </c>
      <c r="CA54" s="960">
        <f t="shared" si="37"/>
        <v>7</v>
      </c>
      <c r="CB54" s="960">
        <f t="shared" si="38"/>
        <v>8</v>
      </c>
      <c r="GI54" s="912"/>
    </row>
    <row r="55" spans="1:191" x14ac:dyDescent="0.2">
      <c r="A55" s="952">
        <f t="shared" si="39"/>
        <v>42</v>
      </c>
      <c r="B55" s="952">
        <f t="shared" si="39"/>
        <v>9</v>
      </c>
      <c r="C55" s="952" t="s">
        <v>104</v>
      </c>
      <c r="D55" s="952"/>
      <c r="E55" s="952" t="s">
        <v>138</v>
      </c>
      <c r="F55" s="869" t="s">
        <v>152</v>
      </c>
      <c r="G55" s="869" t="s">
        <v>127</v>
      </c>
      <c r="H55" s="869" t="s">
        <v>161</v>
      </c>
      <c r="I55" s="869" t="s">
        <v>113</v>
      </c>
      <c r="J55" s="926">
        <v>69.36</v>
      </c>
      <c r="K55" s="962">
        <v>4.79</v>
      </c>
      <c r="L55" s="962">
        <v>0</v>
      </c>
      <c r="M55" s="926">
        <f t="shared" si="70"/>
        <v>74.150000000000006</v>
      </c>
      <c r="N55" s="926"/>
      <c r="O55" s="926"/>
      <c r="P55" s="965"/>
      <c r="Q55" s="926">
        <f t="shared" si="79"/>
        <v>9155520</v>
      </c>
      <c r="R55" s="926">
        <f t="shared" si="80"/>
        <v>316140</v>
      </c>
      <c r="S55" s="926">
        <f t="shared" si="23"/>
        <v>9471660</v>
      </c>
      <c r="T55" s="926"/>
      <c r="U55" s="869">
        <f t="shared" si="113"/>
        <v>3</v>
      </c>
      <c r="V55" s="926">
        <f t="shared" si="81"/>
        <v>111225.00000000001</v>
      </c>
      <c r="W55" s="926"/>
      <c r="X55" s="954">
        <f t="shared" si="82"/>
        <v>47358.3</v>
      </c>
      <c r="Y55" s="961"/>
      <c r="Z55" s="926"/>
      <c r="AA55" s="961" t="str">
        <f t="shared" si="112"/>
        <v>INNER</v>
      </c>
      <c r="AB55" s="961"/>
      <c r="AC55" s="926">
        <f t="shared" si="114"/>
        <v>158583.30000000002</v>
      </c>
      <c r="AD55" s="926"/>
      <c r="AE55" s="956">
        <f t="shared" si="24"/>
        <v>9630243.3000000007</v>
      </c>
      <c r="AF55" s="956">
        <f t="shared" si="71"/>
        <v>296611.49364000006</v>
      </c>
      <c r="AG55" s="957">
        <f t="shared" si="72"/>
        <v>9926854.7936400007</v>
      </c>
      <c r="AH55" s="919">
        <f t="shared" si="73"/>
        <v>225339.60381562804</v>
      </c>
      <c r="AI55" s="957">
        <f t="shared" si="25"/>
        <v>10152194.397455629</v>
      </c>
      <c r="AJ55" s="919">
        <f t="shared" si="74"/>
        <v>253804.85993639074</v>
      </c>
      <c r="AK55" s="920">
        <f t="shared" si="75"/>
        <v>10405999.257392019</v>
      </c>
      <c r="AL55" s="919">
        <f t="shared" si="2"/>
        <v>260149.98143480049</v>
      </c>
      <c r="AM55" s="920">
        <f t="shared" si="27"/>
        <v>10666149.238826819</v>
      </c>
      <c r="AN55" s="919">
        <f t="shared" si="3"/>
        <v>266653.73097067047</v>
      </c>
      <c r="AO55" s="920">
        <f t="shared" si="43"/>
        <v>10932802.969797488</v>
      </c>
      <c r="AP55" s="919">
        <f t="shared" si="92"/>
        <v>273320.07424493722</v>
      </c>
      <c r="AQ55" s="920">
        <f t="shared" si="93"/>
        <v>11206123.044042425</v>
      </c>
      <c r="AR55" s="919">
        <f t="shared" si="94"/>
        <v>336183.69132127275</v>
      </c>
      <c r="AS55" s="920">
        <f t="shared" si="95"/>
        <v>11542306.735363698</v>
      </c>
      <c r="AT55" s="920">
        <f t="shared" si="28"/>
        <v>346269.20206091093</v>
      </c>
      <c r="AU55" s="919">
        <f t="shared" si="96"/>
        <v>461692.26941454789</v>
      </c>
      <c r="AV55" s="919"/>
      <c r="AW55" s="920">
        <f t="shared" si="97"/>
        <v>12003999.004778245</v>
      </c>
      <c r="AX55" s="920">
        <f t="shared" si="29"/>
        <v>360119.97014334734</v>
      </c>
      <c r="AY55" s="919">
        <f t="shared" si="98"/>
        <v>480159.96019112982</v>
      </c>
      <c r="AZ55" s="919"/>
      <c r="BA55" s="920">
        <f t="shared" si="99"/>
        <v>12484158.964969376</v>
      </c>
      <c r="BB55" s="920">
        <f t="shared" si="30"/>
        <v>374524.76894908125</v>
      </c>
      <c r="BC55" s="919">
        <f t="shared" si="100"/>
        <v>499366.35859877506</v>
      </c>
      <c r="BD55" s="919"/>
      <c r="BE55" s="975">
        <f t="shared" si="101"/>
        <v>12983525.32356815</v>
      </c>
      <c r="BF55" s="975">
        <f t="shared" si="31"/>
        <v>389505.75970704452</v>
      </c>
      <c r="BG55" s="919">
        <f t="shared" si="102"/>
        <v>519341.01294272603</v>
      </c>
      <c r="BH55" s="975">
        <f>BG55-BF55</f>
        <v>129835.25323568151</v>
      </c>
      <c r="BI55" s="975">
        <f t="shared" si="103"/>
        <v>13502866.336510876</v>
      </c>
      <c r="BJ55" s="975">
        <f t="shared" si="32"/>
        <v>405085.99009532627</v>
      </c>
      <c r="BK55" s="919">
        <f t="shared" si="104"/>
        <v>540114.6534604351</v>
      </c>
      <c r="BL55" s="975"/>
      <c r="BM55" s="975">
        <f t="shared" si="105"/>
        <v>14042980.989971312</v>
      </c>
      <c r="BN55" s="926">
        <f t="shared" si="106"/>
        <v>1053223.5742478482</v>
      </c>
      <c r="BO55" s="926">
        <f t="shared" si="107"/>
        <v>351074.52474928281</v>
      </c>
      <c r="BP55" s="926">
        <f t="shared" si="108"/>
        <v>1685157.7187965573</v>
      </c>
      <c r="BQ55" s="926">
        <f t="shared" si="109"/>
        <v>17132436.807765</v>
      </c>
      <c r="BR55" s="926">
        <f t="shared" si="110"/>
        <v>231051.06955852997</v>
      </c>
      <c r="BS55" s="963">
        <v>0.15</v>
      </c>
      <c r="BT55" s="954">
        <f t="shared" si="85"/>
        <v>2569865.5211647497</v>
      </c>
      <c r="BU55" s="926">
        <f>BU53</f>
        <v>50000</v>
      </c>
      <c r="BV55" s="954">
        <f t="shared" si="76"/>
        <v>359980.78873782139</v>
      </c>
      <c r="BW55" s="869">
        <f t="shared" si="35"/>
        <v>7</v>
      </c>
      <c r="BX55" s="954">
        <f t="shared" si="77"/>
        <v>14562571.286600251</v>
      </c>
      <c r="BZ55" s="959">
        <v>46082</v>
      </c>
      <c r="CA55" s="960">
        <f t="shared" si="37"/>
        <v>7</v>
      </c>
      <c r="CB55" s="960">
        <f t="shared" si="38"/>
        <v>8</v>
      </c>
      <c r="GI55" s="912"/>
    </row>
    <row r="56" spans="1:191" x14ac:dyDescent="0.2">
      <c r="A56" s="952">
        <f t="shared" si="39"/>
        <v>43</v>
      </c>
      <c r="B56" s="952">
        <f t="shared" si="39"/>
        <v>10</v>
      </c>
      <c r="C56" s="952" t="s">
        <v>558</v>
      </c>
      <c r="D56" s="952"/>
      <c r="E56" s="952" t="s">
        <v>138</v>
      </c>
      <c r="F56" s="869" t="s">
        <v>152</v>
      </c>
      <c r="G56" s="869" t="s">
        <v>129</v>
      </c>
      <c r="H56" s="869" t="s">
        <v>162</v>
      </c>
      <c r="I56" s="869" t="s">
        <v>109</v>
      </c>
      <c r="J56" s="926">
        <v>69.36</v>
      </c>
      <c r="K56" s="962">
        <v>4.79</v>
      </c>
      <c r="L56" s="962">
        <v>0</v>
      </c>
      <c r="M56" s="926">
        <f t="shared" si="70"/>
        <v>74.150000000000006</v>
      </c>
      <c r="N56" s="926"/>
      <c r="O56" s="926"/>
      <c r="P56" s="965"/>
      <c r="Q56" s="926">
        <f t="shared" si="79"/>
        <v>9155520</v>
      </c>
      <c r="R56" s="926">
        <f t="shared" si="80"/>
        <v>316140</v>
      </c>
      <c r="S56" s="926">
        <f t="shared" si="23"/>
        <v>9471660</v>
      </c>
      <c r="T56" s="926"/>
      <c r="U56" s="869">
        <f t="shared" si="113"/>
        <v>3</v>
      </c>
      <c r="V56" s="926">
        <f t="shared" si="81"/>
        <v>111225.00000000001</v>
      </c>
      <c r="W56" s="926"/>
      <c r="X56" s="954">
        <f t="shared" si="82"/>
        <v>47358.3</v>
      </c>
      <c r="Y56" s="961"/>
      <c r="Z56" s="926"/>
      <c r="AA56" s="961" t="str">
        <f t="shared" si="112"/>
        <v>INNER</v>
      </c>
      <c r="AB56" s="961"/>
      <c r="AC56" s="926">
        <f t="shared" ref="AC56:AC59" si="116">SUM(V56:Z56)</f>
        <v>158583.30000000002</v>
      </c>
      <c r="AD56" s="926"/>
      <c r="AE56" s="956">
        <f t="shared" si="24"/>
        <v>9630243.3000000007</v>
      </c>
      <c r="AF56" s="956">
        <f t="shared" si="71"/>
        <v>296611.49364000006</v>
      </c>
      <c r="AG56" s="957">
        <f t="shared" si="72"/>
        <v>9926854.7936400007</v>
      </c>
      <c r="AH56" s="919">
        <f t="shared" si="73"/>
        <v>225339.60381562804</v>
      </c>
      <c r="AI56" s="957">
        <f t="shared" si="25"/>
        <v>10152194.397455629</v>
      </c>
      <c r="AJ56" s="919">
        <f t="shared" si="74"/>
        <v>253804.85993639074</v>
      </c>
      <c r="AK56" s="920">
        <f t="shared" si="75"/>
        <v>10405999.257392019</v>
      </c>
      <c r="AL56" s="919">
        <f t="shared" si="2"/>
        <v>260149.98143480049</v>
      </c>
      <c r="AM56" s="920">
        <f t="shared" si="27"/>
        <v>10666149.238826819</v>
      </c>
      <c r="AN56" s="919">
        <f t="shared" si="3"/>
        <v>266653.73097067047</v>
      </c>
      <c r="AO56" s="920">
        <f t="shared" si="43"/>
        <v>10932802.969797488</v>
      </c>
      <c r="AP56" s="919">
        <f t="shared" si="92"/>
        <v>273320.07424493722</v>
      </c>
      <c r="AQ56" s="920">
        <f t="shared" si="93"/>
        <v>11206123.044042425</v>
      </c>
      <c r="AR56" s="919">
        <f t="shared" si="94"/>
        <v>336183.69132127275</v>
      </c>
      <c r="AS56" s="920">
        <f t="shared" si="95"/>
        <v>11542306.735363698</v>
      </c>
      <c r="AT56" s="920">
        <f t="shared" si="28"/>
        <v>346269.20206091093</v>
      </c>
      <c r="AU56" s="919">
        <f t="shared" si="96"/>
        <v>461692.26941454789</v>
      </c>
      <c r="AV56" s="919"/>
      <c r="AW56" s="920">
        <f t="shared" si="97"/>
        <v>12003999.004778245</v>
      </c>
      <c r="AX56" s="920">
        <f t="shared" si="29"/>
        <v>360119.97014334734</v>
      </c>
      <c r="AY56" s="919">
        <f t="shared" si="98"/>
        <v>480159.96019112982</v>
      </c>
      <c r="AZ56" s="919"/>
      <c r="BA56" s="920">
        <f t="shared" si="99"/>
        <v>12484158.964969376</v>
      </c>
      <c r="BB56" s="920">
        <f t="shared" si="30"/>
        <v>374524.76894908125</v>
      </c>
      <c r="BC56" s="919">
        <f t="shared" si="100"/>
        <v>499366.35859877506</v>
      </c>
      <c r="BD56" s="919"/>
      <c r="BE56" s="975">
        <f t="shared" si="101"/>
        <v>12983525.32356815</v>
      </c>
      <c r="BF56" s="975">
        <f t="shared" si="31"/>
        <v>389505.75970704452</v>
      </c>
      <c r="BG56" s="919">
        <f t="shared" si="102"/>
        <v>519341.01294272603</v>
      </c>
      <c r="BH56" s="975"/>
      <c r="BI56" s="975">
        <f t="shared" si="103"/>
        <v>13502866.336510876</v>
      </c>
      <c r="BJ56" s="975">
        <f t="shared" si="32"/>
        <v>405085.99009532627</v>
      </c>
      <c r="BK56" s="919">
        <f t="shared" si="104"/>
        <v>540114.6534604351</v>
      </c>
      <c r="BL56" s="975"/>
      <c r="BM56" s="975">
        <f t="shared" si="105"/>
        <v>14042980.989971312</v>
      </c>
      <c r="BN56" s="926">
        <f t="shared" si="106"/>
        <v>1053223.5742478482</v>
      </c>
      <c r="BO56" s="926">
        <f t="shared" si="107"/>
        <v>351074.52474928281</v>
      </c>
      <c r="BP56" s="926">
        <f t="shared" si="108"/>
        <v>1685157.7187965573</v>
      </c>
      <c r="BQ56" s="926">
        <f t="shared" si="109"/>
        <v>17132436.807765</v>
      </c>
      <c r="BR56" s="926">
        <f t="shared" si="110"/>
        <v>231051.06955852997</v>
      </c>
      <c r="BS56" s="963">
        <v>0.15</v>
      </c>
      <c r="BT56" s="954">
        <f t="shared" si="85"/>
        <v>2569865.5211647497</v>
      </c>
      <c r="BU56" s="926">
        <f t="shared" ref="BU56:BU59" si="117">BU54</f>
        <v>50000</v>
      </c>
      <c r="BV56" s="954">
        <f t="shared" si="76"/>
        <v>359980.78873782139</v>
      </c>
      <c r="BW56" s="869">
        <f t="shared" si="35"/>
        <v>7</v>
      </c>
      <c r="BX56" s="954">
        <f t="shared" si="77"/>
        <v>14562571.286600251</v>
      </c>
      <c r="BZ56" s="959">
        <v>46082</v>
      </c>
      <c r="CA56" s="960">
        <f t="shared" si="37"/>
        <v>7</v>
      </c>
      <c r="CB56" s="960">
        <f t="shared" si="38"/>
        <v>8</v>
      </c>
      <c r="GI56" s="912"/>
    </row>
    <row r="57" spans="1:191" x14ac:dyDescent="0.2">
      <c r="A57" s="952">
        <f t="shared" si="39"/>
        <v>44</v>
      </c>
      <c r="B57" s="952">
        <f t="shared" si="39"/>
        <v>11</v>
      </c>
      <c r="C57" s="952" t="s">
        <v>558</v>
      </c>
      <c r="D57" s="952"/>
      <c r="E57" s="952" t="s">
        <v>138</v>
      </c>
      <c r="F57" s="869" t="s">
        <v>152</v>
      </c>
      <c r="G57" s="869" t="s">
        <v>131</v>
      </c>
      <c r="H57" s="869" t="s">
        <v>163</v>
      </c>
      <c r="I57" s="869" t="s">
        <v>109</v>
      </c>
      <c r="J57" s="926">
        <v>69.36</v>
      </c>
      <c r="K57" s="962">
        <v>4.79</v>
      </c>
      <c r="L57" s="962">
        <v>0</v>
      </c>
      <c r="M57" s="926">
        <f t="shared" si="70"/>
        <v>74.150000000000006</v>
      </c>
      <c r="N57" s="926"/>
      <c r="O57" s="926"/>
      <c r="P57" s="965"/>
      <c r="Q57" s="926">
        <f t="shared" si="79"/>
        <v>9155520</v>
      </c>
      <c r="R57" s="926">
        <f t="shared" si="80"/>
        <v>316140</v>
      </c>
      <c r="S57" s="926">
        <f t="shared" si="23"/>
        <v>9471660</v>
      </c>
      <c r="T57" s="926"/>
      <c r="U57" s="869">
        <f t="shared" si="113"/>
        <v>3</v>
      </c>
      <c r="V57" s="926">
        <f t="shared" si="81"/>
        <v>111225.00000000001</v>
      </c>
      <c r="W57" s="926"/>
      <c r="X57" s="954">
        <f t="shared" si="82"/>
        <v>47358.3</v>
      </c>
      <c r="Y57" s="961"/>
      <c r="Z57" s="926"/>
      <c r="AA57" s="961" t="str">
        <f t="shared" si="112"/>
        <v>INNER</v>
      </c>
      <c r="AB57" s="961"/>
      <c r="AC57" s="926">
        <f t="shared" si="116"/>
        <v>158583.30000000002</v>
      </c>
      <c r="AD57" s="926"/>
      <c r="AE57" s="956">
        <f t="shared" si="24"/>
        <v>9630243.3000000007</v>
      </c>
      <c r="AF57" s="956">
        <f t="shared" si="71"/>
        <v>296611.49364000006</v>
      </c>
      <c r="AG57" s="957">
        <f t="shared" si="72"/>
        <v>9926854.7936400007</v>
      </c>
      <c r="AH57" s="919">
        <f t="shared" si="73"/>
        <v>225339.60381562804</v>
      </c>
      <c r="AI57" s="957">
        <f t="shared" si="25"/>
        <v>10152194.397455629</v>
      </c>
      <c r="AJ57" s="919">
        <f t="shared" si="74"/>
        <v>253804.85993639074</v>
      </c>
      <c r="AK57" s="920">
        <f t="shared" si="75"/>
        <v>10405999.257392019</v>
      </c>
      <c r="AL57" s="919">
        <f t="shared" si="2"/>
        <v>260149.98143480049</v>
      </c>
      <c r="AM57" s="982">
        <f t="shared" si="27"/>
        <v>10666149.238826819</v>
      </c>
      <c r="AN57" s="919">
        <f t="shared" si="3"/>
        <v>266653.73097067047</v>
      </c>
      <c r="AO57" s="920">
        <f t="shared" si="43"/>
        <v>10932802.969797488</v>
      </c>
      <c r="AP57" s="919">
        <f t="shared" si="92"/>
        <v>273320.07424493722</v>
      </c>
      <c r="AQ57" s="920">
        <f t="shared" si="93"/>
        <v>11206123.044042425</v>
      </c>
      <c r="AR57" s="919">
        <f t="shared" si="94"/>
        <v>336183.69132127275</v>
      </c>
      <c r="AS57" s="920">
        <f t="shared" si="95"/>
        <v>11542306.735363698</v>
      </c>
      <c r="AT57" s="920">
        <f t="shared" si="28"/>
        <v>346269.20206091093</v>
      </c>
      <c r="AU57" s="919">
        <f t="shared" si="96"/>
        <v>461692.26941454789</v>
      </c>
      <c r="AV57" s="919"/>
      <c r="AW57" s="920">
        <f t="shared" si="97"/>
        <v>12003999.004778245</v>
      </c>
      <c r="AX57" s="920">
        <f t="shared" si="29"/>
        <v>360119.97014334734</v>
      </c>
      <c r="AY57" s="919">
        <f t="shared" si="98"/>
        <v>480159.96019112982</v>
      </c>
      <c r="AZ57" s="919"/>
      <c r="BA57" s="920">
        <f t="shared" si="99"/>
        <v>12484158.964969376</v>
      </c>
      <c r="BB57" s="920">
        <f t="shared" si="30"/>
        <v>374524.76894908125</v>
      </c>
      <c r="BC57" s="919">
        <f t="shared" si="100"/>
        <v>499366.35859877506</v>
      </c>
      <c r="BD57" s="919"/>
      <c r="BE57" s="975">
        <f t="shared" si="101"/>
        <v>12983525.32356815</v>
      </c>
      <c r="BF57" s="975">
        <f t="shared" si="31"/>
        <v>389505.75970704452</v>
      </c>
      <c r="BG57" s="919">
        <f t="shared" si="102"/>
        <v>519341.01294272603</v>
      </c>
      <c r="BH57" s="975"/>
      <c r="BI57" s="975">
        <f t="shared" si="103"/>
        <v>13502866.336510876</v>
      </c>
      <c r="BJ57" s="975">
        <f t="shared" si="32"/>
        <v>405085.99009532627</v>
      </c>
      <c r="BK57" s="919">
        <f t="shared" si="104"/>
        <v>540114.6534604351</v>
      </c>
      <c r="BL57" s="975"/>
      <c r="BM57" s="975">
        <f t="shared" si="105"/>
        <v>14042980.989971312</v>
      </c>
      <c r="BN57" s="926">
        <f t="shared" si="106"/>
        <v>1053223.5742478482</v>
      </c>
      <c r="BO57" s="926">
        <f t="shared" si="107"/>
        <v>351074.52474928281</v>
      </c>
      <c r="BP57" s="926">
        <f t="shared" si="108"/>
        <v>1685157.7187965573</v>
      </c>
      <c r="BQ57" s="926">
        <f t="shared" si="109"/>
        <v>17132436.807765</v>
      </c>
      <c r="BR57" s="926">
        <f t="shared" si="110"/>
        <v>231051.06955852997</v>
      </c>
      <c r="BS57" s="963">
        <v>0.15</v>
      </c>
      <c r="BT57" s="954">
        <f t="shared" si="85"/>
        <v>2569865.5211647497</v>
      </c>
      <c r="BU57" s="926">
        <f t="shared" si="117"/>
        <v>50000</v>
      </c>
      <c r="BV57" s="954">
        <f t="shared" si="76"/>
        <v>359980.78873782139</v>
      </c>
      <c r="BW57" s="869">
        <f t="shared" si="35"/>
        <v>7</v>
      </c>
      <c r="BX57" s="954">
        <f t="shared" si="77"/>
        <v>14562571.286600251</v>
      </c>
      <c r="BZ57" s="959">
        <v>46082</v>
      </c>
      <c r="CA57" s="960">
        <f t="shared" si="37"/>
        <v>7</v>
      </c>
      <c r="CB57" s="960">
        <f t="shared" si="38"/>
        <v>8</v>
      </c>
      <c r="GI57" s="912"/>
    </row>
    <row r="58" spans="1:191" x14ac:dyDescent="0.2">
      <c r="A58" s="952">
        <f t="shared" si="39"/>
        <v>45</v>
      </c>
      <c r="B58" s="952">
        <f t="shared" si="39"/>
        <v>12</v>
      </c>
      <c r="C58" s="952" t="s">
        <v>558</v>
      </c>
      <c r="D58" s="952"/>
      <c r="E58" s="952" t="s">
        <v>138</v>
      </c>
      <c r="F58" s="869" t="s">
        <v>152</v>
      </c>
      <c r="G58" s="869" t="s">
        <v>133</v>
      </c>
      <c r="H58" s="966" t="s">
        <v>164</v>
      </c>
      <c r="I58" s="869" t="s">
        <v>109</v>
      </c>
      <c r="J58" s="926">
        <v>83.12</v>
      </c>
      <c r="K58" s="962">
        <v>13.04</v>
      </c>
      <c r="L58" s="962">
        <v>0</v>
      </c>
      <c r="M58" s="926">
        <f t="shared" si="70"/>
        <v>96.16</v>
      </c>
      <c r="N58" s="926"/>
      <c r="O58" s="926"/>
      <c r="P58" s="965"/>
      <c r="Q58" s="926">
        <f t="shared" si="79"/>
        <v>10971840</v>
      </c>
      <c r="R58" s="926">
        <f t="shared" si="80"/>
        <v>860640</v>
      </c>
      <c r="S58" s="926">
        <f t="shared" si="23"/>
        <v>11832480</v>
      </c>
      <c r="T58" s="926"/>
      <c r="U58" s="869">
        <f t="shared" si="113"/>
        <v>3</v>
      </c>
      <c r="V58" s="926">
        <f t="shared" si="81"/>
        <v>144240</v>
      </c>
      <c r="W58" s="926"/>
      <c r="X58" s="954">
        <f t="shared" si="82"/>
        <v>59162.400000000001</v>
      </c>
      <c r="Y58" s="926">
        <f>M58*$Y$5</f>
        <v>192320</v>
      </c>
      <c r="Z58" s="926">
        <f t="shared" ref="Z58:Z64" si="118">M58*$Z$5</f>
        <v>96160</v>
      </c>
      <c r="AA58" s="961" t="str">
        <f t="shared" si="112"/>
        <v>CORNER</v>
      </c>
      <c r="AB58" s="961" t="s">
        <v>573</v>
      </c>
      <c r="AC58" s="926">
        <f t="shared" si="116"/>
        <v>491882.4</v>
      </c>
      <c r="AD58" s="926"/>
      <c r="AE58" s="956">
        <f t="shared" si="24"/>
        <v>12324362.4</v>
      </c>
      <c r="AF58" s="956">
        <f t="shared" si="71"/>
        <v>379590.36192</v>
      </c>
      <c r="AG58" s="957">
        <f t="shared" si="72"/>
        <v>12703952.761919999</v>
      </c>
      <c r="AH58" s="919">
        <f t="shared" si="73"/>
        <v>288379.72769558401</v>
      </c>
      <c r="AI58" s="957">
        <f t="shared" si="25"/>
        <v>12992332.489615584</v>
      </c>
      <c r="AJ58" s="919">
        <f t="shared" si="74"/>
        <v>324808.31224038964</v>
      </c>
      <c r="AK58" s="920">
        <f t="shared" si="75"/>
        <v>13317140.801855974</v>
      </c>
      <c r="AL58" s="919">
        <f t="shared" si="2"/>
        <v>332928.52004639938</v>
      </c>
      <c r="AM58" s="982">
        <f t="shared" si="27"/>
        <v>13650069.321902374</v>
      </c>
      <c r="AN58" s="919">
        <f t="shared" si="3"/>
        <v>341251.73304755939</v>
      </c>
      <c r="AO58" s="920">
        <f t="shared" si="43"/>
        <v>13991321.054949934</v>
      </c>
      <c r="AP58" s="919">
        <f t="shared" si="92"/>
        <v>349783.02637374838</v>
      </c>
      <c r="AQ58" s="920">
        <f t="shared" si="93"/>
        <v>14341104.081323681</v>
      </c>
      <c r="AR58" s="919">
        <f t="shared" si="94"/>
        <v>430233.12243971042</v>
      </c>
      <c r="AS58" s="920">
        <f t="shared" si="95"/>
        <v>14771337.203763392</v>
      </c>
      <c r="AT58" s="920">
        <f t="shared" si="28"/>
        <v>443140.11611290171</v>
      </c>
      <c r="AU58" s="919">
        <f t="shared" si="96"/>
        <v>590853.48815053573</v>
      </c>
      <c r="AV58" s="919"/>
      <c r="AW58" s="920">
        <f t="shared" si="97"/>
        <v>15362190.691913927</v>
      </c>
      <c r="AX58" s="920">
        <f t="shared" si="29"/>
        <v>460865.72075741779</v>
      </c>
      <c r="AY58" s="919">
        <f t="shared" si="98"/>
        <v>614487.62767655705</v>
      </c>
      <c r="AZ58" s="919"/>
      <c r="BA58" s="920">
        <f t="shared" si="99"/>
        <v>15976678.319590485</v>
      </c>
      <c r="BB58" s="920">
        <f t="shared" si="30"/>
        <v>479300.34958771453</v>
      </c>
      <c r="BC58" s="919">
        <f t="shared" si="100"/>
        <v>639067.13278361945</v>
      </c>
      <c r="BD58" s="919"/>
      <c r="BE58" s="975">
        <f t="shared" si="101"/>
        <v>16615745.452374104</v>
      </c>
      <c r="BF58" s="975">
        <f t="shared" si="31"/>
        <v>498472.3635712231</v>
      </c>
      <c r="BG58" s="919">
        <f t="shared" si="102"/>
        <v>664629.81809496414</v>
      </c>
      <c r="BH58" s="975"/>
      <c r="BI58" s="975">
        <f t="shared" si="103"/>
        <v>17280375.270469069</v>
      </c>
      <c r="BJ58" s="975">
        <f t="shared" si="32"/>
        <v>518411.25811407209</v>
      </c>
      <c r="BK58" s="919">
        <f t="shared" si="104"/>
        <v>691215.01081876282</v>
      </c>
      <c r="BL58" s="975"/>
      <c r="BM58" s="975">
        <f t="shared" si="105"/>
        <v>17971590.281287834</v>
      </c>
      <c r="BN58" s="926">
        <f t="shared" si="106"/>
        <v>1347869.2710965874</v>
      </c>
      <c r="BO58" s="926">
        <f t="shared" si="107"/>
        <v>449289.75703219586</v>
      </c>
      <c r="BP58" s="926">
        <f t="shared" si="108"/>
        <v>2156590.83375454</v>
      </c>
      <c r="BQ58" s="926">
        <f t="shared" si="109"/>
        <v>21925340.143171158</v>
      </c>
      <c r="BR58" s="926">
        <f t="shared" si="110"/>
        <v>228008.9449165054</v>
      </c>
      <c r="BS58" s="963">
        <v>0.15</v>
      </c>
      <c r="BT58" s="954">
        <f t="shared" si="85"/>
        <v>3288801.0214756737</v>
      </c>
      <c r="BU58" s="926">
        <f t="shared" si="117"/>
        <v>50000</v>
      </c>
      <c r="BV58" s="954">
        <f t="shared" si="76"/>
        <v>462685.8602108105</v>
      </c>
      <c r="BW58" s="869">
        <f t="shared" si="35"/>
        <v>7</v>
      </c>
      <c r="BX58" s="954">
        <f t="shared" si="77"/>
        <v>18636539.121695485</v>
      </c>
      <c r="BZ58" s="959">
        <v>46082</v>
      </c>
      <c r="CA58" s="960">
        <f t="shared" si="37"/>
        <v>7</v>
      </c>
      <c r="CB58" s="960">
        <f t="shared" si="38"/>
        <v>8</v>
      </c>
      <c r="GI58" s="912"/>
    </row>
    <row r="59" spans="1:191" x14ac:dyDescent="0.2">
      <c r="A59" s="952">
        <f t="shared" si="39"/>
        <v>46</v>
      </c>
      <c r="B59" s="952">
        <f t="shared" si="39"/>
        <v>13</v>
      </c>
      <c r="C59" s="952" t="s">
        <v>558</v>
      </c>
      <c r="D59" s="952"/>
      <c r="E59" s="952" t="s">
        <v>138</v>
      </c>
      <c r="F59" s="869" t="s">
        <v>152</v>
      </c>
      <c r="G59" s="869" t="s">
        <v>136</v>
      </c>
      <c r="H59" s="869" t="s">
        <v>165</v>
      </c>
      <c r="I59" s="869" t="s">
        <v>113</v>
      </c>
      <c r="J59" s="926">
        <v>52.04</v>
      </c>
      <c r="K59" s="962">
        <v>3.1</v>
      </c>
      <c r="L59" s="962">
        <v>0</v>
      </c>
      <c r="M59" s="926">
        <f t="shared" si="70"/>
        <v>55.14</v>
      </c>
      <c r="N59" s="926"/>
      <c r="O59" s="926"/>
      <c r="P59" s="965"/>
      <c r="Q59" s="926">
        <f t="shared" si="79"/>
        <v>6869280</v>
      </c>
      <c r="R59" s="926">
        <f t="shared" si="80"/>
        <v>204600</v>
      </c>
      <c r="S59" s="926">
        <f t="shared" si="23"/>
        <v>7073880</v>
      </c>
      <c r="T59" s="926"/>
      <c r="U59" s="869">
        <f t="shared" si="113"/>
        <v>3</v>
      </c>
      <c r="V59" s="926">
        <f t="shared" si="81"/>
        <v>82710.000000000015</v>
      </c>
      <c r="W59" s="926"/>
      <c r="X59" s="954">
        <f t="shared" si="82"/>
        <v>35369.4</v>
      </c>
      <c r="Y59" s="961"/>
      <c r="Z59" s="926">
        <f t="shared" si="118"/>
        <v>55140</v>
      </c>
      <c r="AA59" s="961" t="str">
        <f t="shared" si="112"/>
        <v>INNER</v>
      </c>
      <c r="AB59" s="961" t="s">
        <v>573</v>
      </c>
      <c r="AC59" s="926">
        <f t="shared" si="116"/>
        <v>173219.40000000002</v>
      </c>
      <c r="AD59" s="926"/>
      <c r="AE59" s="956">
        <f t="shared" si="24"/>
        <v>7247099.4000000004</v>
      </c>
      <c r="AF59" s="956">
        <f t="shared" si="71"/>
        <v>223210.66152000002</v>
      </c>
      <c r="AG59" s="957">
        <f t="shared" si="72"/>
        <v>7470310.06152</v>
      </c>
      <c r="AH59" s="919">
        <f t="shared" si="73"/>
        <v>169576.03839650401</v>
      </c>
      <c r="AI59" s="957">
        <f t="shared" si="25"/>
        <v>7639886.0999165038</v>
      </c>
      <c r="AJ59" s="919">
        <f t="shared" si="74"/>
        <v>190997.15249791261</v>
      </c>
      <c r="AK59" s="920">
        <f t="shared" si="75"/>
        <v>7830883.2524144165</v>
      </c>
      <c r="AL59" s="919">
        <f t="shared" si="2"/>
        <v>195772.08131036043</v>
      </c>
      <c r="AM59" s="982">
        <f t="shared" si="27"/>
        <v>8026655.3337247772</v>
      </c>
      <c r="AN59" s="919">
        <f t="shared" si="3"/>
        <v>200666.38334311944</v>
      </c>
      <c r="AO59" s="920">
        <f t="shared" si="43"/>
        <v>8227321.7170678964</v>
      </c>
      <c r="AP59" s="919">
        <f t="shared" si="92"/>
        <v>205683.04292669741</v>
      </c>
      <c r="AQ59" s="920">
        <f t="shared" si="93"/>
        <v>8433004.7599945944</v>
      </c>
      <c r="AR59" s="919">
        <f t="shared" si="94"/>
        <v>252990.14279983783</v>
      </c>
      <c r="AS59" s="920">
        <f t="shared" si="95"/>
        <v>8685994.9027944319</v>
      </c>
      <c r="AT59" s="920">
        <f t="shared" si="28"/>
        <v>260579.84708383295</v>
      </c>
      <c r="AU59" s="919">
        <f t="shared" si="96"/>
        <v>347439.79611177731</v>
      </c>
      <c r="AV59" s="919"/>
      <c r="AW59" s="920">
        <f t="shared" si="97"/>
        <v>9033434.6989062093</v>
      </c>
      <c r="AX59" s="920">
        <f t="shared" si="29"/>
        <v>271003.04096718627</v>
      </c>
      <c r="AY59" s="919">
        <f t="shared" si="98"/>
        <v>361337.38795624836</v>
      </c>
      <c r="AZ59" s="919"/>
      <c r="BA59" s="920">
        <f t="shared" si="99"/>
        <v>9394772.0868624579</v>
      </c>
      <c r="BB59" s="920">
        <f t="shared" si="30"/>
        <v>281843.16260587372</v>
      </c>
      <c r="BC59" s="919">
        <f t="shared" si="100"/>
        <v>375790.88347449835</v>
      </c>
      <c r="BD59" s="919"/>
      <c r="BE59" s="975">
        <f t="shared" si="101"/>
        <v>9770562.9703369569</v>
      </c>
      <c r="BF59" s="975">
        <f t="shared" si="31"/>
        <v>293116.88911010872</v>
      </c>
      <c r="BG59" s="919">
        <f t="shared" si="102"/>
        <v>390822.51881347829</v>
      </c>
      <c r="BH59" s="975"/>
      <c r="BI59" s="975">
        <f t="shared" si="103"/>
        <v>10161385.489150435</v>
      </c>
      <c r="BJ59" s="975">
        <f t="shared" si="32"/>
        <v>304841.56467451301</v>
      </c>
      <c r="BK59" s="919">
        <f t="shared" si="104"/>
        <v>406455.4195660174</v>
      </c>
      <c r="BL59" s="975"/>
      <c r="BM59" s="975">
        <f t="shared" si="105"/>
        <v>10567840.908716451</v>
      </c>
      <c r="BN59" s="926">
        <f t="shared" si="106"/>
        <v>792588.06815373385</v>
      </c>
      <c r="BO59" s="926">
        <f t="shared" si="107"/>
        <v>264196.02271791128</v>
      </c>
      <c r="BP59" s="926">
        <f t="shared" si="108"/>
        <v>1268140.909045974</v>
      </c>
      <c r="BQ59" s="926">
        <f t="shared" si="109"/>
        <v>12892765.90863407</v>
      </c>
      <c r="BR59" s="926">
        <f t="shared" si="110"/>
        <v>233818.75060997589</v>
      </c>
      <c r="BS59" s="963">
        <v>0.15</v>
      </c>
      <c r="BT59" s="954">
        <f t="shared" si="85"/>
        <v>1933914.8862951105</v>
      </c>
      <c r="BU59" s="926">
        <f t="shared" si="117"/>
        <v>50000</v>
      </c>
      <c r="BV59" s="954">
        <f t="shared" si="76"/>
        <v>269130.69804215862</v>
      </c>
      <c r="BW59" s="869">
        <f t="shared" si="35"/>
        <v>7</v>
      </c>
      <c r="BX59" s="954">
        <f t="shared" si="77"/>
        <v>10958851.02233896</v>
      </c>
      <c r="BZ59" s="959">
        <v>46082</v>
      </c>
      <c r="CA59" s="960">
        <f t="shared" si="37"/>
        <v>7</v>
      </c>
      <c r="CB59" s="960">
        <f t="shared" si="38"/>
        <v>8</v>
      </c>
      <c r="GI59" s="912"/>
    </row>
    <row r="60" spans="1:191" x14ac:dyDescent="0.2">
      <c r="A60" s="952">
        <f t="shared" si="39"/>
        <v>47</v>
      </c>
      <c r="B60" s="952">
        <v>1</v>
      </c>
      <c r="C60" s="952" t="s">
        <v>558</v>
      </c>
      <c r="D60" s="952"/>
      <c r="E60" s="952" t="s">
        <v>152</v>
      </c>
      <c r="F60" s="869" t="s">
        <v>166</v>
      </c>
      <c r="G60" s="869" t="s">
        <v>107</v>
      </c>
      <c r="H60" s="869" t="s">
        <v>167</v>
      </c>
      <c r="I60" s="869" t="s">
        <v>572</v>
      </c>
      <c r="J60" s="926">
        <v>99.98</v>
      </c>
      <c r="K60" s="962">
        <v>10.29</v>
      </c>
      <c r="L60" s="962">
        <v>0</v>
      </c>
      <c r="M60" s="926">
        <f t="shared" si="70"/>
        <v>110.27000000000001</v>
      </c>
      <c r="N60" s="926"/>
      <c r="O60" s="926"/>
      <c r="P60" s="965"/>
      <c r="Q60" s="926">
        <f t="shared" si="79"/>
        <v>13197360</v>
      </c>
      <c r="R60" s="926">
        <f t="shared" si="80"/>
        <v>679140</v>
      </c>
      <c r="S60" s="926">
        <f t="shared" si="23"/>
        <v>13876500</v>
      </c>
      <c r="T60" s="926"/>
      <c r="U60" s="869">
        <v>4</v>
      </c>
      <c r="V60" s="926">
        <f t="shared" si="81"/>
        <v>220540.00000000003</v>
      </c>
      <c r="W60" s="926">
        <f>M60*$W$5</f>
        <v>220540.00000000003</v>
      </c>
      <c r="X60" s="954">
        <f t="shared" si="82"/>
        <v>69382.5</v>
      </c>
      <c r="Y60" s="926">
        <f>M60*$Y$5</f>
        <v>220540.00000000003</v>
      </c>
      <c r="Z60" s="926">
        <f t="shared" si="118"/>
        <v>110270.00000000001</v>
      </c>
      <c r="AA60" s="961" t="str">
        <f t="shared" ref="AA60:AA72" si="119">AA21</f>
        <v>CORNER</v>
      </c>
      <c r="AB60" s="961" t="s">
        <v>573</v>
      </c>
      <c r="AC60" s="926">
        <f t="shared" si="114"/>
        <v>841272.50000000012</v>
      </c>
      <c r="AD60" s="926"/>
      <c r="AE60" s="956">
        <f t="shared" si="24"/>
        <v>14717772.5</v>
      </c>
      <c r="AF60" s="956">
        <f t="shared" si="71"/>
        <v>453307.39300000004</v>
      </c>
      <c r="AG60" s="957">
        <f t="shared" si="72"/>
        <v>15171079.892999999</v>
      </c>
      <c r="AH60" s="919">
        <f t="shared" si="73"/>
        <v>344383.51357110002</v>
      </c>
      <c r="AI60" s="957">
        <f t="shared" si="25"/>
        <v>15515463.4065711</v>
      </c>
      <c r="AJ60" s="919">
        <f t="shared" si="74"/>
        <v>387886.58516427752</v>
      </c>
      <c r="AK60" s="920">
        <f t="shared" si="75"/>
        <v>15903349.991735376</v>
      </c>
      <c r="AL60" s="919">
        <f t="shared" si="2"/>
        <v>397583.74979338446</v>
      </c>
      <c r="AM60" s="982">
        <f t="shared" si="27"/>
        <v>16300933.741528761</v>
      </c>
      <c r="AN60" s="919">
        <f t="shared" si="3"/>
        <v>407523.34353821905</v>
      </c>
      <c r="AO60" s="920">
        <f t="shared" si="43"/>
        <v>16708457.08506698</v>
      </c>
      <c r="AP60" s="919">
        <f t="shared" si="92"/>
        <v>417711.42712667451</v>
      </c>
      <c r="AQ60" s="920">
        <f t="shared" si="93"/>
        <v>17126168.512193654</v>
      </c>
      <c r="AR60" s="919">
        <f t="shared" si="94"/>
        <v>513785.05536580959</v>
      </c>
      <c r="AS60" s="920">
        <f t="shared" si="95"/>
        <v>17639953.567559462</v>
      </c>
      <c r="AT60" s="920">
        <f t="shared" si="28"/>
        <v>529198.60702678387</v>
      </c>
      <c r="AU60" s="919">
        <f t="shared" si="96"/>
        <v>705598.14270237845</v>
      </c>
      <c r="AV60" s="919"/>
      <c r="AW60" s="920">
        <f t="shared" si="97"/>
        <v>18345551.71026184</v>
      </c>
      <c r="AX60" s="920">
        <f t="shared" si="29"/>
        <v>550366.55130785517</v>
      </c>
      <c r="AY60" s="919">
        <f t="shared" si="98"/>
        <v>733822.06841047364</v>
      </c>
      <c r="AZ60" s="919"/>
      <c r="BA60" s="920">
        <f t="shared" si="99"/>
        <v>19079373.778672315</v>
      </c>
      <c r="BB60" s="920">
        <f t="shared" si="30"/>
        <v>572381.21336016944</v>
      </c>
      <c r="BC60" s="919">
        <f t="shared" si="100"/>
        <v>763174.95114689262</v>
      </c>
      <c r="BD60" s="919"/>
      <c r="BE60" s="975">
        <f t="shared" si="101"/>
        <v>19842548.729819208</v>
      </c>
      <c r="BF60" s="975">
        <f t="shared" si="31"/>
        <v>595276.4618945762</v>
      </c>
      <c r="BG60" s="919">
        <f t="shared" si="102"/>
        <v>793701.94919276831</v>
      </c>
      <c r="BH60" s="975"/>
      <c r="BI60" s="975">
        <f t="shared" si="103"/>
        <v>20636250.679011978</v>
      </c>
      <c r="BJ60" s="975">
        <f t="shared" si="32"/>
        <v>619087.5203703593</v>
      </c>
      <c r="BK60" s="919">
        <f t="shared" si="104"/>
        <v>825450.02716047911</v>
      </c>
      <c r="BL60" s="975"/>
      <c r="BM60" s="975">
        <f t="shared" si="105"/>
        <v>21461700.706172459</v>
      </c>
      <c r="BN60" s="926">
        <f t="shared" si="106"/>
        <v>1609627.5529629344</v>
      </c>
      <c r="BO60" s="926">
        <f t="shared" si="107"/>
        <v>536542.51765431149</v>
      </c>
      <c r="BP60" s="926">
        <f t="shared" si="108"/>
        <v>2575404.0847406951</v>
      </c>
      <c r="BQ60" s="926">
        <f t="shared" si="109"/>
        <v>26183274.861530397</v>
      </c>
      <c r="BR60" s="926">
        <f t="shared" si="110"/>
        <v>237446.94714365099</v>
      </c>
      <c r="BS60" s="963">
        <v>0.15</v>
      </c>
      <c r="BT60" s="954">
        <f t="shared" si="85"/>
        <v>3927491.2292295592</v>
      </c>
      <c r="BU60" s="926">
        <f>BU55</f>
        <v>50000</v>
      </c>
      <c r="BV60" s="954">
        <f t="shared" si="76"/>
        <v>553927.31846136565</v>
      </c>
      <c r="BW60" s="869">
        <f t="shared" si="35"/>
        <v>7</v>
      </c>
      <c r="BX60" s="954">
        <f t="shared" si="77"/>
        <v>22255783.632300839</v>
      </c>
      <c r="BZ60" s="959">
        <v>46082</v>
      </c>
      <c r="CA60" s="960">
        <f t="shared" si="37"/>
        <v>7</v>
      </c>
      <c r="CB60" s="960">
        <f t="shared" si="38"/>
        <v>8</v>
      </c>
      <c r="GI60" s="912"/>
    </row>
    <row r="61" spans="1:191" x14ac:dyDescent="0.2">
      <c r="A61" s="952">
        <f t="shared" si="39"/>
        <v>48</v>
      </c>
      <c r="B61" s="952">
        <f>B60+1</f>
        <v>2</v>
      </c>
      <c r="C61" s="952" t="s">
        <v>558</v>
      </c>
      <c r="D61" s="952"/>
      <c r="E61" s="952" t="s">
        <v>152</v>
      </c>
      <c r="F61" s="869" t="s">
        <v>166</v>
      </c>
      <c r="G61" s="869" t="s">
        <v>111</v>
      </c>
      <c r="H61" s="869" t="s">
        <v>168</v>
      </c>
      <c r="I61" s="869" t="s">
        <v>113</v>
      </c>
      <c r="J61" s="926">
        <v>52.86</v>
      </c>
      <c r="K61" s="962">
        <v>5.09</v>
      </c>
      <c r="L61" s="962">
        <v>0</v>
      </c>
      <c r="M61" s="926">
        <f t="shared" si="70"/>
        <v>57.95</v>
      </c>
      <c r="N61" s="926"/>
      <c r="O61" s="926"/>
      <c r="P61" s="965"/>
      <c r="Q61" s="926">
        <f t="shared" si="79"/>
        <v>6977520</v>
      </c>
      <c r="R61" s="926">
        <f t="shared" si="80"/>
        <v>335940</v>
      </c>
      <c r="S61" s="926">
        <f t="shared" si="23"/>
        <v>7313460</v>
      </c>
      <c r="T61" s="926"/>
      <c r="U61" s="869">
        <v>4</v>
      </c>
      <c r="V61" s="926">
        <f t="shared" si="81"/>
        <v>115900</v>
      </c>
      <c r="W61" s="926">
        <f t="shared" ref="W61:W72" si="120">M61*$W$5</f>
        <v>115900</v>
      </c>
      <c r="X61" s="954">
        <f t="shared" si="82"/>
        <v>36567.300000000003</v>
      </c>
      <c r="Y61" s="961"/>
      <c r="Z61" s="926">
        <f t="shared" si="118"/>
        <v>57950</v>
      </c>
      <c r="AA61" s="961" t="str">
        <f t="shared" si="119"/>
        <v>INNER</v>
      </c>
      <c r="AB61" s="961" t="s">
        <v>573</v>
      </c>
      <c r="AC61" s="926">
        <f t="shared" si="114"/>
        <v>326317.3</v>
      </c>
      <c r="AD61" s="926"/>
      <c r="AE61" s="956">
        <f t="shared" si="24"/>
        <v>7639777.2999999998</v>
      </c>
      <c r="AF61" s="956">
        <f t="shared" si="71"/>
        <v>235305.14084000001</v>
      </c>
      <c r="AG61" s="957">
        <f t="shared" si="72"/>
        <v>7875082.4408400003</v>
      </c>
      <c r="AH61" s="919">
        <f t="shared" si="73"/>
        <v>178764.37140706801</v>
      </c>
      <c r="AI61" s="957">
        <f t="shared" si="25"/>
        <v>8053846.8122470686</v>
      </c>
      <c r="AJ61" s="919">
        <f t="shared" si="74"/>
        <v>201346.17030617673</v>
      </c>
      <c r="AK61" s="920">
        <f t="shared" si="75"/>
        <v>8255192.9825532455</v>
      </c>
      <c r="AL61" s="919">
        <f t="shared" si="2"/>
        <v>206379.82456383115</v>
      </c>
      <c r="AM61" s="982">
        <f t="shared" si="27"/>
        <v>8461572.8071170766</v>
      </c>
      <c r="AN61" s="919">
        <f t="shared" si="3"/>
        <v>211539.32017792691</v>
      </c>
      <c r="AO61" s="920">
        <f t="shared" si="43"/>
        <v>8673112.1272950042</v>
      </c>
      <c r="AP61" s="919">
        <f t="shared" si="92"/>
        <v>216827.80318237512</v>
      </c>
      <c r="AQ61" s="920">
        <f t="shared" si="93"/>
        <v>8889939.9304773789</v>
      </c>
      <c r="AR61" s="919">
        <f t="shared" si="94"/>
        <v>266698.19791432138</v>
      </c>
      <c r="AS61" s="920">
        <f t="shared" si="95"/>
        <v>9156638.1283916999</v>
      </c>
      <c r="AT61" s="920">
        <f t="shared" si="28"/>
        <v>274699.143851751</v>
      </c>
      <c r="AU61" s="919">
        <f t="shared" si="96"/>
        <v>366265.52513566799</v>
      </c>
      <c r="AV61" s="919"/>
      <c r="AW61" s="920">
        <f t="shared" si="97"/>
        <v>9522903.6535273679</v>
      </c>
      <c r="AX61" s="920">
        <f t="shared" si="29"/>
        <v>285687.10960582102</v>
      </c>
      <c r="AY61" s="919">
        <f t="shared" si="98"/>
        <v>380916.14614109474</v>
      </c>
      <c r="AZ61" s="919"/>
      <c r="BA61" s="920">
        <f t="shared" si="99"/>
        <v>9903819.7996684629</v>
      </c>
      <c r="BB61" s="920">
        <f t="shared" si="30"/>
        <v>297114.59399005387</v>
      </c>
      <c r="BC61" s="919">
        <f t="shared" si="100"/>
        <v>396152.79198673851</v>
      </c>
      <c r="BD61" s="919"/>
      <c r="BE61" s="975">
        <f t="shared" si="101"/>
        <v>10299972.591655202</v>
      </c>
      <c r="BF61" s="975">
        <f t="shared" si="31"/>
        <v>308999.17774965608</v>
      </c>
      <c r="BG61" s="919">
        <f t="shared" si="102"/>
        <v>411998.90366620809</v>
      </c>
      <c r="BH61" s="975"/>
      <c r="BI61" s="975">
        <f t="shared" si="103"/>
        <v>10711971.49532141</v>
      </c>
      <c r="BJ61" s="975">
        <f t="shared" si="32"/>
        <v>321359.14485964226</v>
      </c>
      <c r="BK61" s="919">
        <f t="shared" si="104"/>
        <v>428478.85981285642</v>
      </c>
      <c r="BL61" s="975"/>
      <c r="BM61" s="975">
        <f t="shared" si="105"/>
        <v>11140450.355134265</v>
      </c>
      <c r="BN61" s="926">
        <f t="shared" si="106"/>
        <v>835533.77663506987</v>
      </c>
      <c r="BO61" s="926">
        <f t="shared" si="107"/>
        <v>278511.25887835666</v>
      </c>
      <c r="BP61" s="926">
        <f t="shared" si="108"/>
        <v>1336854.0426161119</v>
      </c>
      <c r="BQ61" s="926">
        <f t="shared" si="109"/>
        <v>13591349.433263803</v>
      </c>
      <c r="BR61" s="926">
        <f t="shared" si="110"/>
        <v>234535.79695019504</v>
      </c>
      <c r="BS61" s="963">
        <v>0.15</v>
      </c>
      <c r="BT61" s="954">
        <f t="shared" si="85"/>
        <v>2038702.4149895704</v>
      </c>
      <c r="BU61" s="926">
        <f t="shared" si="115"/>
        <v>50000</v>
      </c>
      <c r="BV61" s="954">
        <f t="shared" si="76"/>
        <v>284100.34499851003</v>
      </c>
      <c r="BW61" s="869">
        <f t="shared" si="35"/>
        <v>7</v>
      </c>
      <c r="BX61" s="954">
        <f t="shared" si="77"/>
        <v>11552647.018274233</v>
      </c>
      <c r="BZ61" s="959">
        <v>46082</v>
      </c>
      <c r="CA61" s="960">
        <f t="shared" si="37"/>
        <v>7</v>
      </c>
      <c r="CB61" s="960">
        <f t="shared" si="38"/>
        <v>8</v>
      </c>
      <c r="GI61" s="912"/>
    </row>
    <row r="62" spans="1:191" x14ac:dyDescent="0.2">
      <c r="A62" s="952">
        <f t="shared" si="39"/>
        <v>49</v>
      </c>
      <c r="B62" s="952">
        <f t="shared" si="39"/>
        <v>3</v>
      </c>
      <c r="C62" s="952" t="s">
        <v>558</v>
      </c>
      <c r="D62" s="952"/>
      <c r="E62" s="952" t="s">
        <v>152</v>
      </c>
      <c r="F62" s="869" t="s">
        <v>166</v>
      </c>
      <c r="G62" s="869" t="s">
        <v>115</v>
      </c>
      <c r="H62" s="869" t="s">
        <v>169</v>
      </c>
      <c r="I62" s="869" t="s">
        <v>109</v>
      </c>
      <c r="J62" s="926">
        <v>57.5</v>
      </c>
      <c r="K62" s="962">
        <v>5.09</v>
      </c>
      <c r="L62" s="962">
        <v>0</v>
      </c>
      <c r="M62" s="926">
        <f t="shared" si="70"/>
        <v>62.59</v>
      </c>
      <c r="N62" s="926"/>
      <c r="O62" s="926"/>
      <c r="P62" s="965"/>
      <c r="Q62" s="926">
        <f t="shared" si="79"/>
        <v>7590000</v>
      </c>
      <c r="R62" s="926">
        <f t="shared" si="80"/>
        <v>335940</v>
      </c>
      <c r="S62" s="926">
        <f t="shared" si="23"/>
        <v>7925940</v>
      </c>
      <c r="T62" s="926"/>
      <c r="U62" s="869">
        <v>4</v>
      </c>
      <c r="V62" s="926">
        <f t="shared" si="81"/>
        <v>125180</v>
      </c>
      <c r="W62" s="926">
        <f t="shared" si="120"/>
        <v>125180</v>
      </c>
      <c r="X62" s="954">
        <f t="shared" si="82"/>
        <v>39629.700000000004</v>
      </c>
      <c r="Y62" s="961"/>
      <c r="Z62" s="926">
        <f t="shared" si="118"/>
        <v>62590</v>
      </c>
      <c r="AA62" s="961" t="str">
        <f t="shared" si="119"/>
        <v>INNER</v>
      </c>
      <c r="AB62" s="961" t="s">
        <v>573</v>
      </c>
      <c r="AC62" s="926">
        <f t="shared" si="114"/>
        <v>352579.7</v>
      </c>
      <c r="AD62" s="926"/>
      <c r="AE62" s="956">
        <f t="shared" si="24"/>
        <v>8278519.7000000002</v>
      </c>
      <c r="AF62" s="956">
        <f t="shared" si="71"/>
        <v>254978.40676000001</v>
      </c>
      <c r="AG62" s="957">
        <f t="shared" si="72"/>
        <v>8533498.1067600008</v>
      </c>
      <c r="AH62" s="919">
        <f t="shared" si="73"/>
        <v>193710.40702345202</v>
      </c>
      <c r="AI62" s="957">
        <f t="shared" si="25"/>
        <v>8727208.513783453</v>
      </c>
      <c r="AJ62" s="919">
        <f t="shared" si="74"/>
        <v>218180.21284458635</v>
      </c>
      <c r="AK62" s="920">
        <f t="shared" si="75"/>
        <v>8945388.726628039</v>
      </c>
      <c r="AL62" s="919">
        <f t="shared" si="2"/>
        <v>223634.71816570099</v>
      </c>
      <c r="AM62" s="982">
        <f t="shared" si="27"/>
        <v>9169023.4447937403</v>
      </c>
      <c r="AN62" s="919">
        <f t="shared" si="3"/>
        <v>229225.58611984353</v>
      </c>
      <c r="AO62" s="920">
        <f t="shared" si="43"/>
        <v>9398249.0309135839</v>
      </c>
      <c r="AP62" s="919">
        <f t="shared" si="92"/>
        <v>234956.22577283962</v>
      </c>
      <c r="AQ62" s="920">
        <f t="shared" si="93"/>
        <v>9633205.256686423</v>
      </c>
      <c r="AR62" s="919">
        <f t="shared" si="94"/>
        <v>288996.15770059265</v>
      </c>
      <c r="AS62" s="920">
        <f t="shared" si="95"/>
        <v>9922201.4143870156</v>
      </c>
      <c r="AT62" s="920">
        <f t="shared" si="28"/>
        <v>297666.04243161046</v>
      </c>
      <c r="AU62" s="919">
        <f t="shared" si="96"/>
        <v>396888.05657548062</v>
      </c>
      <c r="AV62" s="919"/>
      <c r="AW62" s="920">
        <f t="shared" si="97"/>
        <v>10319089.470962496</v>
      </c>
      <c r="AX62" s="920">
        <f t="shared" si="29"/>
        <v>309572.68412887485</v>
      </c>
      <c r="AY62" s="919">
        <f t="shared" si="98"/>
        <v>412763.57883849985</v>
      </c>
      <c r="AZ62" s="919"/>
      <c r="BA62" s="920">
        <f t="shared" si="99"/>
        <v>10731853.049800996</v>
      </c>
      <c r="BB62" s="920">
        <f t="shared" si="30"/>
        <v>321955.59149402985</v>
      </c>
      <c r="BC62" s="919">
        <f t="shared" si="100"/>
        <v>429274.12199203984</v>
      </c>
      <c r="BD62" s="919"/>
      <c r="BE62" s="975">
        <f t="shared" si="101"/>
        <v>11161127.171793036</v>
      </c>
      <c r="BF62" s="975">
        <f t="shared" si="31"/>
        <v>334833.81515379105</v>
      </c>
      <c r="BG62" s="919">
        <f t="shared" si="102"/>
        <v>446445.08687172143</v>
      </c>
      <c r="BH62" s="975"/>
      <c r="BI62" s="975">
        <f t="shared" si="103"/>
        <v>11607572.258664757</v>
      </c>
      <c r="BJ62" s="975">
        <f t="shared" si="32"/>
        <v>348227.16775994271</v>
      </c>
      <c r="BK62" s="919">
        <f t="shared" si="104"/>
        <v>464302.89034659031</v>
      </c>
      <c r="BL62" s="975"/>
      <c r="BM62" s="975">
        <f t="shared" si="105"/>
        <v>12071875.149011347</v>
      </c>
      <c r="BN62" s="926">
        <f t="shared" si="106"/>
        <v>905390.63617585099</v>
      </c>
      <c r="BO62" s="926">
        <f t="shared" si="107"/>
        <v>301796.87872528372</v>
      </c>
      <c r="BP62" s="926">
        <f t="shared" si="108"/>
        <v>1448625.0178813615</v>
      </c>
      <c r="BQ62" s="926">
        <f t="shared" si="109"/>
        <v>14727687.681793842</v>
      </c>
      <c r="BR62" s="926">
        <f t="shared" si="110"/>
        <v>235304.16491122931</v>
      </c>
      <c r="BS62" s="963">
        <v>0.15</v>
      </c>
      <c r="BT62" s="954">
        <f t="shared" si="85"/>
        <v>2209153.1522690761</v>
      </c>
      <c r="BU62" s="926">
        <f t="shared" si="115"/>
        <v>50000</v>
      </c>
      <c r="BV62" s="954">
        <f t="shared" si="76"/>
        <v>308450.4503241537</v>
      </c>
      <c r="BW62" s="869">
        <f t="shared" si="35"/>
        <v>7</v>
      </c>
      <c r="BX62" s="954">
        <f t="shared" si="77"/>
        <v>12518534.529524766</v>
      </c>
      <c r="BZ62" s="959">
        <v>46082</v>
      </c>
      <c r="CA62" s="960">
        <f t="shared" si="37"/>
        <v>7</v>
      </c>
      <c r="CB62" s="960">
        <f t="shared" si="38"/>
        <v>8</v>
      </c>
      <c r="GI62" s="912"/>
    </row>
    <row r="63" spans="1:191" x14ac:dyDescent="0.2">
      <c r="A63" s="952">
        <f t="shared" si="39"/>
        <v>50</v>
      </c>
      <c r="B63" s="952">
        <f t="shared" si="39"/>
        <v>4</v>
      </c>
      <c r="C63" s="952" t="s">
        <v>558</v>
      </c>
      <c r="D63" s="952"/>
      <c r="E63" s="952" t="s">
        <v>152</v>
      </c>
      <c r="F63" s="869" t="s">
        <v>166</v>
      </c>
      <c r="G63" s="869" t="s">
        <v>117</v>
      </c>
      <c r="H63" s="869" t="s">
        <v>170</v>
      </c>
      <c r="I63" s="869" t="s">
        <v>109</v>
      </c>
      <c r="J63" s="926">
        <v>62.11</v>
      </c>
      <c r="K63" s="962">
        <v>5.19</v>
      </c>
      <c r="L63" s="962">
        <v>0</v>
      </c>
      <c r="M63" s="926">
        <f t="shared" si="70"/>
        <v>67.3</v>
      </c>
      <c r="N63" s="926"/>
      <c r="O63" s="926"/>
      <c r="P63" s="965"/>
      <c r="Q63" s="926">
        <f t="shared" si="79"/>
        <v>8198520</v>
      </c>
      <c r="R63" s="926">
        <f t="shared" si="80"/>
        <v>342540</v>
      </c>
      <c r="S63" s="926">
        <f t="shared" si="23"/>
        <v>8541060</v>
      </c>
      <c r="T63" s="926"/>
      <c r="U63" s="869">
        <v>4</v>
      </c>
      <c r="V63" s="926">
        <f t="shared" si="81"/>
        <v>134600</v>
      </c>
      <c r="W63" s="926">
        <f t="shared" si="120"/>
        <v>134600</v>
      </c>
      <c r="X63" s="954">
        <f t="shared" si="82"/>
        <v>42705.3</v>
      </c>
      <c r="Y63" s="961"/>
      <c r="Z63" s="926">
        <f t="shared" si="118"/>
        <v>67300</v>
      </c>
      <c r="AA63" s="961" t="str">
        <f t="shared" si="119"/>
        <v>INNER</v>
      </c>
      <c r="AB63" s="961" t="s">
        <v>573</v>
      </c>
      <c r="AC63" s="926">
        <f t="shared" si="114"/>
        <v>379205.3</v>
      </c>
      <c r="AD63" s="926"/>
      <c r="AE63" s="956">
        <f t="shared" si="24"/>
        <v>8920265.3000000007</v>
      </c>
      <c r="AF63" s="956">
        <f t="shared" si="71"/>
        <v>274744.17124000005</v>
      </c>
      <c r="AG63" s="957">
        <f t="shared" si="72"/>
        <v>9195009.4712400008</v>
      </c>
      <c r="AH63" s="919">
        <f t="shared" si="73"/>
        <v>208726.71499714802</v>
      </c>
      <c r="AI63" s="957">
        <f t="shared" si="25"/>
        <v>9403736.1862371489</v>
      </c>
      <c r="AJ63" s="919">
        <f t="shared" si="74"/>
        <v>235093.40465592872</v>
      </c>
      <c r="AK63" s="920">
        <f t="shared" si="75"/>
        <v>9638829.5908930786</v>
      </c>
      <c r="AL63" s="919">
        <f t="shared" si="2"/>
        <v>240970.73977232698</v>
      </c>
      <c r="AM63" s="982">
        <f t="shared" si="27"/>
        <v>9879800.3306654058</v>
      </c>
      <c r="AN63" s="919">
        <f t="shared" si="3"/>
        <v>246995.00826663515</v>
      </c>
      <c r="AO63" s="920">
        <f t="shared" si="43"/>
        <v>10126795.338932041</v>
      </c>
      <c r="AP63" s="919">
        <f t="shared" si="92"/>
        <v>253169.88347330104</v>
      </c>
      <c r="AQ63" s="920">
        <f t="shared" si="93"/>
        <v>10379965.222405342</v>
      </c>
      <c r="AR63" s="919">
        <f t="shared" si="94"/>
        <v>311398.95667216025</v>
      </c>
      <c r="AS63" s="920">
        <f t="shared" si="95"/>
        <v>10691364.179077502</v>
      </c>
      <c r="AT63" s="920">
        <f t="shared" si="28"/>
        <v>320740.92537232506</v>
      </c>
      <c r="AU63" s="919">
        <f t="shared" si="96"/>
        <v>427654.56716310012</v>
      </c>
      <c r="AV63" s="919"/>
      <c r="AW63" s="920">
        <f t="shared" si="97"/>
        <v>11119018.746240603</v>
      </c>
      <c r="AX63" s="920">
        <f t="shared" si="29"/>
        <v>333570.56238721806</v>
      </c>
      <c r="AY63" s="919">
        <f t="shared" si="98"/>
        <v>444760.74984962412</v>
      </c>
      <c r="AZ63" s="919"/>
      <c r="BA63" s="920">
        <f t="shared" si="99"/>
        <v>11563779.496090228</v>
      </c>
      <c r="BB63" s="920">
        <f t="shared" si="30"/>
        <v>346913.3848827068</v>
      </c>
      <c r="BC63" s="919">
        <f t="shared" si="100"/>
        <v>462551.1798436091</v>
      </c>
      <c r="BD63" s="919"/>
      <c r="BE63" s="975">
        <f t="shared" si="101"/>
        <v>12026330.675933836</v>
      </c>
      <c r="BF63" s="975">
        <f t="shared" si="31"/>
        <v>360789.92027801508</v>
      </c>
      <c r="BG63" s="919">
        <f t="shared" si="102"/>
        <v>481053.22703735344</v>
      </c>
      <c r="BH63" s="975"/>
      <c r="BI63" s="975">
        <f t="shared" si="103"/>
        <v>12507383.902971189</v>
      </c>
      <c r="BJ63" s="975">
        <f t="shared" si="32"/>
        <v>375221.51708913565</v>
      </c>
      <c r="BK63" s="919">
        <f t="shared" si="104"/>
        <v>500295.35611884762</v>
      </c>
      <c r="BL63" s="975"/>
      <c r="BM63" s="975">
        <f t="shared" si="105"/>
        <v>13007679.259090036</v>
      </c>
      <c r="BN63" s="926">
        <f t="shared" si="106"/>
        <v>975575.94443175266</v>
      </c>
      <c r="BO63" s="926">
        <f t="shared" si="107"/>
        <v>325191.98147725093</v>
      </c>
      <c r="BP63" s="926">
        <f t="shared" si="108"/>
        <v>1560921.5110908044</v>
      </c>
      <c r="BQ63" s="926">
        <f t="shared" si="109"/>
        <v>15869368.696089843</v>
      </c>
      <c r="BR63" s="926">
        <f t="shared" si="110"/>
        <v>235800.42639063663</v>
      </c>
      <c r="BS63" s="963">
        <v>0.15</v>
      </c>
      <c r="BT63" s="954">
        <f t="shared" si="85"/>
        <v>2380405.3044134765</v>
      </c>
      <c r="BU63" s="926">
        <f t="shared" si="115"/>
        <v>50000</v>
      </c>
      <c r="BV63" s="954">
        <f t="shared" si="76"/>
        <v>332915.04348763952</v>
      </c>
      <c r="BW63" s="869">
        <f t="shared" si="35"/>
        <v>7</v>
      </c>
      <c r="BX63" s="954">
        <f t="shared" si="77"/>
        <v>13488963.391676366</v>
      </c>
      <c r="BZ63" s="959">
        <v>46082</v>
      </c>
      <c r="CA63" s="960">
        <f t="shared" si="37"/>
        <v>7</v>
      </c>
      <c r="CB63" s="960">
        <f t="shared" si="38"/>
        <v>8</v>
      </c>
      <c r="GI63" s="912"/>
    </row>
    <row r="64" spans="1:191" x14ac:dyDescent="0.2">
      <c r="A64" s="952">
        <f t="shared" si="39"/>
        <v>51</v>
      </c>
      <c r="B64" s="952">
        <f t="shared" si="39"/>
        <v>5</v>
      </c>
      <c r="C64" s="952" t="s">
        <v>558</v>
      </c>
      <c r="D64" s="952"/>
      <c r="E64" s="952" t="s">
        <v>152</v>
      </c>
      <c r="F64" s="869" t="s">
        <v>166</v>
      </c>
      <c r="G64" s="869" t="s">
        <v>119</v>
      </c>
      <c r="H64" s="869" t="s">
        <v>171</v>
      </c>
      <c r="I64" s="869" t="s">
        <v>109</v>
      </c>
      <c r="J64" s="926">
        <v>80.900000000000006</v>
      </c>
      <c r="K64" s="962">
        <v>15.65</v>
      </c>
      <c r="L64" s="962">
        <v>0</v>
      </c>
      <c r="M64" s="926">
        <f t="shared" si="70"/>
        <v>96.550000000000011</v>
      </c>
      <c r="N64" s="926"/>
      <c r="O64" s="926"/>
      <c r="P64" s="965"/>
      <c r="Q64" s="926">
        <f t="shared" si="79"/>
        <v>10678800</v>
      </c>
      <c r="R64" s="926">
        <f t="shared" si="80"/>
        <v>1032900</v>
      </c>
      <c r="S64" s="926">
        <f t="shared" si="23"/>
        <v>11711700</v>
      </c>
      <c r="T64" s="926"/>
      <c r="U64" s="869">
        <v>4</v>
      </c>
      <c r="V64" s="926">
        <f t="shared" si="81"/>
        <v>193100.00000000003</v>
      </c>
      <c r="W64" s="926">
        <f t="shared" si="120"/>
        <v>193100.00000000003</v>
      </c>
      <c r="X64" s="954">
        <f t="shared" si="82"/>
        <v>58558.5</v>
      </c>
      <c r="Y64" s="926">
        <f>M64*$Y$5</f>
        <v>193100.00000000003</v>
      </c>
      <c r="Z64" s="926">
        <f t="shared" si="118"/>
        <v>96550.000000000015</v>
      </c>
      <c r="AA64" s="961" t="str">
        <f t="shared" si="119"/>
        <v>CORNER</v>
      </c>
      <c r="AB64" s="961" t="s">
        <v>573</v>
      </c>
      <c r="AC64" s="926">
        <f t="shared" si="114"/>
        <v>734408.50000000012</v>
      </c>
      <c r="AD64" s="926"/>
      <c r="AE64" s="956">
        <f t="shared" si="24"/>
        <v>12446108.5</v>
      </c>
      <c r="AF64" s="956">
        <f t="shared" si="71"/>
        <v>383340.14180000004</v>
      </c>
      <c r="AG64" s="957">
        <f t="shared" si="72"/>
        <v>12829448.641799999</v>
      </c>
      <c r="AH64" s="919">
        <f t="shared" si="73"/>
        <v>291228.48416886001</v>
      </c>
      <c r="AI64" s="957">
        <f t="shared" si="25"/>
        <v>13120677.125968859</v>
      </c>
      <c r="AJ64" s="919">
        <f t="shared" si="74"/>
        <v>328016.92814922146</v>
      </c>
      <c r="AK64" s="920">
        <f t="shared" si="75"/>
        <v>13448694.05411808</v>
      </c>
      <c r="AL64" s="919">
        <f t="shared" si="2"/>
        <v>336217.35135295201</v>
      </c>
      <c r="AM64" s="982">
        <f t="shared" si="27"/>
        <v>13784911.405471032</v>
      </c>
      <c r="AN64" s="919">
        <f t="shared" si="3"/>
        <v>344622.78513677581</v>
      </c>
      <c r="AO64" s="920">
        <f t="shared" si="43"/>
        <v>14129534.190607809</v>
      </c>
      <c r="AP64" s="919">
        <f t="shared" si="92"/>
        <v>353238.35476519522</v>
      </c>
      <c r="AQ64" s="920">
        <f t="shared" si="93"/>
        <v>14482772.545373004</v>
      </c>
      <c r="AR64" s="919">
        <f t="shared" si="94"/>
        <v>434483.1763611901</v>
      </c>
      <c r="AS64" s="920">
        <f t="shared" si="95"/>
        <v>14917255.721734194</v>
      </c>
      <c r="AT64" s="920">
        <f t="shared" si="28"/>
        <v>447517.67165202583</v>
      </c>
      <c r="AU64" s="919">
        <f t="shared" si="96"/>
        <v>596690.22886936774</v>
      </c>
      <c r="AV64" s="919"/>
      <c r="AW64" s="920">
        <f t="shared" si="97"/>
        <v>15513945.950603561</v>
      </c>
      <c r="AX64" s="920">
        <f t="shared" si="29"/>
        <v>465418.37851810682</v>
      </c>
      <c r="AY64" s="919">
        <f t="shared" si="98"/>
        <v>620557.83802414243</v>
      </c>
      <c r="AZ64" s="919"/>
      <c r="BA64" s="920">
        <f t="shared" si="99"/>
        <v>16134503.788627705</v>
      </c>
      <c r="BB64" s="920">
        <f t="shared" si="30"/>
        <v>484035.11365883111</v>
      </c>
      <c r="BC64" s="919">
        <f t="shared" si="100"/>
        <v>645380.15154510818</v>
      </c>
      <c r="BD64" s="919"/>
      <c r="BE64" s="975">
        <f t="shared" si="101"/>
        <v>16779883.940172814</v>
      </c>
      <c r="BF64" s="975">
        <f t="shared" si="31"/>
        <v>503396.51820518437</v>
      </c>
      <c r="BG64" s="919">
        <f t="shared" si="102"/>
        <v>671195.35760691261</v>
      </c>
      <c r="BH64" s="975"/>
      <c r="BI64" s="975">
        <f t="shared" si="103"/>
        <v>17451079.297779728</v>
      </c>
      <c r="BJ64" s="975">
        <f t="shared" si="32"/>
        <v>523532.37893339182</v>
      </c>
      <c r="BK64" s="919">
        <f t="shared" si="104"/>
        <v>698043.1719111891</v>
      </c>
      <c r="BL64" s="975"/>
      <c r="BM64" s="975">
        <f t="shared" si="105"/>
        <v>18149122.469690915</v>
      </c>
      <c r="BN64" s="926">
        <f t="shared" si="106"/>
        <v>1361184.1852268185</v>
      </c>
      <c r="BO64" s="926">
        <f t="shared" si="107"/>
        <v>453728.06174227293</v>
      </c>
      <c r="BP64" s="926">
        <f t="shared" si="108"/>
        <v>2177894.6963629099</v>
      </c>
      <c r="BQ64" s="926">
        <f t="shared" si="109"/>
        <v>22141929.413022913</v>
      </c>
      <c r="BR64" s="926">
        <f t="shared" si="110"/>
        <v>229331.22126383128</v>
      </c>
      <c r="BS64" s="963">
        <v>0.15</v>
      </c>
      <c r="BT64" s="954">
        <f t="shared" si="85"/>
        <v>3321289.4119534367</v>
      </c>
      <c r="BU64" s="926">
        <f t="shared" si="115"/>
        <v>50000</v>
      </c>
      <c r="BV64" s="954">
        <f t="shared" si="76"/>
        <v>467327.05885049095</v>
      </c>
      <c r="BW64" s="869">
        <f t="shared" si="35"/>
        <v>7</v>
      </c>
      <c r="BX64" s="954">
        <f t="shared" si="77"/>
        <v>18820640.001069475</v>
      </c>
      <c r="BZ64" s="959">
        <v>46082</v>
      </c>
      <c r="CA64" s="960">
        <f t="shared" si="37"/>
        <v>7</v>
      </c>
      <c r="CB64" s="960">
        <f t="shared" si="38"/>
        <v>8</v>
      </c>
      <c r="GI64" s="912"/>
    </row>
    <row r="65" spans="1:191" x14ac:dyDescent="0.2">
      <c r="A65" s="952">
        <f t="shared" si="39"/>
        <v>52</v>
      </c>
      <c r="B65" s="952">
        <f t="shared" si="39"/>
        <v>6</v>
      </c>
      <c r="C65" s="952" t="s">
        <v>558</v>
      </c>
      <c r="D65" s="952"/>
      <c r="E65" s="952" t="s">
        <v>152</v>
      </c>
      <c r="F65" s="869" t="s">
        <v>166</v>
      </c>
      <c r="G65" s="869" t="s">
        <v>121</v>
      </c>
      <c r="H65" s="869" t="s">
        <v>172</v>
      </c>
      <c r="I65" s="869" t="s">
        <v>109</v>
      </c>
      <c r="J65" s="926">
        <v>61.56</v>
      </c>
      <c r="K65" s="962">
        <v>4.0999999999999996</v>
      </c>
      <c r="L65" s="962">
        <v>0</v>
      </c>
      <c r="M65" s="926">
        <f t="shared" si="70"/>
        <v>65.66</v>
      </c>
      <c r="N65" s="926"/>
      <c r="O65" s="926"/>
      <c r="P65" s="965"/>
      <c r="Q65" s="926">
        <f t="shared" si="79"/>
        <v>8125920</v>
      </c>
      <c r="R65" s="926">
        <f t="shared" si="80"/>
        <v>270600</v>
      </c>
      <c r="S65" s="926">
        <f t="shared" si="23"/>
        <v>8396520</v>
      </c>
      <c r="T65" s="926"/>
      <c r="U65" s="869">
        <v>4</v>
      </c>
      <c r="V65" s="926">
        <f t="shared" si="81"/>
        <v>131320</v>
      </c>
      <c r="W65" s="926">
        <f t="shared" si="120"/>
        <v>131320</v>
      </c>
      <c r="X65" s="954">
        <f t="shared" si="82"/>
        <v>41982.6</v>
      </c>
      <c r="Y65" s="961"/>
      <c r="Z65" s="926"/>
      <c r="AA65" s="961" t="str">
        <f t="shared" si="119"/>
        <v>INNER</v>
      </c>
      <c r="AB65" s="961"/>
      <c r="AC65" s="926">
        <f t="shared" si="114"/>
        <v>304622.59999999998</v>
      </c>
      <c r="AD65" s="926"/>
      <c r="AE65" s="956">
        <f t="shared" si="24"/>
        <v>8701142.5999999996</v>
      </c>
      <c r="AF65" s="956">
        <f t="shared" si="71"/>
        <v>267995.19208000001</v>
      </c>
      <c r="AG65" s="957">
        <f t="shared" si="72"/>
        <v>8969137.79208</v>
      </c>
      <c r="AH65" s="919">
        <f t="shared" si="73"/>
        <v>203599.42788021601</v>
      </c>
      <c r="AI65" s="957">
        <f t="shared" si="25"/>
        <v>9172737.2199602164</v>
      </c>
      <c r="AJ65" s="919">
        <f t="shared" si="74"/>
        <v>229318.43049900542</v>
      </c>
      <c r="AK65" s="920">
        <f t="shared" si="75"/>
        <v>9402055.6504592225</v>
      </c>
      <c r="AL65" s="919">
        <f t="shared" si="2"/>
        <v>235051.39126148057</v>
      </c>
      <c r="AM65" s="982">
        <f t="shared" si="27"/>
        <v>9637107.0417207032</v>
      </c>
      <c r="AN65" s="919">
        <f t="shared" si="3"/>
        <v>240927.67604301759</v>
      </c>
      <c r="AO65" s="920">
        <f t="shared" si="43"/>
        <v>9878034.7177637201</v>
      </c>
      <c r="AP65" s="919">
        <f t="shared" si="92"/>
        <v>246950.86794409301</v>
      </c>
      <c r="AQ65" s="920">
        <f t="shared" si="93"/>
        <v>10124985.585707814</v>
      </c>
      <c r="AR65" s="919">
        <f t="shared" si="94"/>
        <v>303749.56757123437</v>
      </c>
      <c r="AS65" s="920">
        <f t="shared" si="95"/>
        <v>10428735.153279047</v>
      </c>
      <c r="AT65" s="920">
        <f t="shared" si="28"/>
        <v>312862.05459837144</v>
      </c>
      <c r="AU65" s="919">
        <f t="shared" si="96"/>
        <v>417149.4061311619</v>
      </c>
      <c r="AV65" s="919"/>
      <c r="AW65" s="920">
        <f t="shared" si="97"/>
        <v>10845884.559410209</v>
      </c>
      <c r="AX65" s="920">
        <f t="shared" si="29"/>
        <v>325376.53678230627</v>
      </c>
      <c r="AY65" s="919">
        <f t="shared" si="98"/>
        <v>433835.38237640838</v>
      </c>
      <c r="AZ65" s="919"/>
      <c r="BA65" s="920">
        <f t="shared" si="99"/>
        <v>11279719.941786617</v>
      </c>
      <c r="BB65" s="920">
        <f t="shared" si="30"/>
        <v>338391.59825359849</v>
      </c>
      <c r="BC65" s="919">
        <f t="shared" si="100"/>
        <v>451188.79767146468</v>
      </c>
      <c r="BD65" s="919"/>
      <c r="BE65" s="975">
        <f t="shared" si="101"/>
        <v>11730908.739458082</v>
      </c>
      <c r="BF65" s="975">
        <f t="shared" si="31"/>
        <v>351927.26218374248</v>
      </c>
      <c r="BG65" s="919">
        <f t="shared" si="102"/>
        <v>469236.34957832331</v>
      </c>
      <c r="BH65" s="975"/>
      <c r="BI65" s="975">
        <f t="shared" si="103"/>
        <v>12200145.089036405</v>
      </c>
      <c r="BJ65" s="975">
        <f t="shared" si="32"/>
        <v>366004.35267109214</v>
      </c>
      <c r="BK65" s="919">
        <f t="shared" si="104"/>
        <v>488005.80356145621</v>
      </c>
      <c r="BL65" s="975"/>
      <c r="BM65" s="975">
        <f t="shared" si="105"/>
        <v>12688150.892597862</v>
      </c>
      <c r="BN65" s="926">
        <f t="shared" si="106"/>
        <v>951611.31694483955</v>
      </c>
      <c r="BO65" s="926">
        <f t="shared" si="107"/>
        <v>317203.77231494657</v>
      </c>
      <c r="BP65" s="926">
        <f t="shared" si="108"/>
        <v>1522578.1071117434</v>
      </c>
      <c r="BQ65" s="926">
        <f t="shared" si="109"/>
        <v>15479544.088969391</v>
      </c>
      <c r="BR65" s="926">
        <f t="shared" si="110"/>
        <v>235753.03211954603</v>
      </c>
      <c r="BS65" s="963">
        <v>0.15</v>
      </c>
      <c r="BT65" s="954">
        <f t="shared" si="85"/>
        <v>2321931.6133454083</v>
      </c>
      <c r="BU65" s="926">
        <f t="shared" si="115"/>
        <v>50000</v>
      </c>
      <c r="BV65" s="954">
        <f t="shared" si="76"/>
        <v>324561.65904934407</v>
      </c>
      <c r="BW65" s="869">
        <f t="shared" si="35"/>
        <v>7</v>
      </c>
      <c r="BX65" s="954">
        <f t="shared" si="77"/>
        <v>13157612.475623982</v>
      </c>
      <c r="BZ65" s="959">
        <v>46082</v>
      </c>
      <c r="CA65" s="960">
        <f t="shared" si="37"/>
        <v>7</v>
      </c>
      <c r="CB65" s="960">
        <f t="shared" si="38"/>
        <v>8</v>
      </c>
      <c r="GI65" s="912"/>
    </row>
    <row r="66" spans="1:191" x14ac:dyDescent="0.2">
      <c r="A66" s="952">
        <f t="shared" si="39"/>
        <v>53</v>
      </c>
      <c r="B66" s="952">
        <f t="shared" si="39"/>
        <v>7</v>
      </c>
      <c r="C66" s="952" t="s">
        <v>558</v>
      </c>
      <c r="D66" s="952"/>
      <c r="E66" s="952" t="s">
        <v>152</v>
      </c>
      <c r="F66" s="869" t="s">
        <v>166</v>
      </c>
      <c r="G66" s="869" t="s">
        <v>123</v>
      </c>
      <c r="H66" s="869" t="s">
        <v>173</v>
      </c>
      <c r="I66" s="869" t="s">
        <v>109</v>
      </c>
      <c r="J66" s="926">
        <v>95.44</v>
      </c>
      <c r="K66" s="962">
        <v>13.34</v>
      </c>
      <c r="L66" s="962">
        <v>0</v>
      </c>
      <c r="M66" s="926">
        <f t="shared" si="70"/>
        <v>108.78</v>
      </c>
      <c r="N66" s="926"/>
      <c r="O66" s="926"/>
      <c r="P66" s="965"/>
      <c r="Q66" s="926">
        <f t="shared" si="79"/>
        <v>12598080</v>
      </c>
      <c r="R66" s="926">
        <f t="shared" si="80"/>
        <v>880440</v>
      </c>
      <c r="S66" s="926">
        <f t="shared" si="23"/>
        <v>13478520</v>
      </c>
      <c r="T66" s="926"/>
      <c r="U66" s="869">
        <v>4</v>
      </c>
      <c r="V66" s="926">
        <f t="shared" si="81"/>
        <v>217560</v>
      </c>
      <c r="W66" s="926">
        <f t="shared" si="120"/>
        <v>217560</v>
      </c>
      <c r="X66" s="954">
        <f t="shared" si="82"/>
        <v>67392.600000000006</v>
      </c>
      <c r="Y66" s="926">
        <f>M66*$Y$5</f>
        <v>217560</v>
      </c>
      <c r="Z66" s="926"/>
      <c r="AA66" s="961" t="str">
        <f t="shared" si="119"/>
        <v>CORNER</v>
      </c>
      <c r="AB66" s="961"/>
      <c r="AC66" s="926">
        <f t="shared" si="114"/>
        <v>720072.6</v>
      </c>
      <c r="AD66" s="926"/>
      <c r="AE66" s="956">
        <f t="shared" si="24"/>
        <v>14198592.6</v>
      </c>
      <c r="AF66" s="956">
        <f t="shared" si="71"/>
        <v>437316.65208000003</v>
      </c>
      <c r="AG66" s="957">
        <f t="shared" si="72"/>
        <v>14635909.252079999</v>
      </c>
      <c r="AH66" s="919">
        <f t="shared" si="73"/>
        <v>332235.14002221602</v>
      </c>
      <c r="AI66" s="957">
        <f t="shared" si="25"/>
        <v>14968144.392102215</v>
      </c>
      <c r="AJ66" s="919">
        <f t="shared" si="74"/>
        <v>374203.60980255541</v>
      </c>
      <c r="AK66" s="920">
        <f t="shared" si="75"/>
        <v>15342348.001904771</v>
      </c>
      <c r="AL66" s="919">
        <f t="shared" si="2"/>
        <v>383558.70004761929</v>
      </c>
      <c r="AM66" s="982">
        <f t="shared" si="27"/>
        <v>15725906.70195239</v>
      </c>
      <c r="AN66" s="919">
        <f t="shared" si="3"/>
        <v>393147.66754880978</v>
      </c>
      <c r="AO66" s="920">
        <f t="shared" si="43"/>
        <v>16119054.3695012</v>
      </c>
      <c r="AP66" s="919">
        <f t="shared" si="92"/>
        <v>402976.35923753004</v>
      </c>
      <c r="AQ66" s="920">
        <f t="shared" si="93"/>
        <v>16522030.728738729</v>
      </c>
      <c r="AR66" s="919">
        <f t="shared" si="94"/>
        <v>495660.92186216183</v>
      </c>
      <c r="AS66" s="920">
        <f t="shared" si="95"/>
        <v>17017691.650600892</v>
      </c>
      <c r="AT66" s="920">
        <f t="shared" si="28"/>
        <v>510530.74951802671</v>
      </c>
      <c r="AU66" s="919">
        <f t="shared" si="96"/>
        <v>680707.66602403566</v>
      </c>
      <c r="AV66" s="919"/>
      <c r="AW66" s="920">
        <f t="shared" si="97"/>
        <v>17698399.316624928</v>
      </c>
      <c r="AX66" s="920">
        <f t="shared" si="29"/>
        <v>530951.97949874785</v>
      </c>
      <c r="AY66" s="919">
        <f t="shared" si="98"/>
        <v>707935.9726649971</v>
      </c>
      <c r="AZ66" s="919"/>
      <c r="BA66" s="920">
        <f t="shared" si="99"/>
        <v>18406335.289289925</v>
      </c>
      <c r="BB66" s="920">
        <f t="shared" si="30"/>
        <v>552190.05867869779</v>
      </c>
      <c r="BC66" s="919">
        <f t="shared" si="100"/>
        <v>736253.41157159698</v>
      </c>
      <c r="BD66" s="919"/>
      <c r="BE66" s="975">
        <f t="shared" si="101"/>
        <v>19142588.700861521</v>
      </c>
      <c r="BF66" s="975">
        <f t="shared" si="31"/>
        <v>574277.66102584556</v>
      </c>
      <c r="BG66" s="919">
        <f t="shared" si="102"/>
        <v>765703.54803446087</v>
      </c>
      <c r="BH66" s="975"/>
      <c r="BI66" s="975">
        <f t="shared" si="103"/>
        <v>19908292.24889598</v>
      </c>
      <c r="BJ66" s="975">
        <f t="shared" si="32"/>
        <v>597248.76746687933</v>
      </c>
      <c r="BK66" s="919">
        <f t="shared" si="104"/>
        <v>796331.68995583919</v>
      </c>
      <c r="BL66" s="975"/>
      <c r="BM66" s="975">
        <f t="shared" si="105"/>
        <v>20704623.938851818</v>
      </c>
      <c r="BN66" s="926">
        <f t="shared" si="106"/>
        <v>1552846.7954138864</v>
      </c>
      <c r="BO66" s="926">
        <f t="shared" si="107"/>
        <v>517615.5984712955</v>
      </c>
      <c r="BP66" s="926">
        <f t="shared" si="108"/>
        <v>2484554.8726622183</v>
      </c>
      <c r="BQ66" s="926">
        <f t="shared" si="109"/>
        <v>25259641.205399215</v>
      </c>
      <c r="BR66" s="926">
        <f t="shared" si="110"/>
        <v>232208.50528956807</v>
      </c>
      <c r="BS66" s="963">
        <v>0.15</v>
      </c>
      <c r="BT66" s="954">
        <f t="shared" si="85"/>
        <v>3788946.180809882</v>
      </c>
      <c r="BU66" s="926">
        <f t="shared" si="115"/>
        <v>50000</v>
      </c>
      <c r="BV66" s="954">
        <f t="shared" si="76"/>
        <v>534135.16868712602</v>
      </c>
      <c r="BW66" s="869">
        <f t="shared" si="35"/>
        <v>7</v>
      </c>
      <c r="BX66" s="954">
        <f t="shared" si="77"/>
        <v>21470695.024589334</v>
      </c>
      <c r="BZ66" s="959">
        <v>46082</v>
      </c>
      <c r="CA66" s="960">
        <f t="shared" si="37"/>
        <v>7</v>
      </c>
      <c r="CB66" s="960">
        <f t="shared" si="38"/>
        <v>8</v>
      </c>
      <c r="GI66" s="912"/>
    </row>
    <row r="67" spans="1:191" x14ac:dyDescent="0.2">
      <c r="A67" s="952">
        <f t="shared" si="39"/>
        <v>54</v>
      </c>
      <c r="B67" s="952">
        <f t="shared" si="39"/>
        <v>8</v>
      </c>
      <c r="C67" s="952" t="s">
        <v>558</v>
      </c>
      <c r="D67" s="952"/>
      <c r="E67" s="952" t="s">
        <v>152</v>
      </c>
      <c r="F67" s="869" t="s">
        <v>166</v>
      </c>
      <c r="G67" s="869" t="s">
        <v>125</v>
      </c>
      <c r="H67" s="869" t="s">
        <v>174</v>
      </c>
      <c r="I67" s="869" t="s">
        <v>109</v>
      </c>
      <c r="J67" s="926">
        <v>69.2</v>
      </c>
      <c r="K67" s="962">
        <v>4.7699999999999996</v>
      </c>
      <c r="L67" s="962">
        <v>0</v>
      </c>
      <c r="M67" s="926">
        <f t="shared" si="70"/>
        <v>73.97</v>
      </c>
      <c r="N67" s="926"/>
      <c r="O67" s="926"/>
      <c r="P67" s="965"/>
      <c r="Q67" s="926">
        <f t="shared" si="79"/>
        <v>9134400</v>
      </c>
      <c r="R67" s="926">
        <f t="shared" si="80"/>
        <v>314820</v>
      </c>
      <c r="S67" s="926">
        <f t="shared" si="23"/>
        <v>9449220</v>
      </c>
      <c r="T67" s="926"/>
      <c r="U67" s="869">
        <v>4</v>
      </c>
      <c r="V67" s="926">
        <f t="shared" si="81"/>
        <v>147940</v>
      </c>
      <c r="W67" s="926">
        <f t="shared" si="120"/>
        <v>147940</v>
      </c>
      <c r="X67" s="954">
        <f t="shared" si="82"/>
        <v>47246.1</v>
      </c>
      <c r="Y67" s="961"/>
      <c r="Z67" s="926"/>
      <c r="AA67" s="961" t="str">
        <f t="shared" si="119"/>
        <v>INNER</v>
      </c>
      <c r="AB67" s="961"/>
      <c r="AC67" s="926">
        <f t="shared" si="114"/>
        <v>343126.1</v>
      </c>
      <c r="AD67" s="926"/>
      <c r="AE67" s="956">
        <f t="shared" si="24"/>
        <v>9792346.0999999996</v>
      </c>
      <c r="AF67" s="956">
        <f t="shared" si="71"/>
        <v>301604.25988000003</v>
      </c>
      <c r="AG67" s="957">
        <f t="shared" si="72"/>
        <v>10093950.35988</v>
      </c>
      <c r="AH67" s="919">
        <f t="shared" si="73"/>
        <v>229132.67316927604</v>
      </c>
      <c r="AI67" s="957">
        <f t="shared" si="25"/>
        <v>10323083.033049276</v>
      </c>
      <c r="AJ67" s="919">
        <f t="shared" si="74"/>
        <v>258077.07582623191</v>
      </c>
      <c r="AK67" s="920">
        <f t="shared" si="75"/>
        <v>10581160.108875507</v>
      </c>
      <c r="AL67" s="919">
        <f t="shared" si="2"/>
        <v>264529.00272188772</v>
      </c>
      <c r="AM67" s="982">
        <f t="shared" si="27"/>
        <v>10845689.111597395</v>
      </c>
      <c r="AN67" s="919">
        <f t="shared" si="3"/>
        <v>271142.2277899349</v>
      </c>
      <c r="AO67" s="920">
        <f t="shared" si="43"/>
        <v>11116831.339387329</v>
      </c>
      <c r="AP67" s="919">
        <f t="shared" si="92"/>
        <v>277920.78348468326</v>
      </c>
      <c r="AQ67" s="920">
        <f t="shared" si="93"/>
        <v>11394752.122872012</v>
      </c>
      <c r="AR67" s="919">
        <f t="shared" si="94"/>
        <v>341842.56368616031</v>
      </c>
      <c r="AS67" s="920">
        <f t="shared" si="95"/>
        <v>11736594.686558172</v>
      </c>
      <c r="AT67" s="920">
        <f t="shared" si="28"/>
        <v>352097.84059674514</v>
      </c>
      <c r="AU67" s="919">
        <f t="shared" si="96"/>
        <v>469463.78746232687</v>
      </c>
      <c r="AV67" s="919"/>
      <c r="AW67" s="920">
        <f t="shared" si="97"/>
        <v>12206058.4740205</v>
      </c>
      <c r="AX67" s="920">
        <f t="shared" si="29"/>
        <v>366181.75422061497</v>
      </c>
      <c r="AY67" s="919">
        <f t="shared" si="98"/>
        <v>488242.33896081999</v>
      </c>
      <c r="AZ67" s="919"/>
      <c r="BA67" s="920">
        <f t="shared" si="99"/>
        <v>12694300.812981321</v>
      </c>
      <c r="BB67" s="920">
        <f t="shared" si="30"/>
        <v>380829.02438943961</v>
      </c>
      <c r="BC67" s="919">
        <f t="shared" si="100"/>
        <v>507772.03251925285</v>
      </c>
      <c r="BD67" s="919"/>
      <c r="BE67" s="975">
        <f t="shared" si="101"/>
        <v>13202072.845500574</v>
      </c>
      <c r="BF67" s="975">
        <f t="shared" si="31"/>
        <v>396062.18536501721</v>
      </c>
      <c r="BG67" s="919">
        <f t="shared" si="102"/>
        <v>528082.91382002295</v>
      </c>
      <c r="BH67" s="975"/>
      <c r="BI67" s="975">
        <f t="shared" si="103"/>
        <v>13730155.759320596</v>
      </c>
      <c r="BJ67" s="975">
        <f t="shared" si="32"/>
        <v>411904.67277961789</v>
      </c>
      <c r="BK67" s="919">
        <f t="shared" si="104"/>
        <v>549206.23037282389</v>
      </c>
      <c r="BL67" s="975"/>
      <c r="BM67" s="975">
        <f t="shared" si="105"/>
        <v>14279361.98969342</v>
      </c>
      <c r="BN67" s="926">
        <f t="shared" si="106"/>
        <v>1070952.1492270064</v>
      </c>
      <c r="BO67" s="926">
        <f t="shared" si="107"/>
        <v>356984.04974233551</v>
      </c>
      <c r="BP67" s="926">
        <f t="shared" si="108"/>
        <v>1713523.4387632103</v>
      </c>
      <c r="BQ67" s="926">
        <f t="shared" si="109"/>
        <v>17420821.627425972</v>
      </c>
      <c r="BR67" s="926">
        <f t="shared" si="110"/>
        <v>235511.98631101762</v>
      </c>
      <c r="BS67" s="963">
        <v>0.15</v>
      </c>
      <c r="BT67" s="954">
        <f t="shared" si="85"/>
        <v>2613123.2441138956</v>
      </c>
      <c r="BU67" s="926">
        <f t="shared" si="115"/>
        <v>50000</v>
      </c>
      <c r="BV67" s="954">
        <f t="shared" si="76"/>
        <v>366160.4634448422</v>
      </c>
      <c r="BW67" s="869">
        <f t="shared" si="35"/>
        <v>7</v>
      </c>
      <c r="BX67" s="954">
        <f t="shared" si="77"/>
        <v>14807698.383312076</v>
      </c>
      <c r="BZ67" s="959">
        <v>46082</v>
      </c>
      <c r="CA67" s="960">
        <f t="shared" si="37"/>
        <v>7</v>
      </c>
      <c r="CB67" s="960">
        <f t="shared" si="38"/>
        <v>8</v>
      </c>
      <c r="GI67" s="912"/>
    </row>
    <row r="68" spans="1:191" x14ac:dyDescent="0.2">
      <c r="A68" s="952">
        <f t="shared" si="39"/>
        <v>55</v>
      </c>
      <c r="B68" s="952">
        <f t="shared" si="39"/>
        <v>9</v>
      </c>
      <c r="C68" s="952" t="s">
        <v>104</v>
      </c>
      <c r="D68" s="952"/>
      <c r="E68" s="952" t="s">
        <v>152</v>
      </c>
      <c r="F68" s="869" t="s">
        <v>166</v>
      </c>
      <c r="G68" s="869" t="s">
        <v>127</v>
      </c>
      <c r="H68" s="869" t="s">
        <v>175</v>
      </c>
      <c r="I68" s="869" t="s">
        <v>113</v>
      </c>
      <c r="J68" s="926">
        <v>69.36</v>
      </c>
      <c r="K68" s="962">
        <v>4.79</v>
      </c>
      <c r="L68" s="962">
        <v>0</v>
      </c>
      <c r="M68" s="926">
        <f t="shared" si="70"/>
        <v>74.150000000000006</v>
      </c>
      <c r="N68" s="926"/>
      <c r="O68" s="926"/>
      <c r="P68" s="965"/>
      <c r="Q68" s="926">
        <f t="shared" si="79"/>
        <v>9155520</v>
      </c>
      <c r="R68" s="926">
        <f t="shared" si="80"/>
        <v>316140</v>
      </c>
      <c r="S68" s="926">
        <f t="shared" si="23"/>
        <v>9471660</v>
      </c>
      <c r="T68" s="926"/>
      <c r="U68" s="869">
        <v>4</v>
      </c>
      <c r="V68" s="926">
        <f t="shared" si="81"/>
        <v>148300</v>
      </c>
      <c r="W68" s="926">
        <f t="shared" si="120"/>
        <v>148300</v>
      </c>
      <c r="X68" s="954">
        <f t="shared" si="82"/>
        <v>47358.3</v>
      </c>
      <c r="Y68" s="961"/>
      <c r="Z68" s="926"/>
      <c r="AA68" s="961" t="str">
        <f t="shared" si="119"/>
        <v>INNER</v>
      </c>
      <c r="AB68" s="961"/>
      <c r="AC68" s="926">
        <f t="shared" si="114"/>
        <v>343958.3</v>
      </c>
      <c r="AD68" s="926"/>
      <c r="AE68" s="956">
        <f t="shared" si="24"/>
        <v>9815618.3000000007</v>
      </c>
      <c r="AF68" s="956">
        <f t="shared" si="71"/>
        <v>302321.04364000005</v>
      </c>
      <c r="AG68" s="957">
        <f t="shared" si="72"/>
        <v>10117939.343640001</v>
      </c>
      <c r="AH68" s="919">
        <f t="shared" si="73"/>
        <v>229677.22310062803</v>
      </c>
      <c r="AI68" s="957">
        <f t="shared" si="25"/>
        <v>10347616.56674063</v>
      </c>
      <c r="AJ68" s="919">
        <f t="shared" si="74"/>
        <v>258690.41416851577</v>
      </c>
      <c r="AK68" s="920">
        <f t="shared" si="75"/>
        <v>10606306.980909146</v>
      </c>
      <c r="AL68" s="919">
        <f t="shared" si="2"/>
        <v>265157.67452272866</v>
      </c>
      <c r="AM68" s="920">
        <f t="shared" si="27"/>
        <v>10871464.655431874</v>
      </c>
      <c r="AN68" s="919">
        <f t="shared" si="3"/>
        <v>271786.61638579686</v>
      </c>
      <c r="AO68" s="920">
        <f t="shared" si="43"/>
        <v>11143251.271817671</v>
      </c>
      <c r="AP68" s="919">
        <f t="shared" si="92"/>
        <v>278581.28179544181</v>
      </c>
      <c r="AQ68" s="920">
        <f t="shared" si="93"/>
        <v>11421832.553613113</v>
      </c>
      <c r="AR68" s="919">
        <f t="shared" si="94"/>
        <v>342654.97660839336</v>
      </c>
      <c r="AS68" s="920">
        <f t="shared" si="95"/>
        <v>11764487.530221507</v>
      </c>
      <c r="AT68" s="920">
        <f t="shared" si="28"/>
        <v>352934.6259066452</v>
      </c>
      <c r="AU68" s="919">
        <f t="shared" si="96"/>
        <v>470579.50120886031</v>
      </c>
      <c r="AV68" s="919"/>
      <c r="AW68" s="920">
        <f t="shared" si="97"/>
        <v>12235067.031430367</v>
      </c>
      <c r="AX68" s="920">
        <f t="shared" si="29"/>
        <v>367052.01094291103</v>
      </c>
      <c r="AY68" s="919">
        <f t="shared" si="98"/>
        <v>489402.68125721469</v>
      </c>
      <c r="AZ68" s="919"/>
      <c r="BA68" s="920">
        <f t="shared" si="99"/>
        <v>12724469.712687582</v>
      </c>
      <c r="BB68" s="920">
        <f t="shared" si="30"/>
        <v>381734.09138062742</v>
      </c>
      <c r="BC68" s="919">
        <f t="shared" si="100"/>
        <v>508978.78850750328</v>
      </c>
      <c r="BD68" s="919"/>
      <c r="BE68" s="975">
        <f t="shared" si="101"/>
        <v>13233448.501195084</v>
      </c>
      <c r="BF68" s="975">
        <f t="shared" si="31"/>
        <v>397003.4550358525</v>
      </c>
      <c r="BG68" s="919">
        <f t="shared" si="102"/>
        <v>529337.94004780333</v>
      </c>
      <c r="BH68" s="975"/>
      <c r="BI68" s="975">
        <f t="shared" si="103"/>
        <v>13762786.441242889</v>
      </c>
      <c r="BJ68" s="975">
        <f t="shared" si="32"/>
        <v>412883.59323728667</v>
      </c>
      <c r="BK68" s="919">
        <f t="shared" si="104"/>
        <v>550511.45764971559</v>
      </c>
      <c r="BL68" s="975"/>
      <c r="BM68" s="975">
        <f t="shared" si="105"/>
        <v>14313297.898892604</v>
      </c>
      <c r="BN68" s="926">
        <f t="shared" si="106"/>
        <v>1073497.3424169451</v>
      </c>
      <c r="BO68" s="926">
        <f t="shared" si="107"/>
        <v>357832.44747231511</v>
      </c>
      <c r="BP68" s="926">
        <f t="shared" si="108"/>
        <v>1717595.7478671123</v>
      </c>
      <c r="BQ68" s="926">
        <f t="shared" si="109"/>
        <v>17462223.436648976</v>
      </c>
      <c r="BR68" s="926">
        <f t="shared" si="110"/>
        <v>235498.63029870499</v>
      </c>
      <c r="BS68" s="963">
        <v>0.15</v>
      </c>
      <c r="BT68" s="954">
        <f t="shared" si="85"/>
        <v>2619333.5154973464</v>
      </c>
      <c r="BU68" s="926">
        <f t="shared" si="115"/>
        <v>50000</v>
      </c>
      <c r="BV68" s="954">
        <f t="shared" si="76"/>
        <v>367047.64507104951</v>
      </c>
      <c r="BW68" s="869">
        <f t="shared" si="35"/>
        <v>7</v>
      </c>
      <c r="BX68" s="954">
        <f t="shared" si="77"/>
        <v>14842889.921151631</v>
      </c>
      <c r="BZ68" s="959">
        <v>46082</v>
      </c>
      <c r="CA68" s="960">
        <f t="shared" si="37"/>
        <v>7</v>
      </c>
      <c r="CB68" s="960">
        <f t="shared" si="38"/>
        <v>8</v>
      </c>
      <c r="GI68" s="912"/>
    </row>
    <row r="69" spans="1:191" x14ac:dyDescent="0.2">
      <c r="A69" s="952">
        <f t="shared" si="39"/>
        <v>56</v>
      </c>
      <c r="B69" s="952">
        <f t="shared" si="39"/>
        <v>10</v>
      </c>
      <c r="C69" s="952" t="s">
        <v>558</v>
      </c>
      <c r="D69" s="952"/>
      <c r="E69" s="952" t="s">
        <v>152</v>
      </c>
      <c r="F69" s="869" t="s">
        <v>166</v>
      </c>
      <c r="G69" s="869" t="s">
        <v>129</v>
      </c>
      <c r="H69" s="869" t="s">
        <v>176</v>
      </c>
      <c r="I69" s="869" t="s">
        <v>109</v>
      </c>
      <c r="J69" s="926">
        <v>69.36</v>
      </c>
      <c r="K69" s="962">
        <v>4.79</v>
      </c>
      <c r="L69" s="962">
        <v>0</v>
      </c>
      <c r="M69" s="926">
        <f t="shared" si="70"/>
        <v>74.150000000000006</v>
      </c>
      <c r="N69" s="926"/>
      <c r="O69" s="926"/>
      <c r="P69" s="965"/>
      <c r="Q69" s="926">
        <f t="shared" si="79"/>
        <v>9155520</v>
      </c>
      <c r="R69" s="926">
        <f t="shared" si="80"/>
        <v>316140</v>
      </c>
      <c r="S69" s="926">
        <f t="shared" si="23"/>
        <v>9471660</v>
      </c>
      <c r="T69" s="926"/>
      <c r="U69" s="869">
        <v>4</v>
      </c>
      <c r="V69" s="926">
        <f t="shared" si="81"/>
        <v>148300</v>
      </c>
      <c r="W69" s="926">
        <f t="shared" si="120"/>
        <v>148300</v>
      </c>
      <c r="X69" s="954">
        <f t="shared" si="82"/>
        <v>47358.3</v>
      </c>
      <c r="Y69" s="961"/>
      <c r="Z69" s="926"/>
      <c r="AA69" s="961" t="str">
        <f t="shared" si="119"/>
        <v>INNER</v>
      </c>
      <c r="AB69" s="961"/>
      <c r="AC69" s="926">
        <f t="shared" ref="AC69:AC72" si="121">SUM(V69:Z69)</f>
        <v>343958.3</v>
      </c>
      <c r="AD69" s="926"/>
      <c r="AE69" s="956">
        <f t="shared" si="24"/>
        <v>9815618.3000000007</v>
      </c>
      <c r="AF69" s="956">
        <f t="shared" si="71"/>
        <v>302321.04364000005</v>
      </c>
      <c r="AG69" s="957">
        <f t="shared" si="72"/>
        <v>10117939.343640001</v>
      </c>
      <c r="AH69" s="919">
        <f t="shared" si="73"/>
        <v>229677.22310062803</v>
      </c>
      <c r="AI69" s="957">
        <f t="shared" si="25"/>
        <v>10347616.56674063</v>
      </c>
      <c r="AJ69" s="919">
        <f t="shared" si="74"/>
        <v>258690.41416851577</v>
      </c>
      <c r="AK69" s="920">
        <f t="shared" si="75"/>
        <v>10606306.980909146</v>
      </c>
      <c r="AL69" s="919">
        <f t="shared" si="2"/>
        <v>265157.67452272866</v>
      </c>
      <c r="AM69" s="920">
        <f t="shared" si="27"/>
        <v>10871464.655431874</v>
      </c>
      <c r="AN69" s="919">
        <f t="shared" si="3"/>
        <v>271786.61638579686</v>
      </c>
      <c r="AO69" s="920">
        <f t="shared" si="43"/>
        <v>11143251.271817671</v>
      </c>
      <c r="AP69" s="919">
        <f t="shared" si="92"/>
        <v>278581.28179544181</v>
      </c>
      <c r="AQ69" s="920">
        <f t="shared" si="93"/>
        <v>11421832.553613113</v>
      </c>
      <c r="AR69" s="919">
        <f t="shared" si="94"/>
        <v>342654.97660839336</v>
      </c>
      <c r="AS69" s="920">
        <f t="shared" si="95"/>
        <v>11764487.530221507</v>
      </c>
      <c r="AT69" s="920">
        <f t="shared" si="28"/>
        <v>352934.6259066452</v>
      </c>
      <c r="AU69" s="919">
        <f t="shared" si="96"/>
        <v>470579.50120886031</v>
      </c>
      <c r="AV69" s="919"/>
      <c r="AW69" s="920">
        <f t="shared" si="97"/>
        <v>12235067.031430367</v>
      </c>
      <c r="AX69" s="920">
        <f t="shared" si="29"/>
        <v>367052.01094291103</v>
      </c>
      <c r="AY69" s="919">
        <f t="shared" si="98"/>
        <v>489402.68125721469</v>
      </c>
      <c r="AZ69" s="919"/>
      <c r="BA69" s="920">
        <f t="shared" si="99"/>
        <v>12724469.712687582</v>
      </c>
      <c r="BB69" s="920">
        <f t="shared" si="30"/>
        <v>381734.09138062742</v>
      </c>
      <c r="BC69" s="919">
        <f t="shared" si="100"/>
        <v>508978.78850750328</v>
      </c>
      <c r="BD69" s="919"/>
      <c r="BE69" s="975">
        <f t="shared" si="101"/>
        <v>13233448.501195084</v>
      </c>
      <c r="BF69" s="975">
        <f t="shared" si="31"/>
        <v>397003.4550358525</v>
      </c>
      <c r="BG69" s="919">
        <f t="shared" si="102"/>
        <v>529337.94004780333</v>
      </c>
      <c r="BH69" s="975"/>
      <c r="BI69" s="975">
        <f t="shared" si="103"/>
        <v>13762786.441242889</v>
      </c>
      <c r="BJ69" s="975">
        <f t="shared" si="32"/>
        <v>412883.59323728667</v>
      </c>
      <c r="BK69" s="919">
        <f t="shared" si="104"/>
        <v>550511.45764971559</v>
      </c>
      <c r="BL69" s="975"/>
      <c r="BM69" s="975">
        <f t="shared" si="105"/>
        <v>14313297.898892604</v>
      </c>
      <c r="BN69" s="926">
        <f t="shared" si="106"/>
        <v>1073497.3424169451</v>
      </c>
      <c r="BO69" s="926">
        <f t="shared" si="107"/>
        <v>357832.44747231511</v>
      </c>
      <c r="BP69" s="926">
        <f t="shared" si="108"/>
        <v>1717595.7478671123</v>
      </c>
      <c r="BQ69" s="926">
        <f t="shared" si="109"/>
        <v>17462223.436648976</v>
      </c>
      <c r="BR69" s="926">
        <f t="shared" si="110"/>
        <v>235498.63029870499</v>
      </c>
      <c r="BS69" s="963">
        <v>0.15</v>
      </c>
      <c r="BT69" s="954">
        <f t="shared" si="85"/>
        <v>2619333.5154973464</v>
      </c>
      <c r="BU69" s="926">
        <f t="shared" si="115"/>
        <v>50000</v>
      </c>
      <c r="BV69" s="954">
        <f t="shared" si="76"/>
        <v>367047.64507104951</v>
      </c>
      <c r="BW69" s="869">
        <f t="shared" si="35"/>
        <v>7</v>
      </c>
      <c r="BX69" s="954">
        <f t="shared" si="77"/>
        <v>14842889.921151631</v>
      </c>
      <c r="BZ69" s="959">
        <v>46082</v>
      </c>
      <c r="CA69" s="960">
        <f t="shared" si="37"/>
        <v>7</v>
      </c>
      <c r="CB69" s="960">
        <f t="shared" si="38"/>
        <v>8</v>
      </c>
      <c r="GI69" s="912"/>
    </row>
    <row r="70" spans="1:191" x14ac:dyDescent="0.2">
      <c r="A70" s="952">
        <f t="shared" si="39"/>
        <v>57</v>
      </c>
      <c r="B70" s="952">
        <f t="shared" si="39"/>
        <v>11</v>
      </c>
      <c r="C70" s="952" t="s">
        <v>104</v>
      </c>
      <c r="D70" s="952"/>
      <c r="E70" s="952" t="s">
        <v>152</v>
      </c>
      <c r="F70" s="869" t="s">
        <v>166</v>
      </c>
      <c r="G70" s="869" t="s">
        <v>131</v>
      </c>
      <c r="H70" s="869" t="s">
        <v>177</v>
      </c>
      <c r="I70" s="869" t="s">
        <v>109</v>
      </c>
      <c r="J70" s="926">
        <v>69.36</v>
      </c>
      <c r="K70" s="962">
        <v>4.79</v>
      </c>
      <c r="L70" s="962">
        <v>0</v>
      </c>
      <c r="M70" s="926">
        <f t="shared" si="70"/>
        <v>74.150000000000006</v>
      </c>
      <c r="N70" s="926"/>
      <c r="O70" s="926"/>
      <c r="P70" s="965"/>
      <c r="Q70" s="926">
        <f t="shared" si="79"/>
        <v>9155520</v>
      </c>
      <c r="R70" s="926">
        <f t="shared" si="80"/>
        <v>316140</v>
      </c>
      <c r="S70" s="926">
        <f t="shared" si="23"/>
        <v>9471660</v>
      </c>
      <c r="T70" s="926"/>
      <c r="U70" s="869">
        <v>4</v>
      </c>
      <c r="V70" s="926">
        <f t="shared" si="81"/>
        <v>148300</v>
      </c>
      <c r="W70" s="926">
        <f t="shared" si="120"/>
        <v>148300</v>
      </c>
      <c r="X70" s="954">
        <f t="shared" si="82"/>
        <v>47358.3</v>
      </c>
      <c r="Y70" s="961"/>
      <c r="Z70" s="926"/>
      <c r="AA70" s="961" t="str">
        <f t="shared" si="119"/>
        <v>INNER</v>
      </c>
      <c r="AB70" s="961"/>
      <c r="AC70" s="926">
        <f t="shared" si="121"/>
        <v>343958.3</v>
      </c>
      <c r="AD70" s="926"/>
      <c r="AE70" s="956">
        <f t="shared" si="24"/>
        <v>9815618.3000000007</v>
      </c>
      <c r="AF70" s="956">
        <f t="shared" si="71"/>
        <v>302321.04364000005</v>
      </c>
      <c r="AG70" s="957">
        <f t="shared" si="72"/>
        <v>10117939.343640001</v>
      </c>
      <c r="AH70" s="919">
        <f t="shared" si="73"/>
        <v>229677.22310062803</v>
      </c>
      <c r="AI70" s="957">
        <f t="shared" si="25"/>
        <v>10347616.56674063</v>
      </c>
      <c r="AJ70" s="919">
        <f t="shared" si="74"/>
        <v>258690.41416851577</v>
      </c>
      <c r="AK70" s="920">
        <f t="shared" si="75"/>
        <v>10606306.980909146</v>
      </c>
      <c r="AL70" s="919">
        <f t="shared" si="2"/>
        <v>265157.67452272866</v>
      </c>
      <c r="AM70" s="920">
        <f t="shared" si="27"/>
        <v>10871464.655431874</v>
      </c>
      <c r="AN70" s="919">
        <f t="shared" si="3"/>
        <v>271786.61638579686</v>
      </c>
      <c r="AO70" s="920">
        <f t="shared" si="43"/>
        <v>11143251.271817671</v>
      </c>
      <c r="AP70" s="919">
        <f t="shared" si="92"/>
        <v>278581.28179544181</v>
      </c>
      <c r="AQ70" s="920">
        <f t="shared" si="93"/>
        <v>11421832.553613113</v>
      </c>
      <c r="AR70" s="919">
        <f t="shared" si="94"/>
        <v>342654.97660839336</v>
      </c>
      <c r="AS70" s="920">
        <f t="shared" si="95"/>
        <v>11764487.530221507</v>
      </c>
      <c r="AT70" s="920">
        <f t="shared" si="28"/>
        <v>352934.6259066452</v>
      </c>
      <c r="AU70" s="919">
        <f t="shared" si="96"/>
        <v>470579.50120886031</v>
      </c>
      <c r="AV70" s="919"/>
      <c r="AW70" s="920">
        <f t="shared" si="97"/>
        <v>12235067.031430367</v>
      </c>
      <c r="AX70" s="920">
        <f t="shared" si="29"/>
        <v>367052.01094291103</v>
      </c>
      <c r="AY70" s="919">
        <f t="shared" si="98"/>
        <v>489402.68125721469</v>
      </c>
      <c r="AZ70" s="919"/>
      <c r="BA70" s="920">
        <f t="shared" si="99"/>
        <v>12724469.712687582</v>
      </c>
      <c r="BB70" s="920">
        <f t="shared" si="30"/>
        <v>381734.09138062742</v>
      </c>
      <c r="BC70" s="919">
        <f t="shared" si="100"/>
        <v>508978.78850750328</v>
      </c>
      <c r="BD70" s="919"/>
      <c r="BE70" s="975">
        <f t="shared" si="101"/>
        <v>13233448.501195084</v>
      </c>
      <c r="BF70" s="975">
        <f t="shared" si="31"/>
        <v>397003.4550358525</v>
      </c>
      <c r="BG70" s="919">
        <f t="shared" si="102"/>
        <v>529337.94004780333</v>
      </c>
      <c r="BH70" s="975">
        <f>BG70-BF70</f>
        <v>132334.48501195083</v>
      </c>
      <c r="BI70" s="975">
        <f t="shared" si="103"/>
        <v>13762786.441242889</v>
      </c>
      <c r="BJ70" s="975">
        <f t="shared" si="32"/>
        <v>412883.59323728667</v>
      </c>
      <c r="BK70" s="919">
        <f t="shared" si="104"/>
        <v>550511.45764971559</v>
      </c>
      <c r="BL70" s="975"/>
      <c r="BM70" s="975">
        <f t="shared" si="105"/>
        <v>14313297.898892604</v>
      </c>
      <c r="BN70" s="926">
        <f t="shared" si="106"/>
        <v>1073497.3424169451</v>
      </c>
      <c r="BO70" s="926">
        <f t="shared" si="107"/>
        <v>357832.44747231511</v>
      </c>
      <c r="BP70" s="926">
        <f t="shared" si="108"/>
        <v>1717595.7478671123</v>
      </c>
      <c r="BQ70" s="926">
        <f t="shared" si="109"/>
        <v>17462223.436648976</v>
      </c>
      <c r="BR70" s="926">
        <f t="shared" si="110"/>
        <v>235498.63029870499</v>
      </c>
      <c r="BS70" s="963">
        <v>0.15</v>
      </c>
      <c r="BT70" s="954">
        <f t="shared" si="85"/>
        <v>2619333.5154973464</v>
      </c>
      <c r="BU70" s="926">
        <f t="shared" si="115"/>
        <v>50000</v>
      </c>
      <c r="BV70" s="954">
        <f t="shared" si="76"/>
        <v>367047.64507104951</v>
      </c>
      <c r="BW70" s="869">
        <f t="shared" si="35"/>
        <v>7</v>
      </c>
      <c r="BX70" s="954">
        <f t="shared" si="77"/>
        <v>14842889.921151631</v>
      </c>
      <c r="BZ70" s="959">
        <v>46082</v>
      </c>
      <c r="CA70" s="960">
        <f t="shared" si="37"/>
        <v>7</v>
      </c>
      <c r="CB70" s="960">
        <f t="shared" si="38"/>
        <v>8</v>
      </c>
      <c r="GI70" s="912"/>
    </row>
    <row r="71" spans="1:191" x14ac:dyDescent="0.2">
      <c r="A71" s="952">
        <f t="shared" si="39"/>
        <v>58</v>
      </c>
      <c r="B71" s="952">
        <f t="shared" si="39"/>
        <v>12</v>
      </c>
      <c r="C71" s="952" t="s">
        <v>558</v>
      </c>
      <c r="D71" s="952"/>
      <c r="E71" s="952" t="s">
        <v>152</v>
      </c>
      <c r="F71" s="869" t="s">
        <v>166</v>
      </c>
      <c r="G71" s="869" t="s">
        <v>133</v>
      </c>
      <c r="H71" s="869" t="s">
        <v>178</v>
      </c>
      <c r="I71" s="869" t="s">
        <v>109</v>
      </c>
      <c r="J71" s="926">
        <v>83.12</v>
      </c>
      <c r="K71" s="962">
        <v>13.04</v>
      </c>
      <c r="L71" s="962">
        <v>0</v>
      </c>
      <c r="M71" s="926">
        <f t="shared" si="70"/>
        <v>96.16</v>
      </c>
      <c r="N71" s="926"/>
      <c r="O71" s="926"/>
      <c r="P71" s="965"/>
      <c r="Q71" s="926">
        <f t="shared" si="79"/>
        <v>10971840</v>
      </c>
      <c r="R71" s="926">
        <f t="shared" si="80"/>
        <v>860640</v>
      </c>
      <c r="S71" s="926">
        <f t="shared" si="23"/>
        <v>11832480</v>
      </c>
      <c r="T71" s="926"/>
      <c r="U71" s="869">
        <v>4</v>
      </c>
      <c r="V71" s="926">
        <f t="shared" si="81"/>
        <v>192320</v>
      </c>
      <c r="W71" s="926">
        <f t="shared" si="120"/>
        <v>192320</v>
      </c>
      <c r="X71" s="954">
        <f t="shared" si="82"/>
        <v>59162.400000000001</v>
      </c>
      <c r="Y71" s="926">
        <f>M71*$Y$5</f>
        <v>192320</v>
      </c>
      <c r="Z71" s="926">
        <f t="shared" ref="Z71:Z77" si="122">M71*$Z$5</f>
        <v>96160</v>
      </c>
      <c r="AA71" s="961" t="str">
        <f t="shared" si="119"/>
        <v>CORNER</v>
      </c>
      <c r="AB71" s="961" t="s">
        <v>573</v>
      </c>
      <c r="AC71" s="926">
        <f t="shared" si="121"/>
        <v>732282.4</v>
      </c>
      <c r="AD71" s="926"/>
      <c r="AE71" s="956">
        <f t="shared" si="24"/>
        <v>12564762.4</v>
      </c>
      <c r="AF71" s="956">
        <f t="shared" si="71"/>
        <v>386994.68192</v>
      </c>
      <c r="AG71" s="957">
        <f t="shared" si="72"/>
        <v>12951757.08192</v>
      </c>
      <c r="AH71" s="919">
        <f t="shared" si="73"/>
        <v>294004.88575958402</v>
      </c>
      <c r="AI71" s="957">
        <f t="shared" si="25"/>
        <v>13245761.967679584</v>
      </c>
      <c r="AJ71" s="919">
        <f t="shared" si="74"/>
        <v>331144.04919198964</v>
      </c>
      <c r="AK71" s="920">
        <f t="shared" si="75"/>
        <v>13576906.016871573</v>
      </c>
      <c r="AL71" s="919">
        <f t="shared" ref="AL71:AL134" si="123">AK71*$AJ$5</f>
        <v>339422.65042178938</v>
      </c>
      <c r="AM71" s="982">
        <f t="shared" si="27"/>
        <v>13916328.667293362</v>
      </c>
      <c r="AN71" s="919">
        <f t="shared" ref="AN71:AN134" si="124">AM71*$AJ$5</f>
        <v>347908.21668233408</v>
      </c>
      <c r="AO71" s="920">
        <f t="shared" si="43"/>
        <v>14264236.883975696</v>
      </c>
      <c r="AP71" s="919">
        <f t="shared" ref="AP71:AP102" si="125">AO71*$AP$5</f>
        <v>356605.9220993924</v>
      </c>
      <c r="AQ71" s="920">
        <f t="shared" ref="AQ71:AQ102" si="126">AO71+AP71</f>
        <v>14620842.806075089</v>
      </c>
      <c r="AR71" s="919">
        <f t="shared" ref="AR71:AR102" si="127">AQ71*$AR$5</f>
        <v>438625.28418225265</v>
      </c>
      <c r="AS71" s="920">
        <f t="shared" ref="AS71:AS102" si="128">AQ71+AR71</f>
        <v>15059468.090257341</v>
      </c>
      <c r="AT71" s="920">
        <f t="shared" si="28"/>
        <v>451784.04270772019</v>
      </c>
      <c r="AU71" s="919">
        <f t="shared" ref="AU71:AU102" si="129">AS71*$AU$5</f>
        <v>602378.7236102937</v>
      </c>
      <c r="AV71" s="919"/>
      <c r="AW71" s="920">
        <f t="shared" ref="AW71:AW102" si="130">AS71+AU71</f>
        <v>15661846.813867634</v>
      </c>
      <c r="AX71" s="920">
        <f t="shared" si="29"/>
        <v>469855.40441602899</v>
      </c>
      <c r="AY71" s="919">
        <f t="shared" ref="AY71:AY102" si="131">AW71*$AY$5</f>
        <v>626473.87255470536</v>
      </c>
      <c r="AZ71" s="919"/>
      <c r="BA71" s="920">
        <f t="shared" ref="BA71:BA102" si="132">AW71+AY71</f>
        <v>16288320.686422339</v>
      </c>
      <c r="BB71" s="920">
        <f t="shared" si="30"/>
        <v>488649.62059267017</v>
      </c>
      <c r="BC71" s="919">
        <f t="shared" ref="BC71:BC102" si="133">BA71*$BC$5</f>
        <v>651532.82745689352</v>
      </c>
      <c r="BD71" s="919"/>
      <c r="BE71" s="975">
        <f t="shared" ref="BE71:BE102" si="134">BA71+BC71</f>
        <v>16939853.513879232</v>
      </c>
      <c r="BF71" s="975">
        <f t="shared" si="31"/>
        <v>508195.60541637696</v>
      </c>
      <c r="BG71" s="919">
        <f t="shared" ref="BG71:BG102" si="135">BE71*$BC$5</f>
        <v>677594.14055516932</v>
      </c>
      <c r="BH71" s="975"/>
      <c r="BI71" s="975">
        <f t="shared" ref="BI71:BI102" si="136">BE71+BG71</f>
        <v>17617447.654434402</v>
      </c>
      <c r="BJ71" s="975">
        <f t="shared" si="32"/>
        <v>528523.42963303206</v>
      </c>
      <c r="BK71" s="919">
        <f t="shared" ref="BK71:BK102" si="137">BI71*$BC$5</f>
        <v>704697.90617737605</v>
      </c>
      <c r="BL71" s="975"/>
      <c r="BM71" s="975">
        <f t="shared" ref="BM71:BM102" si="138">BI71+BK71</f>
        <v>18322145.560611777</v>
      </c>
      <c r="BN71" s="926">
        <f t="shared" ref="BN71:BN102" si="139">BM71*$BN$5</f>
        <v>1374160.9170458831</v>
      </c>
      <c r="BO71" s="926">
        <f t="shared" ref="BO71:BO102" si="140">BM71*$BO$5</f>
        <v>458053.63901529444</v>
      </c>
      <c r="BP71" s="926">
        <f t="shared" ref="BP71:BP102" si="141">BM71*$BP$5</f>
        <v>2198657.4672734132</v>
      </c>
      <c r="BQ71" s="926">
        <f t="shared" ref="BQ71:BQ102" si="142">BM71+BN71+BO71+BP71</f>
        <v>22353017.58394637</v>
      </c>
      <c r="BR71" s="926">
        <f t="shared" ref="BR71:BR102" si="143">BQ71/M71</f>
        <v>232456.50565668024</v>
      </c>
      <c r="BS71" s="963">
        <v>0.15</v>
      </c>
      <c r="BT71" s="954">
        <f t="shared" si="85"/>
        <v>3352952.6375919553</v>
      </c>
      <c r="BU71" s="926">
        <f t="shared" si="115"/>
        <v>50000</v>
      </c>
      <c r="BV71" s="954">
        <f t="shared" si="76"/>
        <v>471850.37679885078</v>
      </c>
      <c r="BW71" s="869">
        <f t="shared" si="35"/>
        <v>7</v>
      </c>
      <c r="BX71" s="954">
        <f t="shared" si="77"/>
        <v>19000064.946354415</v>
      </c>
      <c r="BZ71" s="959">
        <v>46082</v>
      </c>
      <c r="CA71" s="960">
        <f t="shared" si="37"/>
        <v>7</v>
      </c>
      <c r="CB71" s="960">
        <f t="shared" si="38"/>
        <v>8</v>
      </c>
      <c r="GI71" s="912"/>
    </row>
    <row r="72" spans="1:191" x14ac:dyDescent="0.2">
      <c r="A72" s="952">
        <f t="shared" si="39"/>
        <v>59</v>
      </c>
      <c r="B72" s="952">
        <f t="shared" si="39"/>
        <v>13</v>
      </c>
      <c r="C72" s="952" t="s">
        <v>558</v>
      </c>
      <c r="D72" s="952"/>
      <c r="E72" s="952" t="s">
        <v>152</v>
      </c>
      <c r="F72" s="869" t="s">
        <v>166</v>
      </c>
      <c r="G72" s="869" t="s">
        <v>136</v>
      </c>
      <c r="H72" s="869" t="s">
        <v>179</v>
      </c>
      <c r="I72" s="869" t="s">
        <v>113</v>
      </c>
      <c r="J72" s="926">
        <v>52.04</v>
      </c>
      <c r="K72" s="962">
        <v>3.1</v>
      </c>
      <c r="L72" s="962">
        <v>0</v>
      </c>
      <c r="M72" s="926">
        <f t="shared" si="70"/>
        <v>55.14</v>
      </c>
      <c r="N72" s="926"/>
      <c r="O72" s="926"/>
      <c r="P72" s="965"/>
      <c r="Q72" s="926">
        <f t="shared" si="79"/>
        <v>6869280</v>
      </c>
      <c r="R72" s="926">
        <f t="shared" si="80"/>
        <v>204600</v>
      </c>
      <c r="S72" s="926">
        <f t="shared" si="23"/>
        <v>7073880</v>
      </c>
      <c r="T72" s="926"/>
      <c r="U72" s="869">
        <v>4</v>
      </c>
      <c r="V72" s="926">
        <f t="shared" si="81"/>
        <v>110280</v>
      </c>
      <c r="W72" s="926">
        <f t="shared" si="120"/>
        <v>110280</v>
      </c>
      <c r="X72" s="954">
        <f t="shared" si="82"/>
        <v>35369.4</v>
      </c>
      <c r="Y72" s="961"/>
      <c r="Z72" s="926">
        <f t="shared" si="122"/>
        <v>55140</v>
      </c>
      <c r="AA72" s="961" t="str">
        <f t="shared" si="119"/>
        <v>INNER</v>
      </c>
      <c r="AB72" s="961" t="s">
        <v>573</v>
      </c>
      <c r="AC72" s="926">
        <f t="shared" si="121"/>
        <v>311069.40000000002</v>
      </c>
      <c r="AD72" s="926"/>
      <c r="AE72" s="956">
        <f t="shared" si="24"/>
        <v>7384949.4000000004</v>
      </c>
      <c r="AF72" s="956">
        <f t="shared" si="71"/>
        <v>227456.44152000002</v>
      </c>
      <c r="AG72" s="957">
        <f t="shared" si="72"/>
        <v>7612405.8415200002</v>
      </c>
      <c r="AH72" s="919">
        <f t="shared" si="73"/>
        <v>172801.61260250403</v>
      </c>
      <c r="AI72" s="957">
        <f t="shared" si="25"/>
        <v>7785207.4541225042</v>
      </c>
      <c r="AJ72" s="919">
        <f t="shared" si="74"/>
        <v>194630.18635306263</v>
      </c>
      <c r="AK72" s="920">
        <f t="shared" si="75"/>
        <v>7979837.6404755665</v>
      </c>
      <c r="AL72" s="919">
        <f t="shared" si="123"/>
        <v>199495.94101188917</v>
      </c>
      <c r="AM72" s="982">
        <f t="shared" ref="AM72:AM135" si="144">AK72+AL72</f>
        <v>8179333.5814874554</v>
      </c>
      <c r="AN72" s="919">
        <f t="shared" si="124"/>
        <v>204483.3395371864</v>
      </c>
      <c r="AO72" s="920">
        <f t="shared" ref="AO72:AO135" si="145">AM72+AN72</f>
        <v>8383816.921024642</v>
      </c>
      <c r="AP72" s="919">
        <f t="shared" si="125"/>
        <v>209595.42302561607</v>
      </c>
      <c r="AQ72" s="920">
        <f t="shared" si="126"/>
        <v>8593412.3440502584</v>
      </c>
      <c r="AR72" s="919">
        <f t="shared" si="127"/>
        <v>257802.37032150774</v>
      </c>
      <c r="AS72" s="920">
        <f t="shared" si="128"/>
        <v>8851214.7143717669</v>
      </c>
      <c r="AT72" s="920">
        <f t="shared" ref="AT72:AT135" si="146">AS72*$AT$5</f>
        <v>265536.44143115298</v>
      </c>
      <c r="AU72" s="919">
        <f t="shared" si="129"/>
        <v>354048.58857487066</v>
      </c>
      <c r="AV72" s="919"/>
      <c r="AW72" s="920">
        <f t="shared" si="130"/>
        <v>9205263.3029466383</v>
      </c>
      <c r="AX72" s="920">
        <f t="shared" ref="AX72:AX135" si="147">AW72*$AX$5</f>
        <v>276157.89908839914</v>
      </c>
      <c r="AY72" s="919">
        <f t="shared" si="131"/>
        <v>368210.53211786551</v>
      </c>
      <c r="AZ72" s="919"/>
      <c r="BA72" s="920">
        <f t="shared" si="132"/>
        <v>9573473.8350645043</v>
      </c>
      <c r="BB72" s="920">
        <f t="shared" ref="BB72:BB135" si="148">BA72*$BB$5</f>
        <v>287204.21505193511</v>
      </c>
      <c r="BC72" s="919">
        <f t="shared" si="133"/>
        <v>382938.95340258017</v>
      </c>
      <c r="BD72" s="919"/>
      <c r="BE72" s="975">
        <f t="shared" si="134"/>
        <v>9956412.788467085</v>
      </c>
      <c r="BF72" s="975">
        <f t="shared" ref="BF72:BF135" si="149">BE72*$BF$5</f>
        <v>298692.38365401252</v>
      </c>
      <c r="BG72" s="919">
        <f t="shared" si="135"/>
        <v>398256.51153868344</v>
      </c>
      <c r="BH72" s="975"/>
      <c r="BI72" s="975">
        <f t="shared" si="136"/>
        <v>10354669.300005767</v>
      </c>
      <c r="BJ72" s="975">
        <f t="shared" ref="BJ72:BJ135" si="150">BI72*$BJ$5</f>
        <v>310640.07900017302</v>
      </c>
      <c r="BK72" s="919">
        <f t="shared" si="137"/>
        <v>414186.77200023073</v>
      </c>
      <c r="BL72" s="975"/>
      <c r="BM72" s="975">
        <f t="shared" si="138"/>
        <v>10768856.072005998</v>
      </c>
      <c r="BN72" s="926">
        <f t="shared" si="139"/>
        <v>807664.20540044981</v>
      </c>
      <c r="BO72" s="926">
        <f t="shared" si="140"/>
        <v>269221.40180014999</v>
      </c>
      <c r="BP72" s="926">
        <f t="shared" si="141"/>
        <v>1292262.7286407198</v>
      </c>
      <c r="BQ72" s="926">
        <f t="shared" si="142"/>
        <v>13138004.407847319</v>
      </c>
      <c r="BR72" s="926">
        <f t="shared" si="143"/>
        <v>238266.31135015088</v>
      </c>
      <c r="BS72" s="963">
        <v>0.15</v>
      </c>
      <c r="BT72" s="954">
        <f t="shared" si="85"/>
        <v>1970700.6611770978</v>
      </c>
      <c r="BU72" s="926">
        <f t="shared" si="115"/>
        <v>50000</v>
      </c>
      <c r="BV72" s="954">
        <f t="shared" si="76"/>
        <v>274385.80873958539</v>
      </c>
      <c r="BW72" s="869">
        <f t="shared" si="35"/>
        <v>7</v>
      </c>
      <c r="BX72" s="954">
        <f t="shared" si="77"/>
        <v>11167303.74667022</v>
      </c>
      <c r="BZ72" s="959">
        <v>46082</v>
      </c>
      <c r="CA72" s="960">
        <f t="shared" si="37"/>
        <v>7</v>
      </c>
      <c r="CB72" s="960">
        <f t="shared" ref="CB72:CB135" si="151">CA72+1</f>
        <v>8</v>
      </c>
      <c r="GI72" s="912"/>
    </row>
    <row r="73" spans="1:191" x14ac:dyDescent="0.2">
      <c r="A73" s="952">
        <f t="shared" si="39"/>
        <v>60</v>
      </c>
      <c r="B73" s="952">
        <v>1</v>
      </c>
      <c r="C73" s="952" t="s">
        <v>104</v>
      </c>
      <c r="D73" s="952"/>
      <c r="E73" s="952" t="s">
        <v>166</v>
      </c>
      <c r="F73" s="869" t="s">
        <v>180</v>
      </c>
      <c r="G73" s="869" t="s">
        <v>107</v>
      </c>
      <c r="H73" s="869" t="s">
        <v>181</v>
      </c>
      <c r="I73" s="869" t="s">
        <v>572</v>
      </c>
      <c r="J73" s="926">
        <v>99.98</v>
      </c>
      <c r="K73" s="962">
        <v>10.29</v>
      </c>
      <c r="L73" s="962">
        <v>0</v>
      </c>
      <c r="M73" s="926">
        <f t="shared" si="70"/>
        <v>110.27000000000001</v>
      </c>
      <c r="N73" s="926"/>
      <c r="O73" s="926"/>
      <c r="P73" s="965"/>
      <c r="Q73" s="926">
        <f t="shared" si="79"/>
        <v>13197360</v>
      </c>
      <c r="R73" s="926">
        <f t="shared" si="80"/>
        <v>679140</v>
      </c>
      <c r="S73" s="926">
        <f t="shared" si="23"/>
        <v>13876500</v>
      </c>
      <c r="T73" s="926"/>
      <c r="U73" s="869">
        <v>5</v>
      </c>
      <c r="V73" s="926">
        <f t="shared" si="81"/>
        <v>275675</v>
      </c>
      <c r="W73" s="926"/>
      <c r="X73" s="954">
        <f t="shared" si="82"/>
        <v>69382.5</v>
      </c>
      <c r="Y73" s="926">
        <f>M73*$Y$5</f>
        <v>220540.00000000003</v>
      </c>
      <c r="Z73" s="926">
        <f t="shared" si="122"/>
        <v>110270.00000000001</v>
      </c>
      <c r="AA73" s="961" t="str">
        <f t="shared" ref="AA73:AA85" si="152">AA21</f>
        <v>CORNER</v>
      </c>
      <c r="AB73" s="961" t="s">
        <v>573</v>
      </c>
      <c r="AC73" s="926">
        <f t="shared" si="114"/>
        <v>675867.5</v>
      </c>
      <c r="AD73" s="926"/>
      <c r="AE73" s="956">
        <f t="shared" si="24"/>
        <v>14552367.5</v>
      </c>
      <c r="AF73" s="956">
        <f t="shared" si="71"/>
        <v>448212.91899999999</v>
      </c>
      <c r="AG73" s="957">
        <f t="shared" si="72"/>
        <v>15000580.419</v>
      </c>
      <c r="AH73" s="919">
        <f t="shared" si="73"/>
        <v>340513.17551130004</v>
      </c>
      <c r="AI73" s="957">
        <f t="shared" si="25"/>
        <v>15341093.5945113</v>
      </c>
      <c r="AJ73" s="919">
        <f t="shared" si="74"/>
        <v>383527.33986278251</v>
      </c>
      <c r="AK73" s="920">
        <f t="shared" si="75"/>
        <v>15724620.934374083</v>
      </c>
      <c r="AL73" s="919">
        <f t="shared" si="123"/>
        <v>393115.52335935208</v>
      </c>
      <c r="AM73" s="982">
        <f t="shared" si="144"/>
        <v>16117736.457733436</v>
      </c>
      <c r="AN73" s="919">
        <f t="shared" si="124"/>
        <v>402943.41144333594</v>
      </c>
      <c r="AO73" s="920">
        <f t="shared" si="145"/>
        <v>16520679.869176771</v>
      </c>
      <c r="AP73" s="919">
        <f t="shared" si="125"/>
        <v>413016.99672941933</v>
      </c>
      <c r="AQ73" s="920">
        <f t="shared" si="126"/>
        <v>16933696.86590619</v>
      </c>
      <c r="AR73" s="919">
        <f t="shared" si="127"/>
        <v>508010.9059771857</v>
      </c>
      <c r="AS73" s="920">
        <f t="shared" si="128"/>
        <v>17441707.771883376</v>
      </c>
      <c r="AT73" s="920">
        <f t="shared" si="146"/>
        <v>523251.23315650126</v>
      </c>
      <c r="AU73" s="919">
        <f t="shared" si="129"/>
        <v>697668.31087533501</v>
      </c>
      <c r="AV73" s="919"/>
      <c r="AW73" s="920">
        <f t="shared" si="130"/>
        <v>18139376.08275871</v>
      </c>
      <c r="AX73" s="920">
        <f t="shared" si="147"/>
        <v>544181.28248276131</v>
      </c>
      <c r="AY73" s="919">
        <f t="shared" si="131"/>
        <v>725575.04331034841</v>
      </c>
      <c r="AZ73" s="919"/>
      <c r="BA73" s="920">
        <f t="shared" si="132"/>
        <v>18864951.126069058</v>
      </c>
      <c r="BB73" s="920">
        <f t="shared" si="148"/>
        <v>565948.53378207167</v>
      </c>
      <c r="BC73" s="919">
        <f t="shared" si="133"/>
        <v>754598.0450427623</v>
      </c>
      <c r="BD73" s="919"/>
      <c r="BE73" s="975">
        <f t="shared" si="134"/>
        <v>19619549.171111818</v>
      </c>
      <c r="BF73" s="975">
        <f t="shared" si="149"/>
        <v>588586.47513335454</v>
      </c>
      <c r="BG73" s="919">
        <f t="shared" si="135"/>
        <v>784781.9668444728</v>
      </c>
      <c r="BH73" s="975"/>
      <c r="BI73" s="975">
        <f t="shared" si="136"/>
        <v>20404331.137956291</v>
      </c>
      <c r="BJ73" s="975">
        <f t="shared" si="150"/>
        <v>612129.93413868872</v>
      </c>
      <c r="BK73" s="919">
        <f t="shared" si="137"/>
        <v>816173.24551825167</v>
      </c>
      <c r="BL73" s="975"/>
      <c r="BM73" s="975">
        <f t="shared" si="138"/>
        <v>21220504.383474544</v>
      </c>
      <c r="BN73" s="926">
        <f t="shared" si="139"/>
        <v>1591537.8287605906</v>
      </c>
      <c r="BO73" s="926">
        <f t="shared" si="140"/>
        <v>530512.60958686366</v>
      </c>
      <c r="BP73" s="926">
        <f t="shared" si="141"/>
        <v>2546460.526016945</v>
      </c>
      <c r="BQ73" s="926">
        <f t="shared" si="142"/>
        <v>25889015.347838946</v>
      </c>
      <c r="BR73" s="926">
        <f t="shared" si="143"/>
        <v>234778.41069954605</v>
      </c>
      <c r="BS73" s="963">
        <v>0.15</v>
      </c>
      <c r="BT73" s="954">
        <f t="shared" si="85"/>
        <v>3883352.3021758418</v>
      </c>
      <c r="BU73" s="926">
        <f t="shared" si="115"/>
        <v>50000</v>
      </c>
      <c r="BV73" s="954">
        <f t="shared" si="76"/>
        <v>547621.75745369168</v>
      </c>
      <c r="BW73" s="869">
        <f t="shared" si="35"/>
        <v>7</v>
      </c>
      <c r="BX73" s="954">
        <f t="shared" si="77"/>
        <v>22005663.045663103</v>
      </c>
      <c r="BZ73" s="959">
        <v>46082</v>
      </c>
      <c r="CA73" s="960">
        <f t="shared" si="37"/>
        <v>7</v>
      </c>
      <c r="CB73" s="960">
        <f t="shared" si="151"/>
        <v>8</v>
      </c>
      <c r="GI73" s="912"/>
    </row>
    <row r="74" spans="1:191" x14ac:dyDescent="0.2">
      <c r="A74" s="952">
        <f t="shared" si="39"/>
        <v>61</v>
      </c>
      <c r="B74" s="952">
        <f>B73+1</f>
        <v>2</v>
      </c>
      <c r="C74" s="952" t="s">
        <v>558</v>
      </c>
      <c r="D74" s="952"/>
      <c r="E74" s="952" t="s">
        <v>166</v>
      </c>
      <c r="F74" s="869" t="s">
        <v>180</v>
      </c>
      <c r="G74" s="869" t="s">
        <v>111</v>
      </c>
      <c r="H74" s="869" t="s">
        <v>182</v>
      </c>
      <c r="I74" s="869" t="s">
        <v>113</v>
      </c>
      <c r="J74" s="926">
        <v>52.86</v>
      </c>
      <c r="K74" s="962">
        <v>5.09</v>
      </c>
      <c r="L74" s="962">
        <v>0</v>
      </c>
      <c r="M74" s="926">
        <f t="shared" si="70"/>
        <v>57.95</v>
      </c>
      <c r="N74" s="926"/>
      <c r="O74" s="926"/>
      <c r="P74" s="965"/>
      <c r="Q74" s="926">
        <f t="shared" si="79"/>
        <v>6977520</v>
      </c>
      <c r="R74" s="926">
        <f t="shared" si="80"/>
        <v>335940</v>
      </c>
      <c r="S74" s="926">
        <f t="shared" si="23"/>
        <v>7313460</v>
      </c>
      <c r="T74" s="926"/>
      <c r="U74" s="869">
        <v>5</v>
      </c>
      <c r="V74" s="926">
        <f t="shared" si="81"/>
        <v>144875</v>
      </c>
      <c r="W74" s="926"/>
      <c r="X74" s="954">
        <f t="shared" si="82"/>
        <v>36567.300000000003</v>
      </c>
      <c r="Y74" s="961"/>
      <c r="Z74" s="926">
        <f t="shared" si="122"/>
        <v>57950</v>
      </c>
      <c r="AA74" s="961" t="str">
        <f t="shared" si="152"/>
        <v>INNER</v>
      </c>
      <c r="AB74" s="961" t="s">
        <v>573</v>
      </c>
      <c r="AC74" s="926">
        <f t="shared" si="114"/>
        <v>239392.3</v>
      </c>
      <c r="AD74" s="926"/>
      <c r="AE74" s="956">
        <f t="shared" si="24"/>
        <v>7552852.2999999998</v>
      </c>
      <c r="AF74" s="956">
        <f t="shared" si="71"/>
        <v>232627.85084</v>
      </c>
      <c r="AG74" s="957">
        <f t="shared" si="72"/>
        <v>7785480.1508400002</v>
      </c>
      <c r="AH74" s="919">
        <f t="shared" si="73"/>
        <v>176730.39942406802</v>
      </c>
      <c r="AI74" s="957">
        <f t="shared" si="25"/>
        <v>7962210.5502640679</v>
      </c>
      <c r="AJ74" s="919">
        <f t="shared" si="74"/>
        <v>199055.26375660172</v>
      </c>
      <c r="AK74" s="920">
        <f t="shared" si="75"/>
        <v>8161265.81402067</v>
      </c>
      <c r="AL74" s="919">
        <f t="shared" si="123"/>
        <v>204031.64535051677</v>
      </c>
      <c r="AM74" s="982">
        <f t="shared" si="144"/>
        <v>8365297.4593711868</v>
      </c>
      <c r="AN74" s="919">
        <f t="shared" si="124"/>
        <v>209132.43648427969</v>
      </c>
      <c r="AO74" s="920">
        <f t="shared" si="145"/>
        <v>8574429.8958554659</v>
      </c>
      <c r="AP74" s="919">
        <f t="shared" si="125"/>
        <v>214360.74739638667</v>
      </c>
      <c r="AQ74" s="920">
        <f t="shared" si="126"/>
        <v>8788790.6432518531</v>
      </c>
      <c r="AR74" s="919">
        <f t="shared" si="127"/>
        <v>263663.71929755557</v>
      </c>
      <c r="AS74" s="920">
        <f t="shared" si="128"/>
        <v>9052454.3625494093</v>
      </c>
      <c r="AT74" s="920">
        <f t="shared" si="146"/>
        <v>271573.63087648229</v>
      </c>
      <c r="AU74" s="919">
        <f t="shared" si="129"/>
        <v>362098.17450197641</v>
      </c>
      <c r="AV74" s="919"/>
      <c r="AW74" s="920">
        <f t="shared" si="130"/>
        <v>9414552.5370513853</v>
      </c>
      <c r="AX74" s="920">
        <f t="shared" si="147"/>
        <v>282436.57611154154</v>
      </c>
      <c r="AY74" s="919">
        <f t="shared" si="131"/>
        <v>376582.10148205544</v>
      </c>
      <c r="AZ74" s="919"/>
      <c r="BA74" s="920">
        <f t="shared" si="132"/>
        <v>9791134.6385334413</v>
      </c>
      <c r="BB74" s="920">
        <f t="shared" si="148"/>
        <v>293734.03915600321</v>
      </c>
      <c r="BC74" s="919">
        <f t="shared" si="133"/>
        <v>391645.38554133766</v>
      </c>
      <c r="BD74" s="919"/>
      <c r="BE74" s="975">
        <f t="shared" si="134"/>
        <v>10182780.02407478</v>
      </c>
      <c r="BF74" s="975">
        <f t="shared" si="149"/>
        <v>305483.40072224336</v>
      </c>
      <c r="BG74" s="919">
        <f t="shared" si="135"/>
        <v>407311.20096299122</v>
      </c>
      <c r="BH74" s="975"/>
      <c r="BI74" s="975">
        <f t="shared" si="136"/>
        <v>10590091.22503777</v>
      </c>
      <c r="BJ74" s="975">
        <f t="shared" si="150"/>
        <v>317702.73675113311</v>
      </c>
      <c r="BK74" s="919">
        <f t="shared" si="137"/>
        <v>423603.64900151081</v>
      </c>
      <c r="BL74" s="975"/>
      <c r="BM74" s="975">
        <f t="shared" si="138"/>
        <v>11013694.874039281</v>
      </c>
      <c r="BN74" s="926">
        <f t="shared" si="139"/>
        <v>826027.11555294611</v>
      </c>
      <c r="BO74" s="926">
        <f t="shared" si="140"/>
        <v>275342.37185098202</v>
      </c>
      <c r="BP74" s="926">
        <f t="shared" si="141"/>
        <v>1321643.3848847137</v>
      </c>
      <c r="BQ74" s="926">
        <f t="shared" si="142"/>
        <v>13436707.746327924</v>
      </c>
      <c r="BR74" s="926">
        <f t="shared" si="143"/>
        <v>231867.26050609013</v>
      </c>
      <c r="BS74" s="963">
        <v>0.15</v>
      </c>
      <c r="BT74" s="954">
        <f t="shared" si="85"/>
        <v>2015506.1619491884</v>
      </c>
      <c r="BU74" s="926">
        <f t="shared" si="115"/>
        <v>50000</v>
      </c>
      <c r="BV74" s="954">
        <f t="shared" si="76"/>
        <v>280786.59456416976</v>
      </c>
      <c r="BW74" s="869">
        <f t="shared" si="35"/>
        <v>7</v>
      </c>
      <c r="BX74" s="954">
        <f t="shared" si="77"/>
        <v>11421201.584378734</v>
      </c>
      <c r="BZ74" s="959">
        <v>46082</v>
      </c>
      <c r="CA74" s="960">
        <f t="shared" si="37"/>
        <v>7</v>
      </c>
      <c r="CB74" s="960">
        <f t="shared" si="151"/>
        <v>8</v>
      </c>
      <c r="GI74" s="912"/>
    </row>
    <row r="75" spans="1:191" x14ac:dyDescent="0.2">
      <c r="A75" s="952">
        <f t="shared" si="39"/>
        <v>62</v>
      </c>
      <c r="B75" s="952">
        <f t="shared" si="39"/>
        <v>3</v>
      </c>
      <c r="C75" s="952" t="s">
        <v>558</v>
      </c>
      <c r="D75" s="952"/>
      <c r="E75" s="952" t="s">
        <v>166</v>
      </c>
      <c r="F75" s="869" t="s">
        <v>180</v>
      </c>
      <c r="G75" s="869" t="s">
        <v>115</v>
      </c>
      <c r="H75" s="869" t="s">
        <v>183</v>
      </c>
      <c r="I75" s="869" t="s">
        <v>109</v>
      </c>
      <c r="J75" s="926">
        <v>57.5</v>
      </c>
      <c r="K75" s="962">
        <v>5.09</v>
      </c>
      <c r="L75" s="962">
        <v>0</v>
      </c>
      <c r="M75" s="926">
        <f t="shared" si="70"/>
        <v>62.59</v>
      </c>
      <c r="N75" s="926"/>
      <c r="O75" s="926"/>
      <c r="P75" s="965"/>
      <c r="Q75" s="926">
        <f t="shared" si="79"/>
        <v>7590000</v>
      </c>
      <c r="R75" s="926">
        <f t="shared" si="80"/>
        <v>335940</v>
      </c>
      <c r="S75" s="926">
        <f t="shared" si="23"/>
        <v>7925940</v>
      </c>
      <c r="T75" s="926"/>
      <c r="U75" s="869">
        <v>5</v>
      </c>
      <c r="V75" s="926">
        <f t="shared" si="81"/>
        <v>156475.00000000003</v>
      </c>
      <c r="W75" s="926"/>
      <c r="X75" s="954">
        <f t="shared" si="82"/>
        <v>39629.700000000004</v>
      </c>
      <c r="Y75" s="961"/>
      <c r="Z75" s="926">
        <f t="shared" si="122"/>
        <v>62590</v>
      </c>
      <c r="AA75" s="961" t="str">
        <f t="shared" si="152"/>
        <v>INNER</v>
      </c>
      <c r="AB75" s="961" t="s">
        <v>573</v>
      </c>
      <c r="AC75" s="926">
        <f t="shared" si="114"/>
        <v>258694.70000000004</v>
      </c>
      <c r="AD75" s="926"/>
      <c r="AE75" s="956">
        <f t="shared" si="24"/>
        <v>8184634.7000000002</v>
      </c>
      <c r="AF75" s="956">
        <f t="shared" si="71"/>
        <v>252086.74876000002</v>
      </c>
      <c r="AG75" s="957">
        <f t="shared" si="72"/>
        <v>8436721.448760001</v>
      </c>
      <c r="AH75" s="919">
        <f t="shared" si="73"/>
        <v>191513.57688685204</v>
      </c>
      <c r="AI75" s="957">
        <f t="shared" si="25"/>
        <v>8628235.0256468523</v>
      </c>
      <c r="AJ75" s="919">
        <f t="shared" si="74"/>
        <v>215705.87564117133</v>
      </c>
      <c r="AK75" s="920">
        <f t="shared" si="75"/>
        <v>8843940.9012880232</v>
      </c>
      <c r="AL75" s="919">
        <f t="shared" si="123"/>
        <v>221098.52253220059</v>
      </c>
      <c r="AM75" s="982">
        <f t="shared" si="144"/>
        <v>9065039.4238202237</v>
      </c>
      <c r="AN75" s="919">
        <f t="shared" si="124"/>
        <v>226625.9855955056</v>
      </c>
      <c r="AO75" s="920">
        <f t="shared" si="145"/>
        <v>9291665.4094157293</v>
      </c>
      <c r="AP75" s="919">
        <f t="shared" si="125"/>
        <v>232291.63523539325</v>
      </c>
      <c r="AQ75" s="920">
        <f t="shared" si="126"/>
        <v>9523957.0446511228</v>
      </c>
      <c r="AR75" s="919">
        <f t="shared" si="127"/>
        <v>285718.71133953368</v>
      </c>
      <c r="AS75" s="920">
        <f t="shared" si="128"/>
        <v>9809675.7559906561</v>
      </c>
      <c r="AT75" s="920">
        <f t="shared" si="146"/>
        <v>294290.27267971967</v>
      </c>
      <c r="AU75" s="919">
        <f t="shared" si="129"/>
        <v>392387.03023962624</v>
      </c>
      <c r="AV75" s="919"/>
      <c r="AW75" s="920">
        <f t="shared" si="130"/>
        <v>10202062.786230283</v>
      </c>
      <c r="AX75" s="920">
        <f t="shared" si="147"/>
        <v>306061.88358690846</v>
      </c>
      <c r="AY75" s="919">
        <f t="shared" si="131"/>
        <v>408082.51144921134</v>
      </c>
      <c r="AZ75" s="919"/>
      <c r="BA75" s="920">
        <f t="shared" si="132"/>
        <v>10610145.297679495</v>
      </c>
      <c r="BB75" s="920">
        <f t="shared" si="148"/>
        <v>318304.35893038486</v>
      </c>
      <c r="BC75" s="919">
        <f t="shared" si="133"/>
        <v>424405.81190717983</v>
      </c>
      <c r="BD75" s="919"/>
      <c r="BE75" s="975">
        <f t="shared" si="134"/>
        <v>11034551.109586675</v>
      </c>
      <c r="BF75" s="975">
        <f t="shared" si="149"/>
        <v>331036.53328760021</v>
      </c>
      <c r="BG75" s="919">
        <f t="shared" si="135"/>
        <v>441382.044383467</v>
      </c>
      <c r="BH75" s="975"/>
      <c r="BI75" s="975">
        <f t="shared" si="136"/>
        <v>11475933.153970141</v>
      </c>
      <c r="BJ75" s="975">
        <f t="shared" si="150"/>
        <v>344277.9946191042</v>
      </c>
      <c r="BK75" s="919">
        <f t="shared" si="137"/>
        <v>459037.32615880563</v>
      </c>
      <c r="BL75" s="975"/>
      <c r="BM75" s="975">
        <f t="shared" si="138"/>
        <v>11934970.480128946</v>
      </c>
      <c r="BN75" s="926">
        <f t="shared" si="139"/>
        <v>895122.78600967093</v>
      </c>
      <c r="BO75" s="926">
        <f t="shared" si="140"/>
        <v>298374.26200322364</v>
      </c>
      <c r="BP75" s="926">
        <f t="shared" si="141"/>
        <v>1432196.4576154735</v>
      </c>
      <c r="BQ75" s="926">
        <f t="shared" si="142"/>
        <v>14560663.985757316</v>
      </c>
      <c r="BR75" s="926">
        <f t="shared" si="143"/>
        <v>232635.62846712436</v>
      </c>
      <c r="BS75" s="963">
        <v>0.15</v>
      </c>
      <c r="BT75" s="954">
        <f t="shared" si="85"/>
        <v>2184099.5978635973</v>
      </c>
      <c r="BU75" s="926">
        <f t="shared" si="115"/>
        <v>50000</v>
      </c>
      <c r="BV75" s="954">
        <f t="shared" si="76"/>
        <v>304871.37112337106</v>
      </c>
      <c r="BW75" s="869">
        <f t="shared" si="35"/>
        <v>7</v>
      </c>
      <c r="BX75" s="954">
        <f t="shared" si="77"/>
        <v>12376564.387893718</v>
      </c>
      <c r="BZ75" s="959">
        <v>46082</v>
      </c>
      <c r="CA75" s="960">
        <f t="shared" si="37"/>
        <v>7</v>
      </c>
      <c r="CB75" s="960">
        <f t="shared" si="151"/>
        <v>8</v>
      </c>
      <c r="GI75" s="912"/>
    </row>
    <row r="76" spans="1:191" x14ac:dyDescent="0.2">
      <c r="A76" s="952">
        <f t="shared" si="39"/>
        <v>63</v>
      </c>
      <c r="B76" s="952">
        <f t="shared" si="39"/>
        <v>4</v>
      </c>
      <c r="C76" s="952" t="s">
        <v>558</v>
      </c>
      <c r="D76" s="952"/>
      <c r="E76" s="952" t="s">
        <v>166</v>
      </c>
      <c r="F76" s="869" t="s">
        <v>180</v>
      </c>
      <c r="G76" s="869" t="s">
        <v>117</v>
      </c>
      <c r="H76" s="869" t="s">
        <v>184</v>
      </c>
      <c r="I76" s="869" t="s">
        <v>109</v>
      </c>
      <c r="J76" s="926">
        <v>62.11</v>
      </c>
      <c r="K76" s="962">
        <v>5.19</v>
      </c>
      <c r="L76" s="962">
        <v>0</v>
      </c>
      <c r="M76" s="926">
        <f t="shared" si="70"/>
        <v>67.3</v>
      </c>
      <c r="N76" s="926"/>
      <c r="O76" s="926"/>
      <c r="P76" s="965"/>
      <c r="Q76" s="926">
        <f t="shared" si="79"/>
        <v>8198520</v>
      </c>
      <c r="R76" s="926">
        <f t="shared" si="80"/>
        <v>342540</v>
      </c>
      <c r="S76" s="926">
        <f t="shared" si="23"/>
        <v>8541060</v>
      </c>
      <c r="T76" s="926"/>
      <c r="U76" s="869">
        <v>5</v>
      </c>
      <c r="V76" s="926">
        <f t="shared" si="81"/>
        <v>168250</v>
      </c>
      <c r="W76" s="926"/>
      <c r="X76" s="954">
        <f t="shared" si="82"/>
        <v>42705.3</v>
      </c>
      <c r="Y76" s="961"/>
      <c r="Z76" s="926">
        <f t="shared" si="122"/>
        <v>67300</v>
      </c>
      <c r="AA76" s="961" t="str">
        <f t="shared" si="152"/>
        <v>INNER</v>
      </c>
      <c r="AB76" s="961" t="s">
        <v>573</v>
      </c>
      <c r="AC76" s="926">
        <f t="shared" si="114"/>
        <v>278255.3</v>
      </c>
      <c r="AD76" s="926"/>
      <c r="AE76" s="956">
        <f t="shared" si="24"/>
        <v>8819315.3000000007</v>
      </c>
      <c r="AF76" s="956">
        <f t="shared" si="71"/>
        <v>271634.91124000004</v>
      </c>
      <c r="AG76" s="957">
        <f t="shared" si="72"/>
        <v>9090950.211240001</v>
      </c>
      <c r="AH76" s="919">
        <f t="shared" si="73"/>
        <v>206364.56979514804</v>
      </c>
      <c r="AI76" s="957">
        <f t="shared" si="25"/>
        <v>9297314.7810351495</v>
      </c>
      <c r="AJ76" s="919">
        <f t="shared" si="74"/>
        <v>232432.86952587875</v>
      </c>
      <c r="AK76" s="920">
        <f t="shared" si="75"/>
        <v>9529747.6505610291</v>
      </c>
      <c r="AL76" s="919">
        <f t="shared" si="123"/>
        <v>238243.69126402575</v>
      </c>
      <c r="AM76" s="982">
        <f t="shared" si="144"/>
        <v>9767991.341825055</v>
      </c>
      <c r="AN76" s="919">
        <f t="shared" si="124"/>
        <v>244199.78354562639</v>
      </c>
      <c r="AO76" s="920">
        <f t="shared" si="145"/>
        <v>10012191.125370681</v>
      </c>
      <c r="AP76" s="919">
        <f t="shared" si="125"/>
        <v>250304.77813426705</v>
      </c>
      <c r="AQ76" s="920">
        <f t="shared" si="126"/>
        <v>10262495.903504949</v>
      </c>
      <c r="AR76" s="919">
        <f t="shared" si="127"/>
        <v>307874.87710514845</v>
      </c>
      <c r="AS76" s="920">
        <f t="shared" si="128"/>
        <v>10570370.780610098</v>
      </c>
      <c r="AT76" s="920">
        <f t="shared" si="146"/>
        <v>317111.12341830292</v>
      </c>
      <c r="AU76" s="919">
        <f t="shared" si="129"/>
        <v>422814.83122440393</v>
      </c>
      <c r="AV76" s="919"/>
      <c r="AW76" s="920">
        <f t="shared" si="130"/>
        <v>10993185.611834502</v>
      </c>
      <c r="AX76" s="920">
        <f t="shared" si="147"/>
        <v>329795.56835503504</v>
      </c>
      <c r="AY76" s="919">
        <f t="shared" si="131"/>
        <v>439727.42447338009</v>
      </c>
      <c r="AZ76" s="919"/>
      <c r="BA76" s="920">
        <f t="shared" si="132"/>
        <v>11432913.036307883</v>
      </c>
      <c r="BB76" s="920">
        <f t="shared" si="148"/>
        <v>342987.39108923648</v>
      </c>
      <c r="BC76" s="919">
        <f t="shared" si="133"/>
        <v>457316.52145231533</v>
      </c>
      <c r="BD76" s="919"/>
      <c r="BE76" s="975">
        <f t="shared" si="134"/>
        <v>11890229.557760198</v>
      </c>
      <c r="BF76" s="975">
        <f t="shared" si="149"/>
        <v>356706.88673280593</v>
      </c>
      <c r="BG76" s="919">
        <f t="shared" si="135"/>
        <v>475609.18231040792</v>
      </c>
      <c r="BH76" s="975"/>
      <c r="BI76" s="975">
        <f t="shared" si="136"/>
        <v>12365838.740070606</v>
      </c>
      <c r="BJ76" s="975">
        <f t="shared" si="150"/>
        <v>370975.16220211814</v>
      </c>
      <c r="BK76" s="919">
        <f t="shared" si="137"/>
        <v>494633.54960282426</v>
      </c>
      <c r="BL76" s="975"/>
      <c r="BM76" s="975">
        <f t="shared" si="138"/>
        <v>12860472.289673429</v>
      </c>
      <c r="BN76" s="926">
        <f t="shared" si="139"/>
        <v>964535.42172550713</v>
      </c>
      <c r="BO76" s="926">
        <f t="shared" si="140"/>
        <v>321511.80724183575</v>
      </c>
      <c r="BP76" s="926">
        <f t="shared" si="141"/>
        <v>1543256.6747608115</v>
      </c>
      <c r="BQ76" s="926">
        <f t="shared" si="142"/>
        <v>15689776.193401584</v>
      </c>
      <c r="BR76" s="926">
        <f t="shared" si="143"/>
        <v>233131.88994653174</v>
      </c>
      <c r="BS76" s="963">
        <v>0.15</v>
      </c>
      <c r="BT76" s="954">
        <f t="shared" si="85"/>
        <v>2353466.4290102376</v>
      </c>
      <c r="BU76" s="926">
        <f t="shared" si="115"/>
        <v>50000</v>
      </c>
      <c r="BV76" s="954">
        <f t="shared" si="76"/>
        <v>329066.63271574822</v>
      </c>
      <c r="BW76" s="869">
        <f t="shared" si="35"/>
        <v>7</v>
      </c>
      <c r="BX76" s="954">
        <f t="shared" si="77"/>
        <v>13336309.764391348</v>
      </c>
      <c r="BZ76" s="959">
        <v>46082</v>
      </c>
      <c r="CA76" s="960">
        <f t="shared" si="37"/>
        <v>7</v>
      </c>
      <c r="CB76" s="960">
        <f t="shared" si="151"/>
        <v>8</v>
      </c>
      <c r="GI76" s="912"/>
    </row>
    <row r="77" spans="1:191" x14ac:dyDescent="0.2">
      <c r="A77" s="952">
        <f t="shared" si="39"/>
        <v>64</v>
      </c>
      <c r="B77" s="952">
        <f t="shared" si="39"/>
        <v>5</v>
      </c>
      <c r="C77" s="952" t="s">
        <v>558</v>
      </c>
      <c r="D77" s="952"/>
      <c r="E77" s="952" t="s">
        <v>166</v>
      </c>
      <c r="F77" s="869" t="s">
        <v>180</v>
      </c>
      <c r="G77" s="869" t="s">
        <v>119</v>
      </c>
      <c r="H77" s="869" t="s">
        <v>185</v>
      </c>
      <c r="I77" s="869" t="s">
        <v>109</v>
      </c>
      <c r="J77" s="926">
        <v>80.900000000000006</v>
      </c>
      <c r="K77" s="962">
        <v>15.65</v>
      </c>
      <c r="L77" s="962">
        <v>0</v>
      </c>
      <c r="M77" s="926">
        <f t="shared" si="70"/>
        <v>96.550000000000011</v>
      </c>
      <c r="N77" s="926"/>
      <c r="O77" s="926"/>
      <c r="P77" s="965"/>
      <c r="Q77" s="926">
        <f t="shared" si="79"/>
        <v>10678800</v>
      </c>
      <c r="R77" s="926">
        <f t="shared" si="80"/>
        <v>1032900</v>
      </c>
      <c r="S77" s="926">
        <f t="shared" si="23"/>
        <v>11711700</v>
      </c>
      <c r="T77" s="926"/>
      <c r="U77" s="869">
        <v>5</v>
      </c>
      <c r="V77" s="926">
        <f t="shared" si="81"/>
        <v>241375.00000000003</v>
      </c>
      <c r="W77" s="926"/>
      <c r="X77" s="954">
        <f t="shared" si="82"/>
        <v>58558.5</v>
      </c>
      <c r="Y77" s="926">
        <f>M77*$Y$5</f>
        <v>193100.00000000003</v>
      </c>
      <c r="Z77" s="926">
        <f t="shared" si="122"/>
        <v>96550.000000000015</v>
      </c>
      <c r="AA77" s="961" t="str">
        <f t="shared" si="152"/>
        <v>CORNER</v>
      </c>
      <c r="AB77" s="961" t="s">
        <v>573</v>
      </c>
      <c r="AC77" s="926">
        <f t="shared" si="114"/>
        <v>589583.5</v>
      </c>
      <c r="AD77" s="926"/>
      <c r="AE77" s="956">
        <f t="shared" si="24"/>
        <v>12301283.5</v>
      </c>
      <c r="AF77" s="956">
        <f t="shared" si="71"/>
        <v>378879.5318</v>
      </c>
      <c r="AG77" s="957">
        <f t="shared" si="72"/>
        <v>12680163.0318</v>
      </c>
      <c r="AH77" s="919">
        <f t="shared" si="73"/>
        <v>287839.70082185999</v>
      </c>
      <c r="AI77" s="957">
        <f t="shared" si="25"/>
        <v>12968002.73262186</v>
      </c>
      <c r="AJ77" s="919">
        <f t="shared" si="74"/>
        <v>324200.06831554649</v>
      </c>
      <c r="AK77" s="920">
        <f t="shared" si="75"/>
        <v>13292202.800937407</v>
      </c>
      <c r="AL77" s="919">
        <f t="shared" si="123"/>
        <v>332305.07002343517</v>
      </c>
      <c r="AM77" s="982">
        <f t="shared" si="144"/>
        <v>13624507.870960843</v>
      </c>
      <c r="AN77" s="919">
        <f t="shared" si="124"/>
        <v>340612.69677402108</v>
      </c>
      <c r="AO77" s="920">
        <f t="shared" si="145"/>
        <v>13965120.567734864</v>
      </c>
      <c r="AP77" s="919">
        <f t="shared" si="125"/>
        <v>349128.01419337164</v>
      </c>
      <c r="AQ77" s="920">
        <f t="shared" si="126"/>
        <v>14314248.581928235</v>
      </c>
      <c r="AR77" s="919">
        <f t="shared" si="127"/>
        <v>429427.45745784702</v>
      </c>
      <c r="AS77" s="920">
        <f t="shared" si="128"/>
        <v>14743676.039386082</v>
      </c>
      <c r="AT77" s="920">
        <f t="shared" si="146"/>
        <v>442310.28118158248</v>
      </c>
      <c r="AU77" s="919">
        <f t="shared" si="129"/>
        <v>589747.04157544335</v>
      </c>
      <c r="AV77" s="919"/>
      <c r="AW77" s="920">
        <f t="shared" si="130"/>
        <v>15333423.080961525</v>
      </c>
      <c r="AX77" s="920">
        <f t="shared" si="147"/>
        <v>460002.69242884574</v>
      </c>
      <c r="AY77" s="919">
        <f t="shared" si="131"/>
        <v>613336.92323846102</v>
      </c>
      <c r="AZ77" s="919"/>
      <c r="BA77" s="920">
        <f t="shared" si="132"/>
        <v>15946760.004199987</v>
      </c>
      <c r="BB77" s="920">
        <f t="shared" si="148"/>
        <v>478402.80012599961</v>
      </c>
      <c r="BC77" s="919">
        <f t="shared" si="133"/>
        <v>637870.40016799956</v>
      </c>
      <c r="BD77" s="919"/>
      <c r="BE77" s="975">
        <f t="shared" si="134"/>
        <v>16584630.404367987</v>
      </c>
      <c r="BF77" s="975">
        <f t="shared" si="149"/>
        <v>497538.9121310396</v>
      </c>
      <c r="BG77" s="919">
        <f t="shared" si="135"/>
        <v>663385.21617471951</v>
      </c>
      <c r="BH77" s="975"/>
      <c r="BI77" s="975">
        <f t="shared" si="136"/>
        <v>17248015.620542705</v>
      </c>
      <c r="BJ77" s="975">
        <f t="shared" si="150"/>
        <v>517440.46861628111</v>
      </c>
      <c r="BK77" s="919">
        <f t="shared" si="137"/>
        <v>689920.62482170819</v>
      </c>
      <c r="BL77" s="975"/>
      <c r="BM77" s="975">
        <f t="shared" si="138"/>
        <v>17937936.245364413</v>
      </c>
      <c r="BN77" s="926">
        <f t="shared" si="139"/>
        <v>1345345.218402331</v>
      </c>
      <c r="BO77" s="926">
        <f t="shared" si="140"/>
        <v>448448.40613411035</v>
      </c>
      <c r="BP77" s="926">
        <f t="shared" si="141"/>
        <v>2152552.3494437295</v>
      </c>
      <c r="BQ77" s="926">
        <f t="shared" si="142"/>
        <v>21884282.219344582</v>
      </c>
      <c r="BR77" s="926">
        <f t="shared" si="143"/>
        <v>226662.68481972636</v>
      </c>
      <c r="BS77" s="963">
        <v>0.15</v>
      </c>
      <c r="BT77" s="954">
        <f t="shared" si="85"/>
        <v>3282642.3329016874</v>
      </c>
      <c r="BU77" s="926">
        <f t="shared" si="115"/>
        <v>50000</v>
      </c>
      <c r="BV77" s="954">
        <f t="shared" si="76"/>
        <v>461806.04755738389</v>
      </c>
      <c r="BW77" s="869">
        <f t="shared" si="35"/>
        <v>7</v>
      </c>
      <c r="BX77" s="954">
        <f t="shared" si="77"/>
        <v>18601639.886442896</v>
      </c>
      <c r="BZ77" s="959">
        <v>46082</v>
      </c>
      <c r="CA77" s="960">
        <f t="shared" si="37"/>
        <v>7</v>
      </c>
      <c r="CB77" s="960">
        <f t="shared" si="151"/>
        <v>8</v>
      </c>
      <c r="GI77" s="912"/>
    </row>
    <row r="78" spans="1:191" x14ac:dyDescent="0.2">
      <c r="A78" s="952">
        <f t="shared" si="39"/>
        <v>65</v>
      </c>
      <c r="B78" s="952">
        <f t="shared" si="39"/>
        <v>6</v>
      </c>
      <c r="C78" s="952" t="s">
        <v>558</v>
      </c>
      <c r="D78" s="952"/>
      <c r="E78" s="952" t="s">
        <v>166</v>
      </c>
      <c r="F78" s="869" t="s">
        <v>180</v>
      </c>
      <c r="G78" s="869" t="s">
        <v>121</v>
      </c>
      <c r="H78" s="869" t="s">
        <v>186</v>
      </c>
      <c r="I78" s="869" t="s">
        <v>109</v>
      </c>
      <c r="J78" s="926">
        <v>61.56</v>
      </c>
      <c r="K78" s="962">
        <v>4.0999999999999996</v>
      </c>
      <c r="L78" s="962">
        <v>0</v>
      </c>
      <c r="M78" s="926">
        <f t="shared" si="70"/>
        <v>65.66</v>
      </c>
      <c r="N78" s="926"/>
      <c r="O78" s="926"/>
      <c r="P78" s="965"/>
      <c r="Q78" s="926">
        <f t="shared" si="79"/>
        <v>8125920</v>
      </c>
      <c r="R78" s="926">
        <f t="shared" si="80"/>
        <v>270600</v>
      </c>
      <c r="S78" s="926">
        <f t="shared" ref="S78:S141" si="153">SUM(P78:R78)</f>
        <v>8396520</v>
      </c>
      <c r="T78" s="926"/>
      <c r="U78" s="869">
        <v>5</v>
      </c>
      <c r="V78" s="926">
        <f t="shared" si="81"/>
        <v>164149.99999999997</v>
      </c>
      <c r="W78" s="926"/>
      <c r="X78" s="954">
        <f t="shared" si="82"/>
        <v>41982.6</v>
      </c>
      <c r="Y78" s="961"/>
      <c r="Z78" s="926"/>
      <c r="AA78" s="961" t="str">
        <f t="shared" si="152"/>
        <v>INNER</v>
      </c>
      <c r="AB78" s="961"/>
      <c r="AC78" s="926">
        <f t="shared" si="114"/>
        <v>206132.59999999998</v>
      </c>
      <c r="AD78" s="926"/>
      <c r="AE78" s="956">
        <f t="shared" ref="AE78:AE141" si="154">S78+AC78</f>
        <v>8602652.5999999996</v>
      </c>
      <c r="AF78" s="956">
        <f t="shared" si="71"/>
        <v>264961.70007999998</v>
      </c>
      <c r="AG78" s="957">
        <f t="shared" si="72"/>
        <v>8867614.3000799995</v>
      </c>
      <c r="AH78" s="919">
        <f t="shared" si="73"/>
        <v>201294.84461181599</v>
      </c>
      <c r="AI78" s="957">
        <f t="shared" si="25"/>
        <v>9068909.1446918156</v>
      </c>
      <c r="AJ78" s="919">
        <f t="shared" si="74"/>
        <v>226722.72861729539</v>
      </c>
      <c r="AK78" s="920">
        <f t="shared" si="75"/>
        <v>9295631.8733091112</v>
      </c>
      <c r="AL78" s="919">
        <f t="shared" si="123"/>
        <v>232390.79683272779</v>
      </c>
      <c r="AM78" s="982">
        <f t="shared" si="144"/>
        <v>9528022.6701418385</v>
      </c>
      <c r="AN78" s="919">
        <f t="shared" si="124"/>
        <v>238200.56675354598</v>
      </c>
      <c r="AO78" s="920">
        <f t="shared" si="145"/>
        <v>9766223.2368953843</v>
      </c>
      <c r="AP78" s="919">
        <f t="shared" si="125"/>
        <v>244155.58092238463</v>
      </c>
      <c r="AQ78" s="920">
        <f t="shared" si="126"/>
        <v>10010378.817817768</v>
      </c>
      <c r="AR78" s="919">
        <f t="shared" si="127"/>
        <v>300311.36453453306</v>
      </c>
      <c r="AS78" s="920">
        <f t="shared" si="128"/>
        <v>10310690.182352301</v>
      </c>
      <c r="AT78" s="920">
        <f t="shared" si="146"/>
        <v>309320.70547056902</v>
      </c>
      <c r="AU78" s="919">
        <f t="shared" si="129"/>
        <v>412427.60729409201</v>
      </c>
      <c r="AV78" s="919"/>
      <c r="AW78" s="920">
        <f t="shared" si="130"/>
        <v>10723117.789646393</v>
      </c>
      <c r="AX78" s="920">
        <f t="shared" si="147"/>
        <v>321693.53368939174</v>
      </c>
      <c r="AY78" s="919">
        <f t="shared" si="131"/>
        <v>428924.71158585569</v>
      </c>
      <c r="AZ78" s="919"/>
      <c r="BA78" s="920">
        <f t="shared" si="132"/>
        <v>11152042.501232248</v>
      </c>
      <c r="BB78" s="920">
        <f t="shared" si="148"/>
        <v>334561.27503696742</v>
      </c>
      <c r="BC78" s="919">
        <f t="shared" si="133"/>
        <v>446081.70004928991</v>
      </c>
      <c r="BD78" s="919"/>
      <c r="BE78" s="975">
        <f t="shared" si="134"/>
        <v>11598124.201281538</v>
      </c>
      <c r="BF78" s="975">
        <f t="shared" si="149"/>
        <v>347943.72603844613</v>
      </c>
      <c r="BG78" s="919">
        <f t="shared" si="135"/>
        <v>463924.96805126156</v>
      </c>
      <c r="BH78" s="975"/>
      <c r="BI78" s="975">
        <f t="shared" si="136"/>
        <v>12062049.1693328</v>
      </c>
      <c r="BJ78" s="975">
        <f t="shared" si="150"/>
        <v>361861.475079984</v>
      </c>
      <c r="BK78" s="919">
        <f t="shared" si="137"/>
        <v>482481.96677331201</v>
      </c>
      <c r="BL78" s="975"/>
      <c r="BM78" s="975">
        <f t="shared" si="138"/>
        <v>12544531.136106113</v>
      </c>
      <c r="BN78" s="926">
        <f t="shared" si="139"/>
        <v>940839.83520795847</v>
      </c>
      <c r="BO78" s="926">
        <f t="shared" si="140"/>
        <v>313613.27840265282</v>
      </c>
      <c r="BP78" s="926">
        <f t="shared" si="141"/>
        <v>1505343.7363327334</v>
      </c>
      <c r="BQ78" s="926">
        <f t="shared" si="142"/>
        <v>15304327.986049457</v>
      </c>
      <c r="BR78" s="926">
        <f t="shared" si="143"/>
        <v>233084.49567544102</v>
      </c>
      <c r="BS78" s="963">
        <v>0.15</v>
      </c>
      <c r="BT78" s="954">
        <f t="shared" si="85"/>
        <v>2295649.1979074185</v>
      </c>
      <c r="BU78" s="926">
        <f t="shared" si="115"/>
        <v>50000</v>
      </c>
      <c r="BV78" s="954">
        <f t="shared" si="76"/>
        <v>320807.02827248833</v>
      </c>
      <c r="BW78" s="869">
        <f t="shared" ref="BW78:BW141" si="155">CA78</f>
        <v>7</v>
      </c>
      <c r="BX78" s="954">
        <f t="shared" si="77"/>
        <v>13008678.788142039</v>
      </c>
      <c r="BZ78" s="959">
        <v>46082</v>
      </c>
      <c r="CA78" s="960">
        <f t="shared" ref="CA78:CA141" si="156">(YEAR(BZ78)-YEAR($CA$5))*12+MONTH(BZ78)-MONTH($CA$5)</f>
        <v>7</v>
      </c>
      <c r="CB78" s="960">
        <f t="shared" si="151"/>
        <v>8</v>
      </c>
      <c r="GI78" s="912"/>
    </row>
    <row r="79" spans="1:191" x14ac:dyDescent="0.2">
      <c r="A79" s="952">
        <f t="shared" ref="A79:B142" si="157">A78+1</f>
        <v>66</v>
      </c>
      <c r="B79" s="952">
        <f t="shared" si="157"/>
        <v>7</v>
      </c>
      <c r="C79" s="952" t="s">
        <v>104</v>
      </c>
      <c r="D79" s="952"/>
      <c r="E79" s="952" t="s">
        <v>166</v>
      </c>
      <c r="F79" s="869" t="s">
        <v>180</v>
      </c>
      <c r="G79" s="869" t="s">
        <v>123</v>
      </c>
      <c r="H79" s="869" t="s">
        <v>187</v>
      </c>
      <c r="I79" s="869" t="s">
        <v>109</v>
      </c>
      <c r="J79" s="926">
        <v>95.44</v>
      </c>
      <c r="K79" s="962">
        <v>13.34</v>
      </c>
      <c r="L79" s="962">
        <v>0</v>
      </c>
      <c r="M79" s="926">
        <f t="shared" si="70"/>
        <v>108.78</v>
      </c>
      <c r="N79" s="926"/>
      <c r="O79" s="926"/>
      <c r="P79" s="965"/>
      <c r="Q79" s="926">
        <f t="shared" si="79"/>
        <v>12598080</v>
      </c>
      <c r="R79" s="926">
        <f t="shared" si="80"/>
        <v>880440</v>
      </c>
      <c r="S79" s="926">
        <f t="shared" si="153"/>
        <v>13478520</v>
      </c>
      <c r="T79" s="926"/>
      <c r="U79" s="869">
        <v>5</v>
      </c>
      <c r="V79" s="926">
        <f t="shared" si="81"/>
        <v>271950</v>
      </c>
      <c r="W79" s="926"/>
      <c r="X79" s="954">
        <f t="shared" si="82"/>
        <v>67392.600000000006</v>
      </c>
      <c r="Y79" s="926">
        <f>M79*$Y$5</f>
        <v>217560</v>
      </c>
      <c r="Z79" s="926"/>
      <c r="AA79" s="961" t="str">
        <f t="shared" si="152"/>
        <v>CORNER</v>
      </c>
      <c r="AB79" s="961"/>
      <c r="AC79" s="926">
        <f t="shared" si="114"/>
        <v>556902.6</v>
      </c>
      <c r="AD79" s="926"/>
      <c r="AE79" s="956">
        <f t="shared" si="154"/>
        <v>14035422.6</v>
      </c>
      <c r="AF79" s="956">
        <f t="shared" si="71"/>
        <v>432291.01608000003</v>
      </c>
      <c r="AG79" s="957">
        <f t="shared" si="72"/>
        <v>14467713.616079999</v>
      </c>
      <c r="AH79" s="919">
        <f t="shared" si="73"/>
        <v>328417.099085016</v>
      </c>
      <c r="AI79" s="957">
        <f t="shared" ref="AI79:AI142" si="158">AG79+AH79</f>
        <v>14796130.715165015</v>
      </c>
      <c r="AJ79" s="919">
        <f t="shared" ref="AJ79:AJ142" si="159">AI79*$AJ$5</f>
        <v>369903.26787912543</v>
      </c>
      <c r="AK79" s="920">
        <f t="shared" si="75"/>
        <v>15166033.98304414</v>
      </c>
      <c r="AL79" s="919">
        <f t="shared" si="123"/>
        <v>379150.8495761035</v>
      </c>
      <c r="AM79" s="982">
        <f t="shared" si="144"/>
        <v>15545184.832620244</v>
      </c>
      <c r="AN79" s="919">
        <f t="shared" si="124"/>
        <v>388629.62081550615</v>
      </c>
      <c r="AO79" s="920">
        <f t="shared" si="145"/>
        <v>15933814.453435751</v>
      </c>
      <c r="AP79" s="919">
        <f t="shared" si="125"/>
        <v>398345.3613358938</v>
      </c>
      <c r="AQ79" s="920">
        <f t="shared" si="126"/>
        <v>16332159.814771645</v>
      </c>
      <c r="AR79" s="919">
        <f t="shared" si="127"/>
        <v>489964.79444314935</v>
      </c>
      <c r="AS79" s="920">
        <f t="shared" si="128"/>
        <v>16822124.609214794</v>
      </c>
      <c r="AT79" s="920">
        <f t="shared" si="146"/>
        <v>504663.73827644379</v>
      </c>
      <c r="AU79" s="919">
        <f t="shared" si="129"/>
        <v>672884.9843685918</v>
      </c>
      <c r="AV79" s="919"/>
      <c r="AW79" s="920">
        <f t="shared" si="130"/>
        <v>17495009.593583386</v>
      </c>
      <c r="AX79" s="920">
        <f t="shared" si="147"/>
        <v>524850.28780750162</v>
      </c>
      <c r="AY79" s="919">
        <f t="shared" si="131"/>
        <v>699800.38374333549</v>
      </c>
      <c r="AZ79" s="919"/>
      <c r="BA79" s="920">
        <f t="shared" si="132"/>
        <v>18194809.977326721</v>
      </c>
      <c r="BB79" s="920">
        <f t="shared" si="148"/>
        <v>545844.29931980162</v>
      </c>
      <c r="BC79" s="919">
        <f t="shared" si="133"/>
        <v>727792.3990930689</v>
      </c>
      <c r="BD79" s="919"/>
      <c r="BE79" s="975">
        <f t="shared" si="134"/>
        <v>18922602.37641979</v>
      </c>
      <c r="BF79" s="975">
        <f t="shared" si="149"/>
        <v>567678.07129259373</v>
      </c>
      <c r="BG79" s="919">
        <f t="shared" si="135"/>
        <v>756904.09505679167</v>
      </c>
      <c r="BH79" s="975"/>
      <c r="BI79" s="975">
        <f t="shared" si="136"/>
        <v>19679506.471476581</v>
      </c>
      <c r="BJ79" s="975">
        <f t="shared" si="150"/>
        <v>590385.19414429739</v>
      </c>
      <c r="BK79" s="919">
        <f t="shared" si="137"/>
        <v>787180.25885906327</v>
      </c>
      <c r="BL79" s="975"/>
      <c r="BM79" s="975">
        <f t="shared" si="138"/>
        <v>20466686.730335645</v>
      </c>
      <c r="BN79" s="926">
        <f t="shared" si="139"/>
        <v>1535001.5047751733</v>
      </c>
      <c r="BO79" s="926">
        <f t="shared" si="140"/>
        <v>511667.16825839115</v>
      </c>
      <c r="BP79" s="926">
        <f t="shared" si="141"/>
        <v>2456002.4076402774</v>
      </c>
      <c r="BQ79" s="926">
        <f t="shared" si="142"/>
        <v>24969357.811009489</v>
      </c>
      <c r="BR79" s="926">
        <f t="shared" si="143"/>
        <v>229539.96884546321</v>
      </c>
      <c r="BS79" s="963">
        <v>0.15</v>
      </c>
      <c r="BT79" s="954">
        <f t="shared" si="85"/>
        <v>3745403.6716514234</v>
      </c>
      <c r="BU79" s="926">
        <f t="shared" si="115"/>
        <v>50000</v>
      </c>
      <c r="BV79" s="954">
        <f t="shared" si="76"/>
        <v>527914.81023591768</v>
      </c>
      <c r="BW79" s="869">
        <f t="shared" si="155"/>
        <v>7</v>
      </c>
      <c r="BX79" s="954">
        <f t="shared" si="77"/>
        <v>21223954.139358066</v>
      </c>
      <c r="BZ79" s="959">
        <v>46082</v>
      </c>
      <c r="CA79" s="960">
        <f t="shared" si="156"/>
        <v>7</v>
      </c>
      <c r="CB79" s="960">
        <f t="shared" si="151"/>
        <v>8</v>
      </c>
      <c r="GI79" s="912"/>
    </row>
    <row r="80" spans="1:191" x14ac:dyDescent="0.2">
      <c r="A80" s="952">
        <f t="shared" si="157"/>
        <v>67</v>
      </c>
      <c r="B80" s="952">
        <f t="shared" si="157"/>
        <v>8</v>
      </c>
      <c r="C80" s="952" t="s">
        <v>104</v>
      </c>
      <c r="D80" s="952"/>
      <c r="E80" s="952" t="s">
        <v>166</v>
      </c>
      <c r="F80" s="869" t="s">
        <v>180</v>
      </c>
      <c r="G80" s="869" t="s">
        <v>125</v>
      </c>
      <c r="H80" s="869" t="s">
        <v>188</v>
      </c>
      <c r="I80" s="869" t="s">
        <v>113</v>
      </c>
      <c r="J80" s="926">
        <v>69.2</v>
      </c>
      <c r="K80" s="962">
        <v>4.7699999999999996</v>
      </c>
      <c r="L80" s="962">
        <v>0</v>
      </c>
      <c r="M80" s="926">
        <f t="shared" si="70"/>
        <v>73.97</v>
      </c>
      <c r="N80" s="926"/>
      <c r="O80" s="926"/>
      <c r="P80" s="965"/>
      <c r="Q80" s="926">
        <f t="shared" si="79"/>
        <v>9134400</v>
      </c>
      <c r="R80" s="926">
        <f t="shared" si="80"/>
        <v>314820</v>
      </c>
      <c r="S80" s="926">
        <f t="shared" si="153"/>
        <v>9449220</v>
      </c>
      <c r="T80" s="926"/>
      <c r="U80" s="869">
        <v>5</v>
      </c>
      <c r="V80" s="926">
        <f t="shared" si="81"/>
        <v>184925</v>
      </c>
      <c r="W80" s="926"/>
      <c r="X80" s="954">
        <f t="shared" si="82"/>
        <v>47246.1</v>
      </c>
      <c r="Y80" s="961"/>
      <c r="Z80" s="926"/>
      <c r="AA80" s="961" t="str">
        <f t="shared" si="152"/>
        <v>INNER</v>
      </c>
      <c r="AB80" s="961"/>
      <c r="AC80" s="926">
        <f t="shared" si="114"/>
        <v>232171.1</v>
      </c>
      <c r="AD80" s="926"/>
      <c r="AE80" s="956">
        <f t="shared" si="154"/>
        <v>9681391.0999999996</v>
      </c>
      <c r="AF80" s="956">
        <f t="shared" ref="AF80:AF143" si="160">AE80*$AF$5</f>
        <v>298186.84587999998</v>
      </c>
      <c r="AG80" s="957">
        <f t="shared" si="72"/>
        <v>9979577.9458799995</v>
      </c>
      <c r="AH80" s="919">
        <f t="shared" ref="AH80:AH143" si="161">AG80*$AH$5</f>
        <v>226536.41937147599</v>
      </c>
      <c r="AI80" s="957">
        <f t="shared" si="158"/>
        <v>10206114.365251476</v>
      </c>
      <c r="AJ80" s="919">
        <f t="shared" si="159"/>
        <v>255152.85913128691</v>
      </c>
      <c r="AK80" s="920">
        <f t="shared" ref="AK80:AK143" si="162">AI80+AJ80</f>
        <v>10461267.224382764</v>
      </c>
      <c r="AL80" s="919">
        <f t="shared" si="123"/>
        <v>261531.6806095691</v>
      </c>
      <c r="AM80" s="920">
        <f t="shared" si="144"/>
        <v>10722798.904992333</v>
      </c>
      <c r="AN80" s="919">
        <f t="shared" si="124"/>
        <v>268069.97262480832</v>
      </c>
      <c r="AO80" s="920">
        <f t="shared" si="145"/>
        <v>10990868.877617141</v>
      </c>
      <c r="AP80" s="919">
        <f t="shared" si="125"/>
        <v>274771.72194042854</v>
      </c>
      <c r="AQ80" s="920">
        <f t="shared" si="126"/>
        <v>11265640.599557569</v>
      </c>
      <c r="AR80" s="919">
        <f t="shared" si="127"/>
        <v>337969.21798672708</v>
      </c>
      <c r="AS80" s="920">
        <f t="shared" si="128"/>
        <v>11603609.817544296</v>
      </c>
      <c r="AT80" s="920">
        <f t="shared" si="146"/>
        <v>348108.29452632886</v>
      </c>
      <c r="AU80" s="919">
        <f t="shared" si="129"/>
        <v>464144.39270177187</v>
      </c>
      <c r="AV80" s="919"/>
      <c r="AW80" s="920">
        <f t="shared" si="130"/>
        <v>12067754.210246067</v>
      </c>
      <c r="AX80" s="920">
        <f t="shared" si="147"/>
        <v>362032.62630738202</v>
      </c>
      <c r="AY80" s="919">
        <f t="shared" si="131"/>
        <v>482710.16840984271</v>
      </c>
      <c r="AZ80" s="919"/>
      <c r="BA80" s="920">
        <f t="shared" si="132"/>
        <v>12550464.37865591</v>
      </c>
      <c r="BB80" s="920">
        <f t="shared" si="148"/>
        <v>376513.93135967728</v>
      </c>
      <c r="BC80" s="919">
        <f t="shared" si="133"/>
        <v>502018.57514623646</v>
      </c>
      <c r="BD80" s="919"/>
      <c r="BE80" s="975">
        <f t="shared" si="134"/>
        <v>13052482.953802146</v>
      </c>
      <c r="BF80" s="975">
        <f t="shared" si="149"/>
        <v>391574.48861406435</v>
      </c>
      <c r="BG80" s="919">
        <f t="shared" si="135"/>
        <v>522099.31815208588</v>
      </c>
      <c r="BH80" s="975"/>
      <c r="BI80" s="975">
        <f t="shared" si="136"/>
        <v>13574582.271954231</v>
      </c>
      <c r="BJ80" s="975">
        <f t="shared" si="150"/>
        <v>407237.46815862693</v>
      </c>
      <c r="BK80" s="919">
        <f t="shared" si="137"/>
        <v>542983.29087816924</v>
      </c>
      <c r="BL80" s="975"/>
      <c r="BM80" s="975">
        <f t="shared" si="138"/>
        <v>14117565.5628324</v>
      </c>
      <c r="BN80" s="926">
        <f t="shared" si="139"/>
        <v>1058817.4172124299</v>
      </c>
      <c r="BO80" s="926">
        <f t="shared" si="140"/>
        <v>352939.13907081005</v>
      </c>
      <c r="BP80" s="926">
        <f t="shared" si="141"/>
        <v>1694107.867539888</v>
      </c>
      <c r="BQ80" s="926">
        <f t="shared" si="142"/>
        <v>17223429.98665553</v>
      </c>
      <c r="BR80" s="926">
        <f t="shared" si="143"/>
        <v>232843.44986691268</v>
      </c>
      <c r="BS80" s="963">
        <v>0.15</v>
      </c>
      <c r="BT80" s="954">
        <f t="shared" si="85"/>
        <v>2583514.4979983293</v>
      </c>
      <c r="BU80" s="926">
        <f t="shared" si="115"/>
        <v>50000</v>
      </c>
      <c r="BV80" s="954">
        <f t="shared" si="76"/>
        <v>361930.64257118991</v>
      </c>
      <c r="BW80" s="869">
        <f t="shared" si="155"/>
        <v>7</v>
      </c>
      <c r="BX80" s="954">
        <f t="shared" si="77"/>
        <v>14639915.488657201</v>
      </c>
      <c r="BZ80" s="959">
        <v>46082</v>
      </c>
      <c r="CA80" s="960">
        <f t="shared" si="156"/>
        <v>7</v>
      </c>
      <c r="CB80" s="960">
        <f t="shared" si="151"/>
        <v>8</v>
      </c>
      <c r="GI80" s="912"/>
    </row>
    <row r="81" spans="1:191" x14ac:dyDescent="0.2">
      <c r="A81" s="952">
        <f t="shared" si="157"/>
        <v>68</v>
      </c>
      <c r="B81" s="952">
        <f t="shared" si="157"/>
        <v>9</v>
      </c>
      <c r="C81" s="952" t="s">
        <v>558</v>
      </c>
      <c r="D81" s="952"/>
      <c r="E81" s="952" t="s">
        <v>166</v>
      </c>
      <c r="F81" s="869" t="s">
        <v>180</v>
      </c>
      <c r="G81" s="869" t="s">
        <v>127</v>
      </c>
      <c r="H81" s="869" t="s">
        <v>189</v>
      </c>
      <c r="I81" s="869" t="s">
        <v>109</v>
      </c>
      <c r="J81" s="926">
        <v>69.36</v>
      </c>
      <c r="K81" s="962">
        <v>4.79</v>
      </c>
      <c r="L81" s="962">
        <v>0</v>
      </c>
      <c r="M81" s="926">
        <f t="shared" si="70"/>
        <v>74.150000000000006</v>
      </c>
      <c r="N81" s="926"/>
      <c r="O81" s="926"/>
      <c r="P81" s="965"/>
      <c r="Q81" s="926">
        <f t="shared" si="79"/>
        <v>9155520</v>
      </c>
      <c r="R81" s="926">
        <f t="shared" si="80"/>
        <v>316140</v>
      </c>
      <c r="S81" s="926">
        <f t="shared" si="153"/>
        <v>9471660</v>
      </c>
      <c r="T81" s="926"/>
      <c r="U81" s="869">
        <v>5</v>
      </c>
      <c r="V81" s="926">
        <f t="shared" si="81"/>
        <v>185375</v>
      </c>
      <c r="W81" s="926"/>
      <c r="X81" s="954">
        <f t="shared" si="82"/>
        <v>47358.3</v>
      </c>
      <c r="Y81" s="961"/>
      <c r="Z81" s="926"/>
      <c r="AA81" s="961" t="str">
        <f t="shared" si="152"/>
        <v>INNER</v>
      </c>
      <c r="AB81" s="961"/>
      <c r="AC81" s="926">
        <f t="shared" si="114"/>
        <v>232733.3</v>
      </c>
      <c r="AD81" s="926"/>
      <c r="AE81" s="956">
        <f t="shared" si="154"/>
        <v>9704393.3000000007</v>
      </c>
      <c r="AF81" s="956">
        <f t="shared" si="160"/>
        <v>298895.31364000001</v>
      </c>
      <c r="AG81" s="957">
        <f t="shared" si="72"/>
        <v>10003288.613640001</v>
      </c>
      <c r="AH81" s="919">
        <f t="shared" si="161"/>
        <v>227074.65152962803</v>
      </c>
      <c r="AI81" s="957">
        <f t="shared" si="158"/>
        <v>10230363.26516963</v>
      </c>
      <c r="AJ81" s="919">
        <f t="shared" si="159"/>
        <v>255759.08162924077</v>
      </c>
      <c r="AK81" s="920">
        <f t="shared" si="162"/>
        <v>10486122.346798871</v>
      </c>
      <c r="AL81" s="919">
        <f t="shared" si="123"/>
        <v>262153.05866997177</v>
      </c>
      <c r="AM81" s="920">
        <f t="shared" si="144"/>
        <v>10748275.405468842</v>
      </c>
      <c r="AN81" s="919">
        <f t="shared" si="124"/>
        <v>268706.88513672107</v>
      </c>
      <c r="AO81" s="920">
        <f t="shared" si="145"/>
        <v>11016982.290605564</v>
      </c>
      <c r="AP81" s="919">
        <f t="shared" si="125"/>
        <v>275424.55726513913</v>
      </c>
      <c r="AQ81" s="920">
        <f t="shared" si="126"/>
        <v>11292406.847870702</v>
      </c>
      <c r="AR81" s="919">
        <f t="shared" si="127"/>
        <v>338772.20543612103</v>
      </c>
      <c r="AS81" s="920">
        <f t="shared" si="128"/>
        <v>11631179.053306824</v>
      </c>
      <c r="AT81" s="920">
        <f t="shared" si="146"/>
        <v>348935.37159920472</v>
      </c>
      <c r="AU81" s="919">
        <f t="shared" si="129"/>
        <v>465247.16213227296</v>
      </c>
      <c r="AV81" s="919"/>
      <c r="AW81" s="920">
        <f t="shared" si="130"/>
        <v>12096426.215439096</v>
      </c>
      <c r="AX81" s="920">
        <f t="shared" si="147"/>
        <v>362892.78646317287</v>
      </c>
      <c r="AY81" s="919">
        <f t="shared" si="131"/>
        <v>483857.04861756385</v>
      </c>
      <c r="AZ81" s="919"/>
      <c r="BA81" s="920">
        <f t="shared" si="132"/>
        <v>12580283.26405666</v>
      </c>
      <c r="BB81" s="920">
        <f t="shared" si="148"/>
        <v>377408.49792169977</v>
      </c>
      <c r="BC81" s="919">
        <f t="shared" si="133"/>
        <v>503211.3305622664</v>
      </c>
      <c r="BD81" s="919"/>
      <c r="BE81" s="975">
        <f t="shared" si="134"/>
        <v>13083494.594618926</v>
      </c>
      <c r="BF81" s="975">
        <f t="shared" si="149"/>
        <v>392504.83783856774</v>
      </c>
      <c r="BG81" s="919">
        <f t="shared" si="135"/>
        <v>523339.78378475702</v>
      </c>
      <c r="BH81" s="975">
        <f>BG81-BF81</f>
        <v>130834.94594618928</v>
      </c>
      <c r="BI81" s="975">
        <f t="shared" si="136"/>
        <v>13606834.378403682</v>
      </c>
      <c r="BJ81" s="975">
        <f t="shared" si="150"/>
        <v>408205.03135211044</v>
      </c>
      <c r="BK81" s="919">
        <f t="shared" si="137"/>
        <v>544273.37513614725</v>
      </c>
      <c r="BL81" s="975"/>
      <c r="BM81" s="975">
        <f t="shared" si="138"/>
        <v>14151107.75353983</v>
      </c>
      <c r="BN81" s="926">
        <f t="shared" si="139"/>
        <v>1061333.0815154873</v>
      </c>
      <c r="BO81" s="926">
        <f t="shared" si="140"/>
        <v>353777.69383849576</v>
      </c>
      <c r="BP81" s="926">
        <f t="shared" si="141"/>
        <v>1698132.9304247797</v>
      </c>
      <c r="BQ81" s="926">
        <f t="shared" si="142"/>
        <v>17264351.459318593</v>
      </c>
      <c r="BR81" s="926">
        <f t="shared" si="143"/>
        <v>232830.09385460001</v>
      </c>
      <c r="BS81" s="963">
        <v>0.15</v>
      </c>
      <c r="BT81" s="954">
        <f t="shared" si="85"/>
        <v>2589652.7188977888</v>
      </c>
      <c r="BU81" s="926">
        <f t="shared" si="115"/>
        <v>50000</v>
      </c>
      <c r="BV81" s="954">
        <f t="shared" si="76"/>
        <v>362807.53127111268</v>
      </c>
      <c r="BW81" s="869">
        <f t="shared" si="155"/>
        <v>7</v>
      </c>
      <c r="BX81" s="954">
        <f t="shared" si="77"/>
        <v>14674698.740420803</v>
      </c>
      <c r="BZ81" s="959">
        <v>46082</v>
      </c>
      <c r="CA81" s="960">
        <f t="shared" si="156"/>
        <v>7</v>
      </c>
      <c r="CB81" s="960">
        <f t="shared" si="151"/>
        <v>8</v>
      </c>
      <c r="GI81" s="912"/>
    </row>
    <row r="82" spans="1:191" x14ac:dyDescent="0.2">
      <c r="A82" s="952">
        <f t="shared" si="157"/>
        <v>69</v>
      </c>
      <c r="B82" s="952">
        <f t="shared" si="157"/>
        <v>10</v>
      </c>
      <c r="C82" s="952" t="s">
        <v>558</v>
      </c>
      <c r="D82" s="952"/>
      <c r="E82" s="952" t="s">
        <v>166</v>
      </c>
      <c r="F82" s="869" t="s">
        <v>180</v>
      </c>
      <c r="G82" s="869" t="s">
        <v>129</v>
      </c>
      <c r="H82" s="869" t="s">
        <v>190</v>
      </c>
      <c r="I82" s="869" t="s">
        <v>109</v>
      </c>
      <c r="J82" s="926">
        <v>69.36</v>
      </c>
      <c r="K82" s="962">
        <v>4.79</v>
      </c>
      <c r="L82" s="962">
        <v>0</v>
      </c>
      <c r="M82" s="926">
        <f t="shared" si="70"/>
        <v>74.150000000000006</v>
      </c>
      <c r="N82" s="926"/>
      <c r="O82" s="926"/>
      <c r="P82" s="965"/>
      <c r="Q82" s="926">
        <f t="shared" si="79"/>
        <v>9155520</v>
      </c>
      <c r="R82" s="926">
        <f t="shared" si="80"/>
        <v>316140</v>
      </c>
      <c r="S82" s="926">
        <f t="shared" si="153"/>
        <v>9471660</v>
      </c>
      <c r="T82" s="926"/>
      <c r="U82" s="869">
        <v>5</v>
      </c>
      <c r="V82" s="926">
        <f t="shared" si="81"/>
        <v>185375</v>
      </c>
      <c r="W82" s="926"/>
      <c r="X82" s="954">
        <f t="shared" si="82"/>
        <v>47358.3</v>
      </c>
      <c r="Y82" s="961"/>
      <c r="Z82" s="926"/>
      <c r="AA82" s="961" t="str">
        <f t="shared" si="152"/>
        <v>INNER</v>
      </c>
      <c r="AB82" s="961"/>
      <c r="AC82" s="926">
        <f t="shared" ref="AC82:AC85" si="163">SUM(V82:Z82)</f>
        <v>232733.3</v>
      </c>
      <c r="AD82" s="926"/>
      <c r="AE82" s="956">
        <f t="shared" si="154"/>
        <v>9704393.3000000007</v>
      </c>
      <c r="AF82" s="956">
        <f t="shared" si="160"/>
        <v>298895.31364000001</v>
      </c>
      <c r="AG82" s="957">
        <f t="shared" si="72"/>
        <v>10003288.613640001</v>
      </c>
      <c r="AH82" s="919">
        <f t="shared" si="161"/>
        <v>227074.65152962803</v>
      </c>
      <c r="AI82" s="957">
        <f t="shared" si="158"/>
        <v>10230363.26516963</v>
      </c>
      <c r="AJ82" s="919">
        <f t="shared" si="159"/>
        <v>255759.08162924077</v>
      </c>
      <c r="AK82" s="920">
        <f t="shared" si="162"/>
        <v>10486122.346798871</v>
      </c>
      <c r="AL82" s="919">
        <f t="shared" si="123"/>
        <v>262153.05866997177</v>
      </c>
      <c r="AM82" s="920">
        <f t="shared" si="144"/>
        <v>10748275.405468842</v>
      </c>
      <c r="AN82" s="919">
        <f t="shared" si="124"/>
        <v>268706.88513672107</v>
      </c>
      <c r="AO82" s="920">
        <f t="shared" si="145"/>
        <v>11016982.290605564</v>
      </c>
      <c r="AP82" s="919">
        <f t="shared" si="125"/>
        <v>275424.55726513913</v>
      </c>
      <c r="AQ82" s="920">
        <f t="shared" si="126"/>
        <v>11292406.847870702</v>
      </c>
      <c r="AR82" s="919">
        <f t="shared" si="127"/>
        <v>338772.20543612103</v>
      </c>
      <c r="AS82" s="920">
        <f t="shared" si="128"/>
        <v>11631179.053306824</v>
      </c>
      <c r="AT82" s="920">
        <f t="shared" si="146"/>
        <v>348935.37159920472</v>
      </c>
      <c r="AU82" s="919">
        <f t="shared" si="129"/>
        <v>465247.16213227296</v>
      </c>
      <c r="AV82" s="919"/>
      <c r="AW82" s="920">
        <f t="shared" si="130"/>
        <v>12096426.215439096</v>
      </c>
      <c r="AX82" s="920">
        <f t="shared" si="147"/>
        <v>362892.78646317287</v>
      </c>
      <c r="AY82" s="919">
        <f t="shared" si="131"/>
        <v>483857.04861756385</v>
      </c>
      <c r="AZ82" s="919"/>
      <c r="BA82" s="920">
        <f t="shared" si="132"/>
        <v>12580283.26405666</v>
      </c>
      <c r="BB82" s="920">
        <f t="shared" si="148"/>
        <v>377408.49792169977</v>
      </c>
      <c r="BC82" s="919">
        <f t="shared" si="133"/>
        <v>503211.3305622664</v>
      </c>
      <c r="BD82" s="919">
        <f>BC82-BB82</f>
        <v>125802.83264056663</v>
      </c>
      <c r="BE82" s="975">
        <f t="shared" si="134"/>
        <v>13083494.594618926</v>
      </c>
      <c r="BF82" s="975">
        <f t="shared" si="149"/>
        <v>392504.83783856774</v>
      </c>
      <c r="BG82" s="919">
        <f t="shared" si="135"/>
        <v>523339.78378475702</v>
      </c>
      <c r="BH82" s="975"/>
      <c r="BI82" s="975">
        <f t="shared" si="136"/>
        <v>13606834.378403682</v>
      </c>
      <c r="BJ82" s="975">
        <f t="shared" si="150"/>
        <v>408205.03135211044</v>
      </c>
      <c r="BK82" s="919">
        <f t="shared" si="137"/>
        <v>544273.37513614725</v>
      </c>
      <c r="BL82" s="975"/>
      <c r="BM82" s="975">
        <f t="shared" si="138"/>
        <v>14151107.75353983</v>
      </c>
      <c r="BN82" s="926">
        <f t="shared" si="139"/>
        <v>1061333.0815154873</v>
      </c>
      <c r="BO82" s="926">
        <f t="shared" si="140"/>
        <v>353777.69383849576</v>
      </c>
      <c r="BP82" s="926">
        <f t="shared" si="141"/>
        <v>1698132.9304247797</v>
      </c>
      <c r="BQ82" s="926">
        <f t="shared" si="142"/>
        <v>17264351.459318593</v>
      </c>
      <c r="BR82" s="926">
        <f t="shared" si="143"/>
        <v>232830.09385460001</v>
      </c>
      <c r="BS82" s="963">
        <v>0.15</v>
      </c>
      <c r="BT82" s="954">
        <f t="shared" si="85"/>
        <v>2589652.7188977888</v>
      </c>
      <c r="BU82" s="926">
        <f t="shared" si="115"/>
        <v>50000</v>
      </c>
      <c r="BV82" s="954">
        <f t="shared" si="76"/>
        <v>362807.53127111268</v>
      </c>
      <c r="BW82" s="869">
        <f t="shared" si="155"/>
        <v>7</v>
      </c>
      <c r="BX82" s="954">
        <f t="shared" si="77"/>
        <v>14674698.740420803</v>
      </c>
      <c r="BZ82" s="959">
        <v>46082</v>
      </c>
      <c r="CA82" s="960">
        <f t="shared" si="156"/>
        <v>7</v>
      </c>
      <c r="CB82" s="960">
        <f t="shared" si="151"/>
        <v>8</v>
      </c>
      <c r="GI82" s="912"/>
    </row>
    <row r="83" spans="1:191" x14ac:dyDescent="0.2">
      <c r="A83" s="952">
        <f t="shared" si="157"/>
        <v>70</v>
      </c>
      <c r="B83" s="952">
        <f t="shared" si="157"/>
        <v>11</v>
      </c>
      <c r="C83" s="952" t="s">
        <v>104</v>
      </c>
      <c r="D83" s="952"/>
      <c r="E83" s="952" t="s">
        <v>166</v>
      </c>
      <c r="F83" s="869" t="s">
        <v>180</v>
      </c>
      <c r="G83" s="869" t="s">
        <v>131</v>
      </c>
      <c r="H83" s="869" t="s">
        <v>191</v>
      </c>
      <c r="I83" s="869" t="s">
        <v>109</v>
      </c>
      <c r="J83" s="926">
        <v>69.36</v>
      </c>
      <c r="K83" s="962">
        <v>4.79</v>
      </c>
      <c r="L83" s="962">
        <v>0</v>
      </c>
      <c r="M83" s="926">
        <f t="shared" si="70"/>
        <v>74.150000000000006</v>
      </c>
      <c r="N83" s="926"/>
      <c r="O83" s="926"/>
      <c r="P83" s="965"/>
      <c r="Q83" s="926">
        <f t="shared" si="79"/>
        <v>9155520</v>
      </c>
      <c r="R83" s="926">
        <f t="shared" si="80"/>
        <v>316140</v>
      </c>
      <c r="S83" s="926">
        <f t="shared" si="153"/>
        <v>9471660</v>
      </c>
      <c r="T83" s="926"/>
      <c r="U83" s="869">
        <v>5</v>
      </c>
      <c r="V83" s="926">
        <f t="shared" si="81"/>
        <v>185375</v>
      </c>
      <c r="W83" s="926"/>
      <c r="X83" s="954">
        <f t="shared" si="82"/>
        <v>47358.3</v>
      </c>
      <c r="Y83" s="961"/>
      <c r="Z83" s="926"/>
      <c r="AA83" s="961" t="str">
        <f t="shared" si="152"/>
        <v>INNER</v>
      </c>
      <c r="AB83" s="961"/>
      <c r="AC83" s="926">
        <f t="shared" si="163"/>
        <v>232733.3</v>
      </c>
      <c r="AD83" s="926"/>
      <c r="AE83" s="956">
        <f t="shared" si="154"/>
        <v>9704393.3000000007</v>
      </c>
      <c r="AF83" s="956">
        <f t="shared" si="160"/>
        <v>298895.31364000001</v>
      </c>
      <c r="AG83" s="957">
        <f t="shared" si="72"/>
        <v>10003288.613640001</v>
      </c>
      <c r="AH83" s="919">
        <f t="shared" si="161"/>
        <v>227074.65152962803</v>
      </c>
      <c r="AI83" s="957">
        <f t="shared" si="158"/>
        <v>10230363.26516963</v>
      </c>
      <c r="AJ83" s="919">
        <f t="shared" si="159"/>
        <v>255759.08162924077</v>
      </c>
      <c r="AK83" s="920">
        <f t="shared" si="162"/>
        <v>10486122.346798871</v>
      </c>
      <c r="AL83" s="919">
        <f t="shared" si="123"/>
        <v>262153.05866997177</v>
      </c>
      <c r="AM83" s="920">
        <f t="shared" si="144"/>
        <v>10748275.405468842</v>
      </c>
      <c r="AN83" s="919">
        <f t="shared" si="124"/>
        <v>268706.88513672107</v>
      </c>
      <c r="AO83" s="920">
        <f t="shared" si="145"/>
        <v>11016982.290605564</v>
      </c>
      <c r="AP83" s="919">
        <f t="shared" si="125"/>
        <v>275424.55726513913</v>
      </c>
      <c r="AQ83" s="920">
        <f t="shared" si="126"/>
        <v>11292406.847870702</v>
      </c>
      <c r="AR83" s="919">
        <f t="shared" si="127"/>
        <v>338772.20543612103</v>
      </c>
      <c r="AS83" s="920">
        <f t="shared" si="128"/>
        <v>11631179.053306824</v>
      </c>
      <c r="AT83" s="920">
        <f t="shared" si="146"/>
        <v>348935.37159920472</v>
      </c>
      <c r="AU83" s="919">
        <f t="shared" si="129"/>
        <v>465247.16213227296</v>
      </c>
      <c r="AV83" s="919"/>
      <c r="AW83" s="920">
        <f t="shared" si="130"/>
        <v>12096426.215439096</v>
      </c>
      <c r="AX83" s="920">
        <f t="shared" si="147"/>
        <v>362892.78646317287</v>
      </c>
      <c r="AY83" s="919">
        <f t="shared" si="131"/>
        <v>483857.04861756385</v>
      </c>
      <c r="AZ83" s="919"/>
      <c r="BA83" s="920">
        <f t="shared" si="132"/>
        <v>12580283.26405666</v>
      </c>
      <c r="BB83" s="920">
        <f t="shared" si="148"/>
        <v>377408.49792169977</v>
      </c>
      <c r="BC83" s="919">
        <f t="shared" si="133"/>
        <v>503211.3305622664</v>
      </c>
      <c r="BD83" s="919">
        <f>BC83-BB83</f>
        <v>125802.83264056663</v>
      </c>
      <c r="BE83" s="975">
        <f t="shared" si="134"/>
        <v>13083494.594618926</v>
      </c>
      <c r="BF83" s="975">
        <f t="shared" si="149"/>
        <v>392504.83783856774</v>
      </c>
      <c r="BG83" s="919">
        <f t="shared" si="135"/>
        <v>523339.78378475702</v>
      </c>
      <c r="BH83" s="975"/>
      <c r="BI83" s="975">
        <f t="shared" si="136"/>
        <v>13606834.378403682</v>
      </c>
      <c r="BJ83" s="975">
        <f t="shared" si="150"/>
        <v>408205.03135211044</v>
      </c>
      <c r="BK83" s="919">
        <f t="shared" si="137"/>
        <v>544273.37513614725</v>
      </c>
      <c r="BL83" s="975"/>
      <c r="BM83" s="975">
        <f t="shared" si="138"/>
        <v>14151107.75353983</v>
      </c>
      <c r="BN83" s="926">
        <f t="shared" si="139"/>
        <v>1061333.0815154873</v>
      </c>
      <c r="BO83" s="926">
        <f t="shared" si="140"/>
        <v>353777.69383849576</v>
      </c>
      <c r="BP83" s="926">
        <f t="shared" si="141"/>
        <v>1698132.9304247797</v>
      </c>
      <c r="BQ83" s="926">
        <f t="shared" si="142"/>
        <v>17264351.459318593</v>
      </c>
      <c r="BR83" s="926">
        <f t="shared" si="143"/>
        <v>232830.09385460001</v>
      </c>
      <c r="BS83" s="963">
        <v>0.15</v>
      </c>
      <c r="BT83" s="954">
        <f t="shared" si="85"/>
        <v>2589652.7188977888</v>
      </c>
      <c r="BU83" s="926">
        <f t="shared" si="115"/>
        <v>50000</v>
      </c>
      <c r="BV83" s="954">
        <f t="shared" si="76"/>
        <v>362807.53127111268</v>
      </c>
      <c r="BW83" s="869">
        <f t="shared" si="155"/>
        <v>7</v>
      </c>
      <c r="BX83" s="954">
        <f t="shared" si="77"/>
        <v>14674698.740420803</v>
      </c>
      <c r="BZ83" s="959">
        <v>46082</v>
      </c>
      <c r="CA83" s="960">
        <f t="shared" si="156"/>
        <v>7</v>
      </c>
      <c r="CB83" s="960">
        <f t="shared" si="151"/>
        <v>8</v>
      </c>
      <c r="GI83" s="912"/>
    </row>
    <row r="84" spans="1:191" x14ac:dyDescent="0.2">
      <c r="A84" s="952">
        <f t="shared" si="157"/>
        <v>71</v>
      </c>
      <c r="B84" s="952">
        <f t="shared" si="157"/>
        <v>12</v>
      </c>
      <c r="C84" s="952" t="s">
        <v>558</v>
      </c>
      <c r="D84" s="952"/>
      <c r="E84" s="952" t="s">
        <v>166</v>
      </c>
      <c r="F84" s="869" t="s">
        <v>180</v>
      </c>
      <c r="G84" s="869" t="s">
        <v>133</v>
      </c>
      <c r="H84" s="869" t="s">
        <v>192</v>
      </c>
      <c r="I84" s="869" t="s">
        <v>109</v>
      </c>
      <c r="J84" s="926">
        <v>83.12</v>
      </c>
      <c r="K84" s="962">
        <v>13.04</v>
      </c>
      <c r="L84" s="962">
        <v>0</v>
      </c>
      <c r="M84" s="926">
        <f t="shared" si="70"/>
        <v>96.16</v>
      </c>
      <c r="N84" s="926"/>
      <c r="O84" s="926"/>
      <c r="P84" s="965"/>
      <c r="Q84" s="926">
        <f t="shared" si="79"/>
        <v>10971840</v>
      </c>
      <c r="R84" s="926">
        <f t="shared" si="80"/>
        <v>860640</v>
      </c>
      <c r="S84" s="926">
        <f t="shared" si="153"/>
        <v>11832480</v>
      </c>
      <c r="T84" s="926"/>
      <c r="U84" s="869">
        <v>5</v>
      </c>
      <c r="V84" s="926">
        <f t="shared" si="81"/>
        <v>240399.99999999997</v>
      </c>
      <c r="W84" s="926"/>
      <c r="X84" s="954">
        <f t="shared" si="82"/>
        <v>59162.400000000001</v>
      </c>
      <c r="Y84" s="926">
        <f>M84*$Y$5</f>
        <v>192320</v>
      </c>
      <c r="Z84" s="926">
        <f t="shared" ref="Z84:Z90" si="164">M84*$Z$5</f>
        <v>96160</v>
      </c>
      <c r="AA84" s="961" t="str">
        <f t="shared" si="152"/>
        <v>CORNER</v>
      </c>
      <c r="AB84" s="961" t="s">
        <v>573</v>
      </c>
      <c r="AC84" s="926">
        <f t="shared" si="163"/>
        <v>588042.39999999991</v>
      </c>
      <c r="AD84" s="926"/>
      <c r="AE84" s="956">
        <f t="shared" si="154"/>
        <v>12420522.4</v>
      </c>
      <c r="AF84" s="956">
        <f t="shared" si="160"/>
        <v>382552.08992</v>
      </c>
      <c r="AG84" s="957">
        <f t="shared" si="72"/>
        <v>12803074.48992</v>
      </c>
      <c r="AH84" s="919">
        <f t="shared" si="161"/>
        <v>290629.790921184</v>
      </c>
      <c r="AI84" s="957">
        <f t="shared" si="158"/>
        <v>13093704.280841183</v>
      </c>
      <c r="AJ84" s="919">
        <f t="shared" si="159"/>
        <v>327342.60702102957</v>
      </c>
      <c r="AK84" s="920">
        <f t="shared" si="162"/>
        <v>13421046.887862213</v>
      </c>
      <c r="AL84" s="919">
        <f t="shared" si="123"/>
        <v>335526.17219655536</v>
      </c>
      <c r="AM84" s="982">
        <f t="shared" si="144"/>
        <v>13756573.060058769</v>
      </c>
      <c r="AN84" s="919">
        <f t="shared" si="124"/>
        <v>343914.32650146924</v>
      </c>
      <c r="AO84" s="920">
        <f t="shared" si="145"/>
        <v>14100487.386560239</v>
      </c>
      <c r="AP84" s="919">
        <f t="shared" si="125"/>
        <v>352512.184664006</v>
      </c>
      <c r="AQ84" s="920">
        <f t="shared" si="126"/>
        <v>14452999.571224244</v>
      </c>
      <c r="AR84" s="919">
        <f t="shared" si="127"/>
        <v>433589.98713672732</v>
      </c>
      <c r="AS84" s="920">
        <f t="shared" si="128"/>
        <v>14886589.558360972</v>
      </c>
      <c r="AT84" s="920">
        <f t="shared" si="146"/>
        <v>446597.6867508291</v>
      </c>
      <c r="AU84" s="919">
        <f t="shared" si="129"/>
        <v>595463.58233443892</v>
      </c>
      <c r="AV84" s="919"/>
      <c r="AW84" s="920">
        <f t="shared" si="130"/>
        <v>15482053.14069541</v>
      </c>
      <c r="AX84" s="920">
        <f t="shared" si="147"/>
        <v>464461.59422086226</v>
      </c>
      <c r="AY84" s="919">
        <f t="shared" si="131"/>
        <v>619282.12562781642</v>
      </c>
      <c r="AZ84" s="919"/>
      <c r="BA84" s="920">
        <f t="shared" si="132"/>
        <v>16101335.266323226</v>
      </c>
      <c r="BB84" s="920">
        <f t="shared" si="148"/>
        <v>483040.05798969674</v>
      </c>
      <c r="BC84" s="919">
        <f t="shared" si="133"/>
        <v>644053.41065292899</v>
      </c>
      <c r="BD84" s="919"/>
      <c r="BE84" s="975">
        <f t="shared" si="134"/>
        <v>16745388.676976155</v>
      </c>
      <c r="BF84" s="975">
        <f t="shared" si="149"/>
        <v>502361.66030928463</v>
      </c>
      <c r="BG84" s="919">
        <f t="shared" si="135"/>
        <v>669815.54707904626</v>
      </c>
      <c r="BH84" s="975"/>
      <c r="BI84" s="975">
        <f t="shared" si="136"/>
        <v>17415204.224055201</v>
      </c>
      <c r="BJ84" s="975">
        <f t="shared" si="150"/>
        <v>522456.12672165601</v>
      </c>
      <c r="BK84" s="919">
        <f t="shared" si="137"/>
        <v>696608.16896220809</v>
      </c>
      <c r="BL84" s="975"/>
      <c r="BM84" s="975">
        <f t="shared" si="138"/>
        <v>18111812.393017408</v>
      </c>
      <c r="BN84" s="926">
        <f t="shared" si="139"/>
        <v>1358385.9294763056</v>
      </c>
      <c r="BO84" s="926">
        <f t="shared" si="140"/>
        <v>452795.30982543522</v>
      </c>
      <c r="BP84" s="926">
        <f t="shared" si="141"/>
        <v>2173417.487162089</v>
      </c>
      <c r="BQ84" s="926">
        <f t="shared" si="142"/>
        <v>22096411.119481236</v>
      </c>
      <c r="BR84" s="926">
        <f t="shared" si="143"/>
        <v>229787.96921257526</v>
      </c>
      <c r="BS84" s="963">
        <v>0.15</v>
      </c>
      <c r="BT84" s="954">
        <f t="shared" si="85"/>
        <v>3314461.6679221853</v>
      </c>
      <c r="BU84" s="926">
        <f t="shared" si="115"/>
        <v>50000</v>
      </c>
      <c r="BV84" s="954">
        <f t="shared" si="76"/>
        <v>466351.66684602649</v>
      </c>
      <c r="BW84" s="869">
        <f t="shared" si="155"/>
        <v>7</v>
      </c>
      <c r="BX84" s="954">
        <f t="shared" si="77"/>
        <v>18781949.451559052</v>
      </c>
      <c r="BZ84" s="959">
        <v>46082</v>
      </c>
      <c r="CA84" s="960">
        <f t="shared" si="156"/>
        <v>7</v>
      </c>
      <c r="CB84" s="960">
        <f t="shared" si="151"/>
        <v>8</v>
      </c>
      <c r="GI84" s="912"/>
    </row>
    <row r="85" spans="1:191" x14ac:dyDescent="0.2">
      <c r="A85" s="952">
        <f t="shared" si="157"/>
        <v>72</v>
      </c>
      <c r="B85" s="952">
        <f t="shared" si="157"/>
        <v>13</v>
      </c>
      <c r="C85" s="952" t="s">
        <v>558</v>
      </c>
      <c r="D85" s="952"/>
      <c r="E85" s="952" t="s">
        <v>166</v>
      </c>
      <c r="F85" s="869" t="s">
        <v>180</v>
      </c>
      <c r="G85" s="869" t="s">
        <v>136</v>
      </c>
      <c r="H85" s="869" t="s">
        <v>193</v>
      </c>
      <c r="I85" s="869" t="s">
        <v>113</v>
      </c>
      <c r="J85" s="926">
        <v>52.04</v>
      </c>
      <c r="K85" s="962">
        <v>3.1</v>
      </c>
      <c r="L85" s="962">
        <v>0</v>
      </c>
      <c r="M85" s="926">
        <f t="shared" si="70"/>
        <v>55.14</v>
      </c>
      <c r="N85" s="926"/>
      <c r="O85" s="926"/>
      <c r="P85" s="965"/>
      <c r="Q85" s="926">
        <f t="shared" si="79"/>
        <v>6869280</v>
      </c>
      <c r="R85" s="926">
        <f t="shared" si="80"/>
        <v>204600</v>
      </c>
      <c r="S85" s="926">
        <f t="shared" si="153"/>
        <v>7073880</v>
      </c>
      <c r="T85" s="926"/>
      <c r="U85" s="869">
        <v>5</v>
      </c>
      <c r="V85" s="926">
        <f t="shared" si="81"/>
        <v>137850</v>
      </c>
      <c r="W85" s="926"/>
      <c r="X85" s="954">
        <f t="shared" si="82"/>
        <v>35369.4</v>
      </c>
      <c r="Y85" s="961"/>
      <c r="Z85" s="926">
        <f t="shared" si="164"/>
        <v>55140</v>
      </c>
      <c r="AA85" s="961" t="str">
        <f t="shared" si="152"/>
        <v>INNER</v>
      </c>
      <c r="AB85" s="961" t="s">
        <v>573</v>
      </c>
      <c r="AC85" s="926">
        <f t="shared" si="163"/>
        <v>228359.4</v>
      </c>
      <c r="AD85" s="926"/>
      <c r="AE85" s="956">
        <f t="shared" si="154"/>
        <v>7302239.4000000004</v>
      </c>
      <c r="AF85" s="956">
        <f t="shared" si="160"/>
        <v>224908.97352000003</v>
      </c>
      <c r="AG85" s="957">
        <f t="shared" ref="AG85:AG148" si="165">AE85+AF85</f>
        <v>7527148.3735200008</v>
      </c>
      <c r="AH85" s="919">
        <f t="shared" si="161"/>
        <v>170866.26807890402</v>
      </c>
      <c r="AI85" s="957">
        <f t="shared" si="158"/>
        <v>7698014.6415989045</v>
      </c>
      <c r="AJ85" s="919">
        <f t="shared" si="159"/>
        <v>192450.36603997264</v>
      </c>
      <c r="AK85" s="920">
        <f t="shared" si="162"/>
        <v>7890465.0076388773</v>
      </c>
      <c r="AL85" s="919">
        <f t="shared" si="123"/>
        <v>197261.62519097194</v>
      </c>
      <c r="AM85" s="982">
        <f t="shared" si="144"/>
        <v>8087726.6328298496</v>
      </c>
      <c r="AN85" s="919">
        <f t="shared" si="124"/>
        <v>202193.16582074625</v>
      </c>
      <c r="AO85" s="920">
        <f t="shared" si="145"/>
        <v>8289919.7986505963</v>
      </c>
      <c r="AP85" s="919">
        <f t="shared" si="125"/>
        <v>207247.99496626493</v>
      </c>
      <c r="AQ85" s="920">
        <f t="shared" si="126"/>
        <v>8497167.7936168611</v>
      </c>
      <c r="AR85" s="919">
        <f t="shared" si="127"/>
        <v>254915.03380850583</v>
      </c>
      <c r="AS85" s="920">
        <f t="shared" si="128"/>
        <v>8752082.8274253663</v>
      </c>
      <c r="AT85" s="920">
        <f t="shared" si="146"/>
        <v>262562.48482276098</v>
      </c>
      <c r="AU85" s="919">
        <f t="shared" si="129"/>
        <v>350083.31309701467</v>
      </c>
      <c r="AV85" s="919"/>
      <c r="AW85" s="920">
        <f t="shared" si="130"/>
        <v>9102166.1405223813</v>
      </c>
      <c r="AX85" s="920">
        <f t="shared" si="147"/>
        <v>273064.98421567143</v>
      </c>
      <c r="AY85" s="919">
        <f t="shared" si="131"/>
        <v>364086.64562089526</v>
      </c>
      <c r="AZ85" s="919"/>
      <c r="BA85" s="920">
        <f t="shared" si="132"/>
        <v>9466252.7861432768</v>
      </c>
      <c r="BB85" s="920">
        <f t="shared" si="148"/>
        <v>283987.58358429832</v>
      </c>
      <c r="BC85" s="919">
        <f t="shared" si="133"/>
        <v>378650.11144573108</v>
      </c>
      <c r="BD85" s="919"/>
      <c r="BE85" s="975">
        <f t="shared" si="134"/>
        <v>9844902.8975890074</v>
      </c>
      <c r="BF85" s="975">
        <f t="shared" si="149"/>
        <v>295347.08692767023</v>
      </c>
      <c r="BG85" s="919">
        <f t="shared" si="135"/>
        <v>393796.11590356031</v>
      </c>
      <c r="BH85" s="975"/>
      <c r="BI85" s="975">
        <f t="shared" si="136"/>
        <v>10238699.013492567</v>
      </c>
      <c r="BJ85" s="975">
        <f t="shared" si="150"/>
        <v>307160.97040477704</v>
      </c>
      <c r="BK85" s="919">
        <f t="shared" si="137"/>
        <v>409547.96053970273</v>
      </c>
      <c r="BL85" s="975"/>
      <c r="BM85" s="975">
        <f t="shared" si="138"/>
        <v>10648246.97403227</v>
      </c>
      <c r="BN85" s="926">
        <f t="shared" si="139"/>
        <v>798618.52305242023</v>
      </c>
      <c r="BO85" s="926">
        <f t="shared" si="140"/>
        <v>266206.17435080674</v>
      </c>
      <c r="BP85" s="926">
        <f t="shared" si="141"/>
        <v>1277789.6368838723</v>
      </c>
      <c r="BQ85" s="926">
        <f t="shared" si="142"/>
        <v>12990861.308319369</v>
      </c>
      <c r="BR85" s="926">
        <f t="shared" si="143"/>
        <v>235597.77490604587</v>
      </c>
      <c r="BS85" s="963">
        <v>0.15</v>
      </c>
      <c r="BT85" s="954">
        <f t="shared" si="85"/>
        <v>1948629.1962479053</v>
      </c>
      <c r="BU85" s="926">
        <f t="shared" si="115"/>
        <v>50000</v>
      </c>
      <c r="BV85" s="954">
        <f t="shared" ref="BV85:BV148" si="166">(BT85-BU85)/(BW85)</f>
        <v>271232.74232112931</v>
      </c>
      <c r="BW85" s="869">
        <f t="shared" si="155"/>
        <v>7</v>
      </c>
      <c r="BX85" s="954">
        <f t="shared" ref="BX85:BX148" si="167">BQ85-BT85</f>
        <v>11042232.112071464</v>
      </c>
      <c r="BZ85" s="959">
        <v>46082</v>
      </c>
      <c r="CA85" s="960">
        <f t="shared" si="156"/>
        <v>7</v>
      </c>
      <c r="CB85" s="960">
        <f t="shared" si="151"/>
        <v>8</v>
      </c>
      <c r="GI85" s="912"/>
    </row>
    <row r="86" spans="1:191" x14ac:dyDescent="0.2">
      <c r="A86" s="952">
        <f t="shared" si="157"/>
        <v>73</v>
      </c>
      <c r="B86" s="952">
        <v>1</v>
      </c>
      <c r="C86" s="952" t="s">
        <v>558</v>
      </c>
      <c r="D86" s="952"/>
      <c r="E86" s="952" t="s">
        <v>180</v>
      </c>
      <c r="F86" s="869" t="s">
        <v>194</v>
      </c>
      <c r="G86" s="869" t="s">
        <v>107</v>
      </c>
      <c r="H86" s="869" t="s">
        <v>195</v>
      </c>
      <c r="I86" s="869" t="s">
        <v>572</v>
      </c>
      <c r="J86" s="926">
        <v>99.98</v>
      </c>
      <c r="K86" s="962">
        <v>10.29</v>
      </c>
      <c r="L86" s="962">
        <v>0</v>
      </c>
      <c r="M86" s="926">
        <f t="shared" si="70"/>
        <v>110.27000000000001</v>
      </c>
      <c r="N86" s="926"/>
      <c r="O86" s="926"/>
      <c r="P86" s="965"/>
      <c r="Q86" s="926">
        <f t="shared" ref="Q86:Q149" si="168">J86*$Q$5</f>
        <v>13197360</v>
      </c>
      <c r="R86" s="926">
        <f t="shared" ref="R86:R149" si="169">K86*$R$5</f>
        <v>679140</v>
      </c>
      <c r="S86" s="926">
        <f t="shared" si="153"/>
        <v>13876500</v>
      </c>
      <c r="T86" s="926"/>
      <c r="U86" s="869">
        <v>6</v>
      </c>
      <c r="V86" s="926">
        <f t="shared" ref="V86:V149" si="170">M86*U86*$V$5</f>
        <v>330810.00000000006</v>
      </c>
      <c r="W86" s="926"/>
      <c r="X86" s="954">
        <f t="shared" ref="X86:X149" si="171">S86*$X$5</f>
        <v>69382.5</v>
      </c>
      <c r="Y86" s="926">
        <f>M86*$Y$5</f>
        <v>220540.00000000003</v>
      </c>
      <c r="Z86" s="926">
        <f t="shared" si="164"/>
        <v>110270.00000000001</v>
      </c>
      <c r="AA86" s="961" t="str">
        <f t="shared" ref="AA86:AA98" si="172">AA21</f>
        <v>CORNER</v>
      </c>
      <c r="AB86" s="961" t="s">
        <v>573</v>
      </c>
      <c r="AC86" s="926">
        <f t="shared" si="114"/>
        <v>731002.50000000012</v>
      </c>
      <c r="AD86" s="926"/>
      <c r="AE86" s="956">
        <f t="shared" si="154"/>
        <v>14607502.5</v>
      </c>
      <c r="AF86" s="956">
        <f t="shared" si="160"/>
        <v>449911.07699999999</v>
      </c>
      <c r="AG86" s="957">
        <f t="shared" si="165"/>
        <v>15057413.577</v>
      </c>
      <c r="AH86" s="919">
        <f t="shared" si="161"/>
        <v>341803.28819789999</v>
      </c>
      <c r="AI86" s="957">
        <f t="shared" si="158"/>
        <v>15399216.865197899</v>
      </c>
      <c r="AJ86" s="919">
        <f t="shared" si="159"/>
        <v>384980.42162994749</v>
      </c>
      <c r="AK86" s="920">
        <f t="shared" si="162"/>
        <v>15784197.286827845</v>
      </c>
      <c r="AL86" s="919">
        <f t="shared" si="123"/>
        <v>394604.93217069615</v>
      </c>
      <c r="AM86" s="982">
        <f t="shared" si="144"/>
        <v>16178802.218998542</v>
      </c>
      <c r="AN86" s="919">
        <f t="shared" si="124"/>
        <v>404470.05547496356</v>
      </c>
      <c r="AO86" s="920">
        <f t="shared" si="145"/>
        <v>16583272.274473505</v>
      </c>
      <c r="AP86" s="919">
        <f t="shared" si="125"/>
        <v>414581.80686183763</v>
      </c>
      <c r="AQ86" s="920">
        <f t="shared" si="126"/>
        <v>16997854.081335343</v>
      </c>
      <c r="AR86" s="919">
        <f t="shared" si="127"/>
        <v>509935.62244006031</v>
      </c>
      <c r="AS86" s="920">
        <f t="shared" si="128"/>
        <v>17507789.703775402</v>
      </c>
      <c r="AT86" s="920">
        <f t="shared" si="146"/>
        <v>525233.69111326209</v>
      </c>
      <c r="AU86" s="919">
        <f t="shared" si="129"/>
        <v>700311.58815101616</v>
      </c>
      <c r="AV86" s="919"/>
      <c r="AW86" s="920">
        <f t="shared" si="130"/>
        <v>18208101.291926417</v>
      </c>
      <c r="AX86" s="920">
        <f t="shared" si="147"/>
        <v>546243.03875779256</v>
      </c>
      <c r="AY86" s="919">
        <f t="shared" si="131"/>
        <v>728324.0516770567</v>
      </c>
      <c r="AZ86" s="919"/>
      <c r="BA86" s="920">
        <f t="shared" si="132"/>
        <v>18936425.343603473</v>
      </c>
      <c r="BB86" s="920">
        <f t="shared" si="148"/>
        <v>568092.76030810422</v>
      </c>
      <c r="BC86" s="919">
        <f t="shared" si="133"/>
        <v>757457.013744139</v>
      </c>
      <c r="BD86" s="919"/>
      <c r="BE86" s="975">
        <f t="shared" si="134"/>
        <v>19693882.357347611</v>
      </c>
      <c r="BF86" s="975">
        <f t="shared" si="149"/>
        <v>590816.47072042827</v>
      </c>
      <c r="BG86" s="919">
        <f t="shared" si="135"/>
        <v>787755.29429390444</v>
      </c>
      <c r="BH86" s="975"/>
      <c r="BI86" s="975">
        <f t="shared" si="136"/>
        <v>20481637.651641514</v>
      </c>
      <c r="BJ86" s="975">
        <f t="shared" si="150"/>
        <v>614449.12954924535</v>
      </c>
      <c r="BK86" s="919">
        <f t="shared" si="137"/>
        <v>819265.50606566062</v>
      </c>
      <c r="BL86" s="975"/>
      <c r="BM86" s="975">
        <f t="shared" si="138"/>
        <v>21300903.157707173</v>
      </c>
      <c r="BN86" s="926">
        <f t="shared" si="139"/>
        <v>1597567.736828038</v>
      </c>
      <c r="BO86" s="926">
        <f t="shared" si="140"/>
        <v>532522.57894267933</v>
      </c>
      <c r="BP86" s="926">
        <f t="shared" si="141"/>
        <v>2556108.3789248606</v>
      </c>
      <c r="BQ86" s="926">
        <f t="shared" si="142"/>
        <v>25987101.85240275</v>
      </c>
      <c r="BR86" s="926">
        <f t="shared" si="143"/>
        <v>235667.92284758092</v>
      </c>
      <c r="BS86" s="963">
        <v>0.15</v>
      </c>
      <c r="BT86" s="954">
        <f t="shared" si="85"/>
        <v>3898065.2778604124</v>
      </c>
      <c r="BU86" s="926">
        <f>BU80</f>
        <v>50000</v>
      </c>
      <c r="BV86" s="954">
        <f t="shared" si="166"/>
        <v>549723.6111229161</v>
      </c>
      <c r="BW86" s="869">
        <f t="shared" si="155"/>
        <v>7</v>
      </c>
      <c r="BX86" s="954">
        <f t="shared" si="167"/>
        <v>22089036.574542336</v>
      </c>
      <c r="BZ86" s="959">
        <v>46082</v>
      </c>
      <c r="CA86" s="960">
        <f t="shared" si="156"/>
        <v>7</v>
      </c>
      <c r="CB86" s="960">
        <f t="shared" si="151"/>
        <v>8</v>
      </c>
      <c r="GI86" s="912"/>
    </row>
    <row r="87" spans="1:191" x14ac:dyDescent="0.2">
      <c r="A87" s="952">
        <f t="shared" si="157"/>
        <v>74</v>
      </c>
      <c r="B87" s="952">
        <f>B86+1</f>
        <v>2</v>
      </c>
      <c r="C87" s="952" t="s">
        <v>558</v>
      </c>
      <c r="D87" s="952"/>
      <c r="E87" s="952" t="s">
        <v>180</v>
      </c>
      <c r="F87" s="869" t="s">
        <v>194</v>
      </c>
      <c r="G87" s="869" t="s">
        <v>111</v>
      </c>
      <c r="H87" s="869" t="s">
        <v>196</v>
      </c>
      <c r="I87" s="869" t="s">
        <v>113</v>
      </c>
      <c r="J87" s="926">
        <v>52.86</v>
      </c>
      <c r="K87" s="962">
        <v>5.09</v>
      </c>
      <c r="L87" s="962">
        <v>0</v>
      </c>
      <c r="M87" s="926">
        <f t="shared" si="70"/>
        <v>57.95</v>
      </c>
      <c r="N87" s="926"/>
      <c r="O87" s="926"/>
      <c r="P87" s="965"/>
      <c r="Q87" s="926">
        <f t="shared" si="168"/>
        <v>6977520</v>
      </c>
      <c r="R87" s="926">
        <f t="shared" si="169"/>
        <v>335940</v>
      </c>
      <c r="S87" s="926">
        <f t="shared" si="153"/>
        <v>7313460</v>
      </c>
      <c r="T87" s="926"/>
      <c r="U87" s="869">
        <v>6</v>
      </c>
      <c r="V87" s="926">
        <f t="shared" si="170"/>
        <v>173850.00000000003</v>
      </c>
      <c r="W87" s="926"/>
      <c r="X87" s="954">
        <f t="shared" si="171"/>
        <v>36567.300000000003</v>
      </c>
      <c r="Y87" s="961"/>
      <c r="Z87" s="926">
        <f t="shared" si="164"/>
        <v>57950</v>
      </c>
      <c r="AA87" s="961" t="str">
        <f t="shared" si="172"/>
        <v>INNER</v>
      </c>
      <c r="AB87" s="961" t="s">
        <v>573</v>
      </c>
      <c r="AC87" s="926">
        <f t="shared" si="114"/>
        <v>268367.30000000005</v>
      </c>
      <c r="AD87" s="926"/>
      <c r="AE87" s="956">
        <f t="shared" si="154"/>
        <v>7581827.2999999998</v>
      </c>
      <c r="AF87" s="956">
        <f t="shared" si="160"/>
        <v>233520.28083999999</v>
      </c>
      <c r="AG87" s="957">
        <f t="shared" si="165"/>
        <v>7815347.58084</v>
      </c>
      <c r="AH87" s="919">
        <f t="shared" si="161"/>
        <v>177408.39008506801</v>
      </c>
      <c r="AI87" s="957">
        <f t="shared" si="158"/>
        <v>7992755.9709250676</v>
      </c>
      <c r="AJ87" s="919">
        <f t="shared" si="159"/>
        <v>199818.89927312671</v>
      </c>
      <c r="AK87" s="920">
        <f t="shared" si="162"/>
        <v>8192574.8701981939</v>
      </c>
      <c r="AL87" s="919">
        <f t="shared" si="123"/>
        <v>204814.37175495486</v>
      </c>
      <c r="AM87" s="982">
        <f t="shared" si="144"/>
        <v>8397389.2419531494</v>
      </c>
      <c r="AN87" s="919">
        <f t="shared" si="124"/>
        <v>209934.73104882875</v>
      </c>
      <c r="AO87" s="920">
        <f t="shared" si="145"/>
        <v>8607323.9730019774</v>
      </c>
      <c r="AP87" s="919">
        <f t="shared" si="125"/>
        <v>215183.09932504944</v>
      </c>
      <c r="AQ87" s="920">
        <f t="shared" si="126"/>
        <v>8822507.0723270271</v>
      </c>
      <c r="AR87" s="919">
        <f t="shared" si="127"/>
        <v>264675.21216981078</v>
      </c>
      <c r="AS87" s="920">
        <f t="shared" si="128"/>
        <v>9087182.2844968382</v>
      </c>
      <c r="AT87" s="920">
        <f t="shared" si="146"/>
        <v>272615.46853490511</v>
      </c>
      <c r="AU87" s="919">
        <f t="shared" si="129"/>
        <v>363487.29137987352</v>
      </c>
      <c r="AV87" s="919"/>
      <c r="AW87" s="920">
        <f t="shared" si="130"/>
        <v>9450669.5758767109</v>
      </c>
      <c r="AX87" s="920">
        <f t="shared" si="147"/>
        <v>283520.08727630129</v>
      </c>
      <c r="AY87" s="919">
        <f t="shared" si="131"/>
        <v>378026.78303506842</v>
      </c>
      <c r="AZ87" s="919"/>
      <c r="BA87" s="920">
        <f t="shared" si="132"/>
        <v>9828696.3589117788</v>
      </c>
      <c r="BB87" s="920">
        <f t="shared" si="148"/>
        <v>294860.89076735335</v>
      </c>
      <c r="BC87" s="919">
        <f t="shared" si="133"/>
        <v>393147.85435647116</v>
      </c>
      <c r="BD87" s="919"/>
      <c r="BE87" s="975">
        <f t="shared" si="134"/>
        <v>10221844.21326825</v>
      </c>
      <c r="BF87" s="975">
        <f t="shared" si="149"/>
        <v>306655.3263980475</v>
      </c>
      <c r="BG87" s="919">
        <f t="shared" si="135"/>
        <v>408873.76853073004</v>
      </c>
      <c r="BH87" s="975"/>
      <c r="BI87" s="975">
        <f t="shared" si="136"/>
        <v>10630717.98179898</v>
      </c>
      <c r="BJ87" s="975">
        <f t="shared" si="150"/>
        <v>318921.5394539694</v>
      </c>
      <c r="BK87" s="919">
        <f t="shared" si="137"/>
        <v>425228.71927195921</v>
      </c>
      <c r="BL87" s="975"/>
      <c r="BM87" s="975">
        <f t="shared" si="138"/>
        <v>11055946.70107094</v>
      </c>
      <c r="BN87" s="926">
        <f t="shared" si="139"/>
        <v>829196.00258032046</v>
      </c>
      <c r="BO87" s="926">
        <f t="shared" si="140"/>
        <v>276398.66752677353</v>
      </c>
      <c r="BP87" s="926">
        <f t="shared" si="141"/>
        <v>1326713.6041285128</v>
      </c>
      <c r="BQ87" s="926">
        <f t="shared" si="142"/>
        <v>13488254.975306548</v>
      </c>
      <c r="BR87" s="926">
        <f t="shared" si="143"/>
        <v>232756.77265412506</v>
      </c>
      <c r="BS87" s="963">
        <v>0.15</v>
      </c>
      <c r="BT87" s="954">
        <f t="shared" si="85"/>
        <v>2023238.246295982</v>
      </c>
      <c r="BU87" s="926">
        <f t="shared" si="115"/>
        <v>50000</v>
      </c>
      <c r="BV87" s="954">
        <f t="shared" si="166"/>
        <v>281891.17804228317</v>
      </c>
      <c r="BW87" s="869">
        <f t="shared" si="155"/>
        <v>7</v>
      </c>
      <c r="BX87" s="954">
        <f t="shared" si="167"/>
        <v>11465016.729010567</v>
      </c>
      <c r="BZ87" s="959">
        <v>46082</v>
      </c>
      <c r="CA87" s="960">
        <f t="shared" si="156"/>
        <v>7</v>
      </c>
      <c r="CB87" s="960">
        <f t="shared" si="151"/>
        <v>8</v>
      </c>
      <c r="GI87" s="912"/>
    </row>
    <row r="88" spans="1:191" x14ac:dyDescent="0.2">
      <c r="A88" s="952">
        <f t="shared" si="157"/>
        <v>75</v>
      </c>
      <c r="B88" s="952">
        <f t="shared" si="157"/>
        <v>3</v>
      </c>
      <c r="C88" s="952" t="s">
        <v>558</v>
      </c>
      <c r="D88" s="952"/>
      <c r="E88" s="952" t="s">
        <v>180</v>
      </c>
      <c r="F88" s="869" t="s">
        <v>194</v>
      </c>
      <c r="G88" s="869" t="s">
        <v>115</v>
      </c>
      <c r="H88" s="869" t="s">
        <v>197</v>
      </c>
      <c r="I88" s="869" t="s">
        <v>109</v>
      </c>
      <c r="J88" s="926">
        <v>57.5</v>
      </c>
      <c r="K88" s="962">
        <v>5.09</v>
      </c>
      <c r="L88" s="962">
        <v>0</v>
      </c>
      <c r="M88" s="926">
        <f t="shared" si="70"/>
        <v>62.59</v>
      </c>
      <c r="N88" s="926"/>
      <c r="O88" s="926"/>
      <c r="P88" s="965"/>
      <c r="Q88" s="926">
        <f t="shared" si="168"/>
        <v>7590000</v>
      </c>
      <c r="R88" s="926">
        <f t="shared" si="169"/>
        <v>335940</v>
      </c>
      <c r="S88" s="926">
        <f t="shared" si="153"/>
        <v>7925940</v>
      </c>
      <c r="T88" s="926"/>
      <c r="U88" s="869">
        <v>6</v>
      </c>
      <c r="V88" s="926">
        <f t="shared" si="170"/>
        <v>187770</v>
      </c>
      <c r="W88" s="926"/>
      <c r="X88" s="954">
        <f t="shared" si="171"/>
        <v>39629.700000000004</v>
      </c>
      <c r="Y88" s="961"/>
      <c r="Z88" s="926">
        <f t="shared" si="164"/>
        <v>62590</v>
      </c>
      <c r="AA88" s="961" t="str">
        <f t="shared" si="172"/>
        <v>INNER</v>
      </c>
      <c r="AB88" s="961" t="s">
        <v>573</v>
      </c>
      <c r="AC88" s="926">
        <f t="shared" si="114"/>
        <v>289989.7</v>
      </c>
      <c r="AD88" s="926"/>
      <c r="AE88" s="956">
        <f t="shared" si="154"/>
        <v>8215929.7000000002</v>
      </c>
      <c r="AF88" s="956">
        <f t="shared" si="160"/>
        <v>253050.63476000002</v>
      </c>
      <c r="AG88" s="957">
        <f t="shared" si="165"/>
        <v>8468980.3347600009</v>
      </c>
      <c r="AH88" s="919">
        <f t="shared" si="161"/>
        <v>192245.85359905203</v>
      </c>
      <c r="AI88" s="957">
        <f t="shared" si="158"/>
        <v>8661226.1883590538</v>
      </c>
      <c r="AJ88" s="919">
        <f t="shared" si="159"/>
        <v>216530.65470897636</v>
      </c>
      <c r="AK88" s="920">
        <f t="shared" si="162"/>
        <v>8877756.8430680297</v>
      </c>
      <c r="AL88" s="919">
        <f t="shared" si="123"/>
        <v>221943.92107670076</v>
      </c>
      <c r="AM88" s="982">
        <f t="shared" si="144"/>
        <v>9099700.7641447298</v>
      </c>
      <c r="AN88" s="919">
        <f t="shared" si="124"/>
        <v>227492.51910361825</v>
      </c>
      <c r="AO88" s="920">
        <f t="shared" si="145"/>
        <v>9327193.2832483482</v>
      </c>
      <c r="AP88" s="919">
        <f t="shared" si="125"/>
        <v>233179.8320812087</v>
      </c>
      <c r="AQ88" s="920">
        <f t="shared" si="126"/>
        <v>9560373.1153295562</v>
      </c>
      <c r="AR88" s="919">
        <f t="shared" si="127"/>
        <v>286811.19345988665</v>
      </c>
      <c r="AS88" s="920">
        <f t="shared" si="128"/>
        <v>9847184.3087894432</v>
      </c>
      <c r="AT88" s="920">
        <f t="shared" si="146"/>
        <v>295415.5292636833</v>
      </c>
      <c r="AU88" s="919">
        <f t="shared" si="129"/>
        <v>393887.37235157774</v>
      </c>
      <c r="AV88" s="919"/>
      <c r="AW88" s="920">
        <f t="shared" si="130"/>
        <v>10241071.681141021</v>
      </c>
      <c r="AX88" s="920">
        <f t="shared" si="147"/>
        <v>307232.15043423063</v>
      </c>
      <c r="AY88" s="919">
        <f t="shared" si="131"/>
        <v>409642.86724564084</v>
      </c>
      <c r="AZ88" s="919"/>
      <c r="BA88" s="920">
        <f t="shared" si="132"/>
        <v>10650714.548386661</v>
      </c>
      <c r="BB88" s="920">
        <f t="shared" si="148"/>
        <v>319521.43645159982</v>
      </c>
      <c r="BC88" s="919">
        <f t="shared" si="133"/>
        <v>426028.58193546644</v>
      </c>
      <c r="BD88" s="919"/>
      <c r="BE88" s="975">
        <f t="shared" si="134"/>
        <v>11076743.130322129</v>
      </c>
      <c r="BF88" s="975">
        <f t="shared" si="149"/>
        <v>332302.29390966386</v>
      </c>
      <c r="BG88" s="919">
        <f t="shared" si="135"/>
        <v>443069.72521288513</v>
      </c>
      <c r="BH88" s="975"/>
      <c r="BI88" s="975">
        <f t="shared" si="136"/>
        <v>11519812.855535014</v>
      </c>
      <c r="BJ88" s="975">
        <f t="shared" si="150"/>
        <v>345594.38566605042</v>
      </c>
      <c r="BK88" s="919">
        <f t="shared" si="137"/>
        <v>460792.51422140055</v>
      </c>
      <c r="BL88" s="975"/>
      <c r="BM88" s="975">
        <f t="shared" si="138"/>
        <v>11980605.369756414</v>
      </c>
      <c r="BN88" s="926">
        <f t="shared" si="139"/>
        <v>898545.40273173095</v>
      </c>
      <c r="BO88" s="926">
        <f t="shared" si="140"/>
        <v>299515.13424391038</v>
      </c>
      <c r="BP88" s="926">
        <f t="shared" si="141"/>
        <v>1437672.6443707696</v>
      </c>
      <c r="BQ88" s="926">
        <f t="shared" si="142"/>
        <v>14616338.551102826</v>
      </c>
      <c r="BR88" s="926">
        <f t="shared" si="143"/>
        <v>233525.14061515938</v>
      </c>
      <c r="BS88" s="963">
        <v>0.15</v>
      </c>
      <c r="BT88" s="954">
        <f t="shared" si="85"/>
        <v>2192450.782665424</v>
      </c>
      <c r="BU88" s="926">
        <f t="shared" si="115"/>
        <v>50000</v>
      </c>
      <c r="BV88" s="954">
        <f t="shared" si="166"/>
        <v>306064.39752363198</v>
      </c>
      <c r="BW88" s="869">
        <f t="shared" si="155"/>
        <v>7</v>
      </c>
      <c r="BX88" s="954">
        <f t="shared" si="167"/>
        <v>12423887.768437402</v>
      </c>
      <c r="BZ88" s="959">
        <v>46082</v>
      </c>
      <c r="CA88" s="960">
        <f t="shared" si="156"/>
        <v>7</v>
      </c>
      <c r="CB88" s="960">
        <f t="shared" si="151"/>
        <v>8</v>
      </c>
      <c r="GI88" s="912"/>
    </row>
    <row r="89" spans="1:191" x14ac:dyDescent="0.2">
      <c r="A89" s="952">
        <f t="shared" si="157"/>
        <v>76</v>
      </c>
      <c r="B89" s="952">
        <f t="shared" si="157"/>
        <v>4</v>
      </c>
      <c r="C89" s="952" t="s">
        <v>558</v>
      </c>
      <c r="D89" s="952"/>
      <c r="E89" s="952" t="s">
        <v>180</v>
      </c>
      <c r="F89" s="869" t="s">
        <v>194</v>
      </c>
      <c r="G89" s="869" t="s">
        <v>117</v>
      </c>
      <c r="H89" s="869" t="s">
        <v>198</v>
      </c>
      <c r="I89" s="869" t="s">
        <v>109</v>
      </c>
      <c r="J89" s="926">
        <v>62.11</v>
      </c>
      <c r="K89" s="962">
        <v>5.19</v>
      </c>
      <c r="L89" s="962">
        <v>0</v>
      </c>
      <c r="M89" s="926">
        <f t="shared" si="70"/>
        <v>67.3</v>
      </c>
      <c r="N89" s="926"/>
      <c r="O89" s="926"/>
      <c r="P89" s="965"/>
      <c r="Q89" s="926">
        <f t="shared" si="168"/>
        <v>8198520</v>
      </c>
      <c r="R89" s="926">
        <f t="shared" si="169"/>
        <v>342540</v>
      </c>
      <c r="S89" s="926">
        <f t="shared" si="153"/>
        <v>8541060</v>
      </c>
      <c r="T89" s="926"/>
      <c r="U89" s="869">
        <v>6</v>
      </c>
      <c r="V89" s="926">
        <f t="shared" si="170"/>
        <v>201899.99999999997</v>
      </c>
      <c r="W89" s="926"/>
      <c r="X89" s="954">
        <f t="shared" si="171"/>
        <v>42705.3</v>
      </c>
      <c r="Y89" s="961"/>
      <c r="Z89" s="926">
        <f t="shared" si="164"/>
        <v>67300</v>
      </c>
      <c r="AA89" s="961" t="str">
        <f t="shared" si="172"/>
        <v>INNER</v>
      </c>
      <c r="AB89" s="961" t="s">
        <v>573</v>
      </c>
      <c r="AC89" s="926">
        <f t="shared" si="114"/>
        <v>311905.3</v>
      </c>
      <c r="AD89" s="926"/>
      <c r="AE89" s="956">
        <f t="shared" si="154"/>
        <v>8852965.3000000007</v>
      </c>
      <c r="AF89" s="956">
        <f t="shared" si="160"/>
        <v>272671.33124000003</v>
      </c>
      <c r="AG89" s="957">
        <f t="shared" si="165"/>
        <v>9125636.6312400009</v>
      </c>
      <c r="AH89" s="919">
        <f t="shared" si="161"/>
        <v>207151.95152914803</v>
      </c>
      <c r="AI89" s="957">
        <f t="shared" si="158"/>
        <v>9332788.5827691481</v>
      </c>
      <c r="AJ89" s="919">
        <f t="shared" si="159"/>
        <v>233319.7145692287</v>
      </c>
      <c r="AK89" s="920">
        <f t="shared" si="162"/>
        <v>9566108.2973383777</v>
      </c>
      <c r="AL89" s="919">
        <f t="shared" si="123"/>
        <v>239152.70743345947</v>
      </c>
      <c r="AM89" s="982">
        <f t="shared" si="144"/>
        <v>9805261.004771838</v>
      </c>
      <c r="AN89" s="919">
        <f t="shared" si="124"/>
        <v>245131.52511929595</v>
      </c>
      <c r="AO89" s="920">
        <f t="shared" si="145"/>
        <v>10050392.529891133</v>
      </c>
      <c r="AP89" s="919">
        <f t="shared" si="125"/>
        <v>251259.81324727833</v>
      </c>
      <c r="AQ89" s="920">
        <f t="shared" si="126"/>
        <v>10301652.343138412</v>
      </c>
      <c r="AR89" s="919">
        <f t="shared" si="127"/>
        <v>309049.57029415236</v>
      </c>
      <c r="AS89" s="920">
        <f t="shared" si="128"/>
        <v>10610701.913432565</v>
      </c>
      <c r="AT89" s="920">
        <f t="shared" si="146"/>
        <v>318321.0574029769</v>
      </c>
      <c r="AU89" s="919">
        <f t="shared" si="129"/>
        <v>424428.07653730258</v>
      </c>
      <c r="AV89" s="919"/>
      <c r="AW89" s="920">
        <f t="shared" si="130"/>
        <v>11035129.989969866</v>
      </c>
      <c r="AX89" s="920">
        <f t="shared" si="147"/>
        <v>331053.89969909599</v>
      </c>
      <c r="AY89" s="919">
        <f t="shared" si="131"/>
        <v>441405.19959879469</v>
      </c>
      <c r="AZ89" s="919"/>
      <c r="BA89" s="920">
        <f t="shared" si="132"/>
        <v>11476535.189568661</v>
      </c>
      <c r="BB89" s="920">
        <f t="shared" si="148"/>
        <v>344296.05568705982</v>
      </c>
      <c r="BC89" s="919">
        <f t="shared" si="133"/>
        <v>459061.40758274647</v>
      </c>
      <c r="BD89" s="919"/>
      <c r="BE89" s="975">
        <f t="shared" si="134"/>
        <v>11935596.597151408</v>
      </c>
      <c r="BF89" s="975">
        <f t="shared" si="149"/>
        <v>358067.89791454223</v>
      </c>
      <c r="BG89" s="919">
        <f t="shared" si="135"/>
        <v>477423.86388605635</v>
      </c>
      <c r="BH89" s="975"/>
      <c r="BI89" s="975">
        <f t="shared" si="136"/>
        <v>12413020.461037464</v>
      </c>
      <c r="BJ89" s="975">
        <f t="shared" si="150"/>
        <v>372390.61383112392</v>
      </c>
      <c r="BK89" s="919">
        <f t="shared" si="137"/>
        <v>496520.81844149856</v>
      </c>
      <c r="BL89" s="975"/>
      <c r="BM89" s="975">
        <f t="shared" si="138"/>
        <v>12909541.279478963</v>
      </c>
      <c r="BN89" s="926">
        <f t="shared" si="139"/>
        <v>968215.59596092219</v>
      </c>
      <c r="BO89" s="926">
        <f t="shared" si="140"/>
        <v>322738.53198697412</v>
      </c>
      <c r="BP89" s="926">
        <f t="shared" si="141"/>
        <v>1549144.9535374756</v>
      </c>
      <c r="BQ89" s="926">
        <f t="shared" si="142"/>
        <v>15749640.360964336</v>
      </c>
      <c r="BR89" s="926">
        <f t="shared" si="143"/>
        <v>234021.40209456667</v>
      </c>
      <c r="BS89" s="963">
        <v>0.15</v>
      </c>
      <c r="BT89" s="954">
        <f t="shared" si="85"/>
        <v>2362446.0541446502</v>
      </c>
      <c r="BU89" s="926">
        <f t="shared" si="115"/>
        <v>50000</v>
      </c>
      <c r="BV89" s="954">
        <f t="shared" si="166"/>
        <v>330349.43630637863</v>
      </c>
      <c r="BW89" s="869">
        <f t="shared" si="155"/>
        <v>7</v>
      </c>
      <c r="BX89" s="954">
        <f t="shared" si="167"/>
        <v>13387194.306819685</v>
      </c>
      <c r="BZ89" s="959">
        <v>46082</v>
      </c>
      <c r="CA89" s="960">
        <f t="shared" si="156"/>
        <v>7</v>
      </c>
      <c r="CB89" s="960">
        <f t="shared" si="151"/>
        <v>8</v>
      </c>
      <c r="GI89" s="912"/>
    </row>
    <row r="90" spans="1:191" x14ac:dyDescent="0.2">
      <c r="A90" s="952">
        <f t="shared" si="157"/>
        <v>77</v>
      </c>
      <c r="B90" s="952">
        <f t="shared" si="157"/>
        <v>5</v>
      </c>
      <c r="C90" s="952" t="s">
        <v>558</v>
      </c>
      <c r="D90" s="952"/>
      <c r="E90" s="952" t="s">
        <v>180</v>
      </c>
      <c r="F90" s="869" t="s">
        <v>194</v>
      </c>
      <c r="G90" s="869" t="s">
        <v>119</v>
      </c>
      <c r="H90" s="869" t="s">
        <v>199</v>
      </c>
      <c r="I90" s="869" t="s">
        <v>109</v>
      </c>
      <c r="J90" s="926">
        <v>80.900000000000006</v>
      </c>
      <c r="K90" s="962">
        <v>15.65</v>
      </c>
      <c r="L90" s="962">
        <v>0</v>
      </c>
      <c r="M90" s="926">
        <f t="shared" si="70"/>
        <v>96.550000000000011</v>
      </c>
      <c r="N90" s="926"/>
      <c r="O90" s="926"/>
      <c r="P90" s="965"/>
      <c r="Q90" s="926">
        <f t="shared" si="168"/>
        <v>10678800</v>
      </c>
      <c r="R90" s="926">
        <f t="shared" si="169"/>
        <v>1032900</v>
      </c>
      <c r="S90" s="926">
        <f t="shared" si="153"/>
        <v>11711700</v>
      </c>
      <c r="T90" s="926"/>
      <c r="U90" s="869">
        <v>6</v>
      </c>
      <c r="V90" s="926">
        <f t="shared" si="170"/>
        <v>289650.00000000006</v>
      </c>
      <c r="W90" s="926"/>
      <c r="X90" s="954">
        <f t="shared" si="171"/>
        <v>58558.5</v>
      </c>
      <c r="Y90" s="926">
        <f>M90*$Y$5</f>
        <v>193100.00000000003</v>
      </c>
      <c r="Z90" s="926">
        <f t="shared" si="164"/>
        <v>96550.000000000015</v>
      </c>
      <c r="AA90" s="961" t="str">
        <f t="shared" si="172"/>
        <v>CORNER</v>
      </c>
      <c r="AB90" s="961" t="s">
        <v>573</v>
      </c>
      <c r="AC90" s="926">
        <f t="shared" si="114"/>
        <v>637858.50000000012</v>
      </c>
      <c r="AD90" s="926"/>
      <c r="AE90" s="956">
        <f t="shared" si="154"/>
        <v>12349558.5</v>
      </c>
      <c r="AF90" s="956">
        <f t="shared" si="160"/>
        <v>380366.40179999999</v>
      </c>
      <c r="AG90" s="957">
        <f t="shared" si="165"/>
        <v>12729924.901799999</v>
      </c>
      <c r="AH90" s="919">
        <f t="shared" si="161"/>
        <v>288969.29527086002</v>
      </c>
      <c r="AI90" s="957">
        <f t="shared" si="158"/>
        <v>13018894.197070859</v>
      </c>
      <c r="AJ90" s="919">
        <f t="shared" si="159"/>
        <v>325472.35492677148</v>
      </c>
      <c r="AK90" s="920">
        <f t="shared" si="162"/>
        <v>13344366.551997632</v>
      </c>
      <c r="AL90" s="919">
        <f t="shared" si="123"/>
        <v>333609.16379994084</v>
      </c>
      <c r="AM90" s="982">
        <f t="shared" si="144"/>
        <v>13677975.715797573</v>
      </c>
      <c r="AN90" s="919">
        <f t="shared" si="124"/>
        <v>341949.39289493934</v>
      </c>
      <c r="AO90" s="920">
        <f t="shared" si="145"/>
        <v>14019925.108692512</v>
      </c>
      <c r="AP90" s="919">
        <f t="shared" si="125"/>
        <v>350498.12771731283</v>
      </c>
      <c r="AQ90" s="920">
        <f t="shared" si="126"/>
        <v>14370423.236409824</v>
      </c>
      <c r="AR90" s="919">
        <f t="shared" si="127"/>
        <v>431112.69709229469</v>
      </c>
      <c r="AS90" s="920">
        <f t="shared" si="128"/>
        <v>14801535.933502119</v>
      </c>
      <c r="AT90" s="920">
        <f t="shared" si="146"/>
        <v>444046.07800506358</v>
      </c>
      <c r="AU90" s="919">
        <f t="shared" si="129"/>
        <v>592061.43734008481</v>
      </c>
      <c r="AV90" s="919"/>
      <c r="AW90" s="920">
        <f t="shared" si="130"/>
        <v>15393597.370842203</v>
      </c>
      <c r="AX90" s="920">
        <f t="shared" si="147"/>
        <v>461807.92112526606</v>
      </c>
      <c r="AY90" s="919">
        <f t="shared" si="131"/>
        <v>615743.89483368816</v>
      </c>
      <c r="AZ90" s="919"/>
      <c r="BA90" s="920">
        <f t="shared" si="132"/>
        <v>16009341.265675891</v>
      </c>
      <c r="BB90" s="920">
        <f t="shared" si="148"/>
        <v>480280.23797027674</v>
      </c>
      <c r="BC90" s="919">
        <f t="shared" si="133"/>
        <v>640373.65062703565</v>
      </c>
      <c r="BD90" s="919"/>
      <c r="BE90" s="975">
        <f t="shared" si="134"/>
        <v>16649714.916302927</v>
      </c>
      <c r="BF90" s="975">
        <f t="shared" si="149"/>
        <v>499491.44748908776</v>
      </c>
      <c r="BG90" s="919">
        <f t="shared" si="135"/>
        <v>665988.59665211709</v>
      </c>
      <c r="BH90" s="975"/>
      <c r="BI90" s="975">
        <f t="shared" si="136"/>
        <v>17315703.512955043</v>
      </c>
      <c r="BJ90" s="975">
        <f t="shared" si="150"/>
        <v>519471.10538865131</v>
      </c>
      <c r="BK90" s="919">
        <f t="shared" si="137"/>
        <v>692628.14051820175</v>
      </c>
      <c r="BL90" s="975"/>
      <c r="BM90" s="975">
        <f t="shared" si="138"/>
        <v>18008331.653473247</v>
      </c>
      <c r="BN90" s="926">
        <f t="shared" si="139"/>
        <v>1350624.8740104935</v>
      </c>
      <c r="BO90" s="926">
        <f t="shared" si="140"/>
        <v>450208.29133683117</v>
      </c>
      <c r="BP90" s="926">
        <f t="shared" si="141"/>
        <v>2160999.7984167896</v>
      </c>
      <c r="BQ90" s="926">
        <f t="shared" si="142"/>
        <v>21970164.617237359</v>
      </c>
      <c r="BR90" s="926">
        <f t="shared" si="143"/>
        <v>227552.19696776132</v>
      </c>
      <c r="BS90" s="963">
        <v>0.15</v>
      </c>
      <c r="BT90" s="954">
        <f t="shared" si="85"/>
        <v>3295524.6925856038</v>
      </c>
      <c r="BU90" s="926">
        <f t="shared" si="115"/>
        <v>50000</v>
      </c>
      <c r="BV90" s="954">
        <f t="shared" si="166"/>
        <v>463646.38465508627</v>
      </c>
      <c r="BW90" s="869">
        <f t="shared" si="155"/>
        <v>7</v>
      </c>
      <c r="BX90" s="954">
        <f t="shared" si="167"/>
        <v>18674639.924651757</v>
      </c>
      <c r="BZ90" s="959">
        <v>46082</v>
      </c>
      <c r="CA90" s="960">
        <f t="shared" si="156"/>
        <v>7</v>
      </c>
      <c r="CB90" s="960">
        <f t="shared" si="151"/>
        <v>8</v>
      </c>
      <c r="GI90" s="912"/>
    </row>
    <row r="91" spans="1:191" x14ac:dyDescent="0.2">
      <c r="A91" s="952">
        <f t="shared" si="157"/>
        <v>78</v>
      </c>
      <c r="B91" s="952">
        <f t="shared" si="157"/>
        <v>6</v>
      </c>
      <c r="C91" s="952" t="s">
        <v>558</v>
      </c>
      <c r="D91" s="952"/>
      <c r="E91" s="952" t="s">
        <v>180</v>
      </c>
      <c r="F91" s="869" t="s">
        <v>194</v>
      </c>
      <c r="G91" s="869" t="s">
        <v>121</v>
      </c>
      <c r="H91" s="869" t="s">
        <v>200</v>
      </c>
      <c r="I91" s="869" t="s">
        <v>109</v>
      </c>
      <c r="J91" s="926">
        <v>61.56</v>
      </c>
      <c r="K91" s="962">
        <v>4.0999999999999996</v>
      </c>
      <c r="L91" s="962">
        <v>0</v>
      </c>
      <c r="M91" s="926">
        <f t="shared" si="70"/>
        <v>65.66</v>
      </c>
      <c r="N91" s="926"/>
      <c r="O91" s="926"/>
      <c r="P91" s="965"/>
      <c r="Q91" s="926">
        <f t="shared" si="168"/>
        <v>8125920</v>
      </c>
      <c r="R91" s="926">
        <f t="shared" si="169"/>
        <v>270600</v>
      </c>
      <c r="S91" s="926">
        <f t="shared" si="153"/>
        <v>8396520</v>
      </c>
      <c r="T91" s="926"/>
      <c r="U91" s="869">
        <v>6</v>
      </c>
      <c r="V91" s="926">
        <f t="shared" si="170"/>
        <v>196980</v>
      </c>
      <c r="W91" s="926"/>
      <c r="X91" s="954">
        <f t="shared" si="171"/>
        <v>41982.6</v>
      </c>
      <c r="Y91" s="961"/>
      <c r="Z91" s="926"/>
      <c r="AA91" s="961" t="str">
        <f t="shared" si="172"/>
        <v>INNER</v>
      </c>
      <c r="AB91" s="961"/>
      <c r="AC91" s="926">
        <f t="shared" si="114"/>
        <v>238962.6</v>
      </c>
      <c r="AD91" s="926"/>
      <c r="AE91" s="956">
        <f t="shared" si="154"/>
        <v>8635482.5999999996</v>
      </c>
      <c r="AF91" s="956">
        <f t="shared" si="160"/>
        <v>265972.86407999997</v>
      </c>
      <c r="AG91" s="957">
        <f t="shared" si="165"/>
        <v>8901455.4640800003</v>
      </c>
      <c r="AH91" s="919">
        <f t="shared" si="161"/>
        <v>202063.03903461603</v>
      </c>
      <c r="AI91" s="957">
        <f t="shared" si="158"/>
        <v>9103518.5031146165</v>
      </c>
      <c r="AJ91" s="919">
        <f t="shared" si="159"/>
        <v>227587.96257786543</v>
      </c>
      <c r="AK91" s="920">
        <f t="shared" si="162"/>
        <v>9331106.465692481</v>
      </c>
      <c r="AL91" s="919">
        <f t="shared" si="123"/>
        <v>233277.66164231204</v>
      </c>
      <c r="AM91" s="982">
        <f t="shared" si="144"/>
        <v>9564384.1273347922</v>
      </c>
      <c r="AN91" s="919">
        <f t="shared" si="124"/>
        <v>239109.60318336982</v>
      </c>
      <c r="AO91" s="920">
        <f t="shared" si="145"/>
        <v>9803493.7305181623</v>
      </c>
      <c r="AP91" s="919">
        <f t="shared" si="125"/>
        <v>245087.34326295406</v>
      </c>
      <c r="AQ91" s="920">
        <f t="shared" si="126"/>
        <v>10048581.073781116</v>
      </c>
      <c r="AR91" s="919">
        <f t="shared" si="127"/>
        <v>301457.43221343349</v>
      </c>
      <c r="AS91" s="920">
        <f t="shared" si="128"/>
        <v>10350038.505994549</v>
      </c>
      <c r="AT91" s="920">
        <f t="shared" si="146"/>
        <v>310501.15517983644</v>
      </c>
      <c r="AU91" s="919">
        <f t="shared" si="129"/>
        <v>414001.54023978196</v>
      </c>
      <c r="AV91" s="919"/>
      <c r="AW91" s="920">
        <f t="shared" si="130"/>
        <v>10764040.04623433</v>
      </c>
      <c r="AX91" s="920">
        <f t="shared" si="147"/>
        <v>322921.2013870299</v>
      </c>
      <c r="AY91" s="919">
        <f t="shared" si="131"/>
        <v>430561.6018493732</v>
      </c>
      <c r="AZ91" s="919"/>
      <c r="BA91" s="920">
        <f t="shared" si="132"/>
        <v>11194601.648083704</v>
      </c>
      <c r="BB91" s="920">
        <f t="shared" si="148"/>
        <v>335838.04944251111</v>
      </c>
      <c r="BC91" s="919">
        <f t="shared" si="133"/>
        <v>447784.06592334813</v>
      </c>
      <c r="BD91" s="919"/>
      <c r="BE91" s="975">
        <f t="shared" si="134"/>
        <v>11642385.714007052</v>
      </c>
      <c r="BF91" s="975">
        <f t="shared" si="149"/>
        <v>349271.57142021152</v>
      </c>
      <c r="BG91" s="919">
        <f t="shared" si="135"/>
        <v>465695.4285602821</v>
      </c>
      <c r="BH91" s="975"/>
      <c r="BI91" s="975">
        <f t="shared" si="136"/>
        <v>12108081.142567333</v>
      </c>
      <c r="BJ91" s="975">
        <f t="shared" si="150"/>
        <v>363242.43427701999</v>
      </c>
      <c r="BK91" s="919">
        <f t="shared" si="137"/>
        <v>484323.2457026933</v>
      </c>
      <c r="BL91" s="975"/>
      <c r="BM91" s="975">
        <f t="shared" si="138"/>
        <v>12592404.388270026</v>
      </c>
      <c r="BN91" s="926">
        <f t="shared" si="139"/>
        <v>944430.32912025193</v>
      </c>
      <c r="BO91" s="926">
        <f t="shared" si="140"/>
        <v>314810.10970675066</v>
      </c>
      <c r="BP91" s="926">
        <f t="shared" si="141"/>
        <v>1511088.5265924032</v>
      </c>
      <c r="BQ91" s="926">
        <f t="shared" si="142"/>
        <v>15362733.353689432</v>
      </c>
      <c r="BR91" s="926">
        <f t="shared" si="143"/>
        <v>233974.00782347599</v>
      </c>
      <c r="BS91" s="963">
        <v>0.15</v>
      </c>
      <c r="BT91" s="954">
        <f t="shared" si="85"/>
        <v>2304410.0030534146</v>
      </c>
      <c r="BU91" s="926">
        <f t="shared" si="115"/>
        <v>50000</v>
      </c>
      <c r="BV91" s="954">
        <f t="shared" si="166"/>
        <v>322058.57186477352</v>
      </c>
      <c r="BW91" s="869">
        <f t="shared" si="155"/>
        <v>7</v>
      </c>
      <c r="BX91" s="954">
        <f t="shared" si="167"/>
        <v>13058323.350636017</v>
      </c>
      <c r="BZ91" s="959">
        <v>46082</v>
      </c>
      <c r="CA91" s="960">
        <f t="shared" si="156"/>
        <v>7</v>
      </c>
      <c r="CB91" s="960">
        <f t="shared" si="151"/>
        <v>8</v>
      </c>
      <c r="GI91" s="912"/>
    </row>
    <row r="92" spans="1:191" x14ac:dyDescent="0.2">
      <c r="A92" s="952">
        <f t="shared" si="157"/>
        <v>79</v>
      </c>
      <c r="B92" s="952">
        <f t="shared" si="157"/>
        <v>7</v>
      </c>
      <c r="C92" s="952" t="s">
        <v>558</v>
      </c>
      <c r="D92" s="952"/>
      <c r="E92" s="952" t="s">
        <v>180</v>
      </c>
      <c r="F92" s="869" t="s">
        <v>194</v>
      </c>
      <c r="G92" s="869" t="s">
        <v>123</v>
      </c>
      <c r="H92" s="869" t="s">
        <v>201</v>
      </c>
      <c r="I92" s="869" t="s">
        <v>109</v>
      </c>
      <c r="J92" s="926">
        <v>95.44</v>
      </c>
      <c r="K92" s="962">
        <v>13.34</v>
      </c>
      <c r="L92" s="962">
        <v>0</v>
      </c>
      <c r="M92" s="926">
        <f t="shared" si="70"/>
        <v>108.78</v>
      </c>
      <c r="N92" s="926"/>
      <c r="O92" s="926"/>
      <c r="P92" s="965"/>
      <c r="Q92" s="926">
        <f t="shared" si="168"/>
        <v>12598080</v>
      </c>
      <c r="R92" s="926">
        <f t="shared" si="169"/>
        <v>880440</v>
      </c>
      <c r="S92" s="926">
        <f t="shared" si="153"/>
        <v>13478520</v>
      </c>
      <c r="T92" s="926"/>
      <c r="U92" s="869">
        <v>6</v>
      </c>
      <c r="V92" s="926">
        <f t="shared" si="170"/>
        <v>326340.00000000006</v>
      </c>
      <c r="W92" s="926"/>
      <c r="X92" s="954">
        <f t="shared" si="171"/>
        <v>67392.600000000006</v>
      </c>
      <c r="Y92" s="926">
        <f>M92*$Y$5</f>
        <v>217560</v>
      </c>
      <c r="Z92" s="926"/>
      <c r="AA92" s="961" t="str">
        <f t="shared" si="172"/>
        <v>CORNER</v>
      </c>
      <c r="AB92" s="961"/>
      <c r="AC92" s="926">
        <f t="shared" si="114"/>
        <v>611292.60000000009</v>
      </c>
      <c r="AD92" s="926"/>
      <c r="AE92" s="956">
        <f t="shared" si="154"/>
        <v>14089812.6</v>
      </c>
      <c r="AF92" s="956">
        <f t="shared" si="160"/>
        <v>433966.22808000003</v>
      </c>
      <c r="AG92" s="957">
        <f t="shared" si="165"/>
        <v>14523778.82808</v>
      </c>
      <c r="AH92" s="919">
        <f t="shared" si="161"/>
        <v>329689.77939741604</v>
      </c>
      <c r="AI92" s="957">
        <f t="shared" si="158"/>
        <v>14853468.607477417</v>
      </c>
      <c r="AJ92" s="919">
        <f t="shared" si="159"/>
        <v>371336.71518693544</v>
      </c>
      <c r="AK92" s="920">
        <f t="shared" si="162"/>
        <v>15224805.322664352</v>
      </c>
      <c r="AL92" s="919">
        <f t="shared" si="123"/>
        <v>380620.1330666088</v>
      </c>
      <c r="AM92" s="982">
        <f t="shared" si="144"/>
        <v>15605425.455730962</v>
      </c>
      <c r="AN92" s="919">
        <f t="shared" si="124"/>
        <v>390135.63639327406</v>
      </c>
      <c r="AO92" s="920">
        <f t="shared" si="145"/>
        <v>15995561.092124235</v>
      </c>
      <c r="AP92" s="919">
        <f t="shared" si="125"/>
        <v>399889.02730310592</v>
      </c>
      <c r="AQ92" s="920">
        <f t="shared" si="126"/>
        <v>16395450.11942734</v>
      </c>
      <c r="AR92" s="919">
        <f t="shared" si="127"/>
        <v>491863.50358282018</v>
      </c>
      <c r="AS92" s="920">
        <f t="shared" si="128"/>
        <v>16887313.623010159</v>
      </c>
      <c r="AT92" s="920">
        <f t="shared" si="146"/>
        <v>506619.40869030473</v>
      </c>
      <c r="AU92" s="919">
        <f t="shared" si="129"/>
        <v>675492.5449204063</v>
      </c>
      <c r="AV92" s="919"/>
      <c r="AW92" s="920">
        <f t="shared" si="130"/>
        <v>17562806.167930566</v>
      </c>
      <c r="AX92" s="920">
        <f t="shared" si="147"/>
        <v>526884.18503791699</v>
      </c>
      <c r="AY92" s="919">
        <f t="shared" si="131"/>
        <v>702512.24671722262</v>
      </c>
      <c r="AZ92" s="919"/>
      <c r="BA92" s="920">
        <f t="shared" si="132"/>
        <v>18265318.414647788</v>
      </c>
      <c r="BB92" s="920">
        <f t="shared" si="148"/>
        <v>547959.55243943364</v>
      </c>
      <c r="BC92" s="919">
        <f t="shared" si="133"/>
        <v>730612.73658591148</v>
      </c>
      <c r="BD92" s="919"/>
      <c r="BE92" s="975">
        <f t="shared" si="134"/>
        <v>18995931.151233699</v>
      </c>
      <c r="BF92" s="975">
        <f t="shared" si="149"/>
        <v>569877.93453701097</v>
      </c>
      <c r="BG92" s="919">
        <f t="shared" si="135"/>
        <v>759837.24604934803</v>
      </c>
      <c r="BH92" s="975"/>
      <c r="BI92" s="975">
        <f t="shared" si="136"/>
        <v>19755768.397283047</v>
      </c>
      <c r="BJ92" s="975">
        <f t="shared" si="150"/>
        <v>592673.05191849137</v>
      </c>
      <c r="BK92" s="919">
        <f t="shared" si="137"/>
        <v>790230.73589132191</v>
      </c>
      <c r="BL92" s="975"/>
      <c r="BM92" s="975">
        <f t="shared" si="138"/>
        <v>20545999.133174371</v>
      </c>
      <c r="BN92" s="926">
        <f t="shared" si="139"/>
        <v>1540949.9349880777</v>
      </c>
      <c r="BO92" s="926">
        <f t="shared" si="140"/>
        <v>513649.97832935932</v>
      </c>
      <c r="BP92" s="926">
        <f t="shared" si="141"/>
        <v>2465519.8959809244</v>
      </c>
      <c r="BQ92" s="926">
        <f t="shared" si="142"/>
        <v>25066118.942472734</v>
      </c>
      <c r="BR92" s="926">
        <f t="shared" si="143"/>
        <v>230429.4809934982</v>
      </c>
      <c r="BS92" s="963">
        <v>0.15</v>
      </c>
      <c r="BT92" s="954">
        <f t="shared" si="85"/>
        <v>3759917.8413709099</v>
      </c>
      <c r="BU92" s="926">
        <f t="shared" si="115"/>
        <v>50000</v>
      </c>
      <c r="BV92" s="954">
        <f t="shared" si="166"/>
        <v>529988.26305298717</v>
      </c>
      <c r="BW92" s="869">
        <f t="shared" si="155"/>
        <v>7</v>
      </c>
      <c r="BX92" s="954">
        <f t="shared" si="167"/>
        <v>21306201.101101823</v>
      </c>
      <c r="BZ92" s="959">
        <v>46082</v>
      </c>
      <c r="CA92" s="960">
        <f t="shared" si="156"/>
        <v>7</v>
      </c>
      <c r="CB92" s="960">
        <f t="shared" si="151"/>
        <v>8</v>
      </c>
      <c r="GI92" s="912"/>
    </row>
    <row r="93" spans="1:191" x14ac:dyDescent="0.2">
      <c r="A93" s="952">
        <f t="shared" si="157"/>
        <v>80</v>
      </c>
      <c r="B93" s="952">
        <f t="shared" si="157"/>
        <v>8</v>
      </c>
      <c r="C93" s="952" t="s">
        <v>558</v>
      </c>
      <c r="D93" s="952"/>
      <c r="E93" s="952" t="s">
        <v>180</v>
      </c>
      <c r="F93" s="869" t="s">
        <v>194</v>
      </c>
      <c r="G93" s="869" t="s">
        <v>125</v>
      </c>
      <c r="H93" s="869" t="s">
        <v>202</v>
      </c>
      <c r="I93" s="869" t="s">
        <v>109</v>
      </c>
      <c r="J93" s="926">
        <v>69.2</v>
      </c>
      <c r="K93" s="962">
        <v>4.7699999999999996</v>
      </c>
      <c r="L93" s="962">
        <v>0</v>
      </c>
      <c r="M93" s="926">
        <f t="shared" si="70"/>
        <v>73.97</v>
      </c>
      <c r="N93" s="926"/>
      <c r="O93" s="926"/>
      <c r="P93" s="965"/>
      <c r="Q93" s="926">
        <f t="shared" si="168"/>
        <v>9134400</v>
      </c>
      <c r="R93" s="926">
        <f t="shared" si="169"/>
        <v>314820</v>
      </c>
      <c r="S93" s="926">
        <f t="shared" si="153"/>
        <v>9449220</v>
      </c>
      <c r="T93" s="926"/>
      <c r="U93" s="869">
        <v>6</v>
      </c>
      <c r="V93" s="926">
        <f t="shared" si="170"/>
        <v>221910</v>
      </c>
      <c r="W93" s="926"/>
      <c r="X93" s="954">
        <f t="shared" si="171"/>
        <v>47246.1</v>
      </c>
      <c r="Y93" s="961"/>
      <c r="Z93" s="926"/>
      <c r="AA93" s="961" t="str">
        <f t="shared" si="172"/>
        <v>INNER</v>
      </c>
      <c r="AB93" s="961"/>
      <c r="AC93" s="926">
        <f t="shared" si="114"/>
        <v>269156.09999999998</v>
      </c>
      <c r="AD93" s="926"/>
      <c r="AE93" s="956">
        <f t="shared" si="154"/>
        <v>9718376.0999999996</v>
      </c>
      <c r="AF93" s="956">
        <f t="shared" si="160"/>
        <v>299325.98388000001</v>
      </c>
      <c r="AG93" s="957">
        <f t="shared" si="165"/>
        <v>10017702.08388</v>
      </c>
      <c r="AH93" s="919">
        <f t="shared" si="161"/>
        <v>227401.83730407601</v>
      </c>
      <c r="AI93" s="957">
        <f t="shared" si="158"/>
        <v>10245103.921184076</v>
      </c>
      <c r="AJ93" s="919">
        <f t="shared" si="159"/>
        <v>256127.59802960191</v>
      </c>
      <c r="AK93" s="920">
        <f t="shared" si="162"/>
        <v>10501231.519213678</v>
      </c>
      <c r="AL93" s="919">
        <f t="shared" si="123"/>
        <v>262530.78798034199</v>
      </c>
      <c r="AM93" s="982">
        <f t="shared" si="144"/>
        <v>10763762.307194021</v>
      </c>
      <c r="AN93" s="919">
        <f t="shared" si="124"/>
        <v>269094.05767985055</v>
      </c>
      <c r="AO93" s="920">
        <f t="shared" si="145"/>
        <v>11032856.364873871</v>
      </c>
      <c r="AP93" s="919">
        <f t="shared" si="125"/>
        <v>275821.40912184678</v>
      </c>
      <c r="AQ93" s="920">
        <f t="shared" si="126"/>
        <v>11308677.773995718</v>
      </c>
      <c r="AR93" s="919">
        <f t="shared" si="127"/>
        <v>339260.33321987151</v>
      </c>
      <c r="AS93" s="920">
        <f t="shared" si="128"/>
        <v>11647938.107215589</v>
      </c>
      <c r="AT93" s="920">
        <f t="shared" si="146"/>
        <v>349438.14321646764</v>
      </c>
      <c r="AU93" s="919">
        <f t="shared" si="129"/>
        <v>465917.52428862359</v>
      </c>
      <c r="AV93" s="919"/>
      <c r="AW93" s="920">
        <f t="shared" si="130"/>
        <v>12113855.631504212</v>
      </c>
      <c r="AX93" s="920">
        <f t="shared" si="147"/>
        <v>363415.66894512635</v>
      </c>
      <c r="AY93" s="919">
        <f t="shared" si="131"/>
        <v>484554.22526016849</v>
      </c>
      <c r="AZ93" s="919"/>
      <c r="BA93" s="920">
        <f t="shared" si="132"/>
        <v>12598409.85676438</v>
      </c>
      <c r="BB93" s="920">
        <f t="shared" si="148"/>
        <v>377952.29570293135</v>
      </c>
      <c r="BC93" s="919">
        <f t="shared" si="133"/>
        <v>503936.3942705752</v>
      </c>
      <c r="BD93" s="919"/>
      <c r="BE93" s="975">
        <f t="shared" si="134"/>
        <v>13102346.251034955</v>
      </c>
      <c r="BF93" s="975">
        <f t="shared" si="149"/>
        <v>393070.38753104862</v>
      </c>
      <c r="BG93" s="919">
        <f t="shared" si="135"/>
        <v>524093.8500413982</v>
      </c>
      <c r="BH93" s="975"/>
      <c r="BI93" s="975">
        <f t="shared" si="136"/>
        <v>13626440.101076353</v>
      </c>
      <c r="BJ93" s="975">
        <f t="shared" si="150"/>
        <v>408793.20303229056</v>
      </c>
      <c r="BK93" s="919">
        <f t="shared" si="137"/>
        <v>545057.60404305416</v>
      </c>
      <c r="BL93" s="975"/>
      <c r="BM93" s="975">
        <f t="shared" si="138"/>
        <v>14171497.705119407</v>
      </c>
      <c r="BN93" s="926">
        <f t="shared" si="139"/>
        <v>1062862.3278839556</v>
      </c>
      <c r="BO93" s="926">
        <f t="shared" si="140"/>
        <v>354287.44262798521</v>
      </c>
      <c r="BP93" s="926">
        <f t="shared" si="141"/>
        <v>1700579.7246143287</v>
      </c>
      <c r="BQ93" s="926">
        <f t="shared" si="142"/>
        <v>17289227.200245675</v>
      </c>
      <c r="BR93" s="926">
        <f t="shared" si="143"/>
        <v>233732.96201494761</v>
      </c>
      <c r="BS93" s="963">
        <v>0.15</v>
      </c>
      <c r="BT93" s="954">
        <f t="shared" si="85"/>
        <v>2593384.0800368511</v>
      </c>
      <c r="BU93" s="926">
        <f t="shared" si="115"/>
        <v>50000</v>
      </c>
      <c r="BV93" s="954">
        <f t="shared" si="166"/>
        <v>363340.58286240732</v>
      </c>
      <c r="BW93" s="869">
        <f t="shared" si="155"/>
        <v>7</v>
      </c>
      <c r="BX93" s="954">
        <f t="shared" si="167"/>
        <v>14695843.120208824</v>
      </c>
      <c r="BZ93" s="959">
        <v>46082</v>
      </c>
      <c r="CA93" s="960">
        <f t="shared" si="156"/>
        <v>7</v>
      </c>
      <c r="CB93" s="960">
        <f t="shared" si="151"/>
        <v>8</v>
      </c>
      <c r="GI93" s="912"/>
    </row>
    <row r="94" spans="1:191" x14ac:dyDescent="0.2">
      <c r="A94" s="952">
        <f t="shared" si="157"/>
        <v>81</v>
      </c>
      <c r="B94" s="952">
        <f t="shared" si="157"/>
        <v>9</v>
      </c>
      <c r="C94" s="952" t="s">
        <v>558</v>
      </c>
      <c r="D94" s="952"/>
      <c r="E94" s="952" t="s">
        <v>180</v>
      </c>
      <c r="F94" s="869" t="s">
        <v>194</v>
      </c>
      <c r="G94" s="869" t="s">
        <v>127</v>
      </c>
      <c r="H94" s="869" t="s">
        <v>203</v>
      </c>
      <c r="I94" s="869" t="s">
        <v>109</v>
      </c>
      <c r="J94" s="926">
        <v>69.36</v>
      </c>
      <c r="K94" s="962">
        <v>4.79</v>
      </c>
      <c r="L94" s="962">
        <v>0</v>
      </c>
      <c r="M94" s="926">
        <f t="shared" si="70"/>
        <v>74.150000000000006</v>
      </c>
      <c r="N94" s="926"/>
      <c r="O94" s="926"/>
      <c r="P94" s="965"/>
      <c r="Q94" s="926">
        <f t="shared" si="168"/>
        <v>9155520</v>
      </c>
      <c r="R94" s="926">
        <f t="shared" si="169"/>
        <v>316140</v>
      </c>
      <c r="S94" s="926">
        <f t="shared" si="153"/>
        <v>9471660</v>
      </c>
      <c r="T94" s="926"/>
      <c r="U94" s="869">
        <v>6</v>
      </c>
      <c r="V94" s="926">
        <f t="shared" si="170"/>
        <v>222450.00000000003</v>
      </c>
      <c r="W94" s="926"/>
      <c r="X94" s="954">
        <f t="shared" si="171"/>
        <v>47358.3</v>
      </c>
      <c r="Y94" s="961"/>
      <c r="Z94" s="926"/>
      <c r="AA94" s="961" t="str">
        <f t="shared" si="172"/>
        <v>INNER</v>
      </c>
      <c r="AB94" s="961"/>
      <c r="AC94" s="926">
        <f t="shared" si="114"/>
        <v>269808.30000000005</v>
      </c>
      <c r="AD94" s="926"/>
      <c r="AE94" s="956">
        <f t="shared" si="154"/>
        <v>9741468.3000000007</v>
      </c>
      <c r="AF94" s="956">
        <f t="shared" si="160"/>
        <v>300037.22364000004</v>
      </c>
      <c r="AG94" s="957">
        <f t="shared" si="165"/>
        <v>10041505.523640001</v>
      </c>
      <c r="AH94" s="919">
        <f t="shared" si="161"/>
        <v>227942.17538662805</v>
      </c>
      <c r="AI94" s="957">
        <f t="shared" si="158"/>
        <v>10269447.699026629</v>
      </c>
      <c r="AJ94" s="919">
        <f t="shared" si="159"/>
        <v>256736.19247566574</v>
      </c>
      <c r="AK94" s="920">
        <f t="shared" si="162"/>
        <v>10526183.891502295</v>
      </c>
      <c r="AL94" s="919">
        <f t="shared" si="123"/>
        <v>263154.59728755738</v>
      </c>
      <c r="AM94" s="920">
        <f t="shared" si="144"/>
        <v>10789338.488789853</v>
      </c>
      <c r="AN94" s="919">
        <f t="shared" si="124"/>
        <v>269733.46221974632</v>
      </c>
      <c r="AO94" s="920">
        <f t="shared" si="145"/>
        <v>11059071.951009599</v>
      </c>
      <c r="AP94" s="919">
        <f t="shared" si="125"/>
        <v>276476.79877524002</v>
      </c>
      <c r="AQ94" s="920">
        <f t="shared" si="126"/>
        <v>11335548.74978484</v>
      </c>
      <c r="AR94" s="919">
        <f t="shared" si="127"/>
        <v>340066.4624935452</v>
      </c>
      <c r="AS94" s="920">
        <f t="shared" si="128"/>
        <v>11675615.212278385</v>
      </c>
      <c r="AT94" s="920">
        <f t="shared" si="146"/>
        <v>350268.45636835153</v>
      </c>
      <c r="AU94" s="919">
        <f t="shared" si="129"/>
        <v>467024.60849113541</v>
      </c>
      <c r="AV94" s="919"/>
      <c r="AW94" s="920">
        <f t="shared" si="130"/>
        <v>12142639.82076952</v>
      </c>
      <c r="AX94" s="920">
        <f t="shared" si="147"/>
        <v>364279.19462308561</v>
      </c>
      <c r="AY94" s="919">
        <f t="shared" si="131"/>
        <v>485705.59283078084</v>
      </c>
      <c r="AZ94" s="919"/>
      <c r="BA94" s="920">
        <f t="shared" si="132"/>
        <v>12628345.413600301</v>
      </c>
      <c r="BB94" s="920">
        <f t="shared" si="148"/>
        <v>378850.36240800901</v>
      </c>
      <c r="BC94" s="919">
        <f t="shared" si="133"/>
        <v>505133.81654401205</v>
      </c>
      <c r="BD94" s="919"/>
      <c r="BE94" s="975">
        <f t="shared" si="134"/>
        <v>13133479.230144313</v>
      </c>
      <c r="BF94" s="975">
        <f t="shared" si="149"/>
        <v>394004.37690432934</v>
      </c>
      <c r="BG94" s="919">
        <f t="shared" si="135"/>
        <v>525339.16920577246</v>
      </c>
      <c r="BH94" s="975"/>
      <c r="BI94" s="975">
        <f t="shared" si="136"/>
        <v>13658818.399350084</v>
      </c>
      <c r="BJ94" s="975">
        <f t="shared" si="150"/>
        <v>409764.5519805025</v>
      </c>
      <c r="BK94" s="919">
        <f t="shared" si="137"/>
        <v>546352.73597400333</v>
      </c>
      <c r="BL94" s="975"/>
      <c r="BM94" s="975">
        <f t="shared" si="138"/>
        <v>14205171.135324087</v>
      </c>
      <c r="BN94" s="926">
        <f t="shared" si="139"/>
        <v>1065387.8351493066</v>
      </c>
      <c r="BO94" s="926">
        <f t="shared" si="140"/>
        <v>355129.27838310221</v>
      </c>
      <c r="BP94" s="926">
        <f t="shared" si="141"/>
        <v>1704620.5362388904</v>
      </c>
      <c r="BQ94" s="926">
        <f t="shared" si="142"/>
        <v>17330308.785095386</v>
      </c>
      <c r="BR94" s="926">
        <f t="shared" si="143"/>
        <v>233719.606002635</v>
      </c>
      <c r="BS94" s="963">
        <v>0.15</v>
      </c>
      <c r="BT94" s="954">
        <f t="shared" si="85"/>
        <v>2599546.3177643078</v>
      </c>
      <c r="BU94" s="926">
        <f t="shared" si="115"/>
        <v>50000</v>
      </c>
      <c r="BV94" s="954">
        <f t="shared" si="166"/>
        <v>364220.90253775829</v>
      </c>
      <c r="BW94" s="869">
        <f t="shared" si="155"/>
        <v>7</v>
      </c>
      <c r="BX94" s="954">
        <f t="shared" si="167"/>
        <v>14730762.467331078</v>
      </c>
      <c r="BZ94" s="959">
        <v>46082</v>
      </c>
      <c r="CA94" s="960">
        <f t="shared" si="156"/>
        <v>7</v>
      </c>
      <c r="CB94" s="960">
        <f t="shared" si="151"/>
        <v>8</v>
      </c>
      <c r="GI94" s="912"/>
    </row>
    <row r="95" spans="1:191" x14ac:dyDescent="0.2">
      <c r="A95" s="952">
        <f t="shared" si="157"/>
        <v>82</v>
      </c>
      <c r="B95" s="952">
        <f t="shared" si="157"/>
        <v>10</v>
      </c>
      <c r="C95" s="952" t="s">
        <v>104</v>
      </c>
      <c r="D95" s="952"/>
      <c r="E95" s="952" t="s">
        <v>180</v>
      </c>
      <c r="F95" s="869" t="s">
        <v>194</v>
      </c>
      <c r="G95" s="869" t="s">
        <v>129</v>
      </c>
      <c r="H95" s="869" t="s">
        <v>204</v>
      </c>
      <c r="I95" s="869" t="s">
        <v>109</v>
      </c>
      <c r="J95" s="926">
        <v>69.36</v>
      </c>
      <c r="K95" s="962">
        <v>4.79</v>
      </c>
      <c r="L95" s="962">
        <v>0</v>
      </c>
      <c r="M95" s="926">
        <f t="shared" si="70"/>
        <v>74.150000000000006</v>
      </c>
      <c r="N95" s="926"/>
      <c r="O95" s="926"/>
      <c r="P95" s="965"/>
      <c r="Q95" s="926">
        <f t="shared" si="168"/>
        <v>9155520</v>
      </c>
      <c r="R95" s="926">
        <f t="shared" si="169"/>
        <v>316140</v>
      </c>
      <c r="S95" s="926">
        <f t="shared" si="153"/>
        <v>9471660</v>
      </c>
      <c r="T95" s="926"/>
      <c r="U95" s="869">
        <v>6</v>
      </c>
      <c r="V95" s="926">
        <f t="shared" si="170"/>
        <v>222450.00000000003</v>
      </c>
      <c r="W95" s="926"/>
      <c r="X95" s="954">
        <f t="shared" si="171"/>
        <v>47358.3</v>
      </c>
      <c r="Y95" s="961"/>
      <c r="Z95" s="926"/>
      <c r="AA95" s="961" t="str">
        <f t="shared" si="172"/>
        <v>INNER</v>
      </c>
      <c r="AB95" s="961"/>
      <c r="AC95" s="926">
        <f t="shared" ref="AC95:AC98" si="173">SUM(V95:Z95)</f>
        <v>269808.30000000005</v>
      </c>
      <c r="AD95" s="926"/>
      <c r="AE95" s="956">
        <f t="shared" si="154"/>
        <v>9741468.3000000007</v>
      </c>
      <c r="AF95" s="956">
        <f t="shared" si="160"/>
        <v>300037.22364000004</v>
      </c>
      <c r="AG95" s="957">
        <f t="shared" si="165"/>
        <v>10041505.523640001</v>
      </c>
      <c r="AH95" s="919">
        <f t="shared" si="161"/>
        <v>227942.17538662805</v>
      </c>
      <c r="AI95" s="957">
        <f t="shared" si="158"/>
        <v>10269447.699026629</v>
      </c>
      <c r="AJ95" s="919">
        <f t="shared" si="159"/>
        <v>256736.19247566574</v>
      </c>
      <c r="AK95" s="920">
        <f t="shared" si="162"/>
        <v>10526183.891502295</v>
      </c>
      <c r="AL95" s="919">
        <f t="shared" si="123"/>
        <v>263154.59728755738</v>
      </c>
      <c r="AM95" s="920">
        <f t="shared" si="144"/>
        <v>10789338.488789853</v>
      </c>
      <c r="AN95" s="919">
        <f t="shared" si="124"/>
        <v>269733.46221974632</v>
      </c>
      <c r="AO95" s="920">
        <f t="shared" si="145"/>
        <v>11059071.951009599</v>
      </c>
      <c r="AP95" s="919">
        <f t="shared" si="125"/>
        <v>276476.79877524002</v>
      </c>
      <c r="AQ95" s="920">
        <f t="shared" si="126"/>
        <v>11335548.74978484</v>
      </c>
      <c r="AR95" s="919">
        <f t="shared" si="127"/>
        <v>340066.4624935452</v>
      </c>
      <c r="AS95" s="920">
        <f t="shared" si="128"/>
        <v>11675615.212278385</v>
      </c>
      <c r="AT95" s="920">
        <f t="shared" si="146"/>
        <v>350268.45636835153</v>
      </c>
      <c r="AU95" s="919">
        <f t="shared" si="129"/>
        <v>467024.60849113541</v>
      </c>
      <c r="AV95" s="919"/>
      <c r="AW95" s="920">
        <f t="shared" si="130"/>
        <v>12142639.82076952</v>
      </c>
      <c r="AX95" s="920">
        <f t="shared" si="147"/>
        <v>364279.19462308561</v>
      </c>
      <c r="AY95" s="919">
        <f t="shared" si="131"/>
        <v>485705.59283078084</v>
      </c>
      <c r="AZ95" s="919"/>
      <c r="BA95" s="920">
        <f t="shared" si="132"/>
        <v>12628345.413600301</v>
      </c>
      <c r="BB95" s="920">
        <f t="shared" si="148"/>
        <v>378850.36240800901</v>
      </c>
      <c r="BC95" s="919">
        <f t="shared" si="133"/>
        <v>505133.81654401205</v>
      </c>
      <c r="BD95" s="919">
        <f>BC95-BB95</f>
        <v>126283.45413600304</v>
      </c>
      <c r="BE95" s="975">
        <f t="shared" si="134"/>
        <v>13133479.230144313</v>
      </c>
      <c r="BF95" s="975">
        <f t="shared" si="149"/>
        <v>394004.37690432934</v>
      </c>
      <c r="BG95" s="919">
        <f t="shared" si="135"/>
        <v>525339.16920577246</v>
      </c>
      <c r="BH95" s="975"/>
      <c r="BI95" s="975">
        <f t="shared" si="136"/>
        <v>13658818.399350084</v>
      </c>
      <c r="BJ95" s="975">
        <f t="shared" si="150"/>
        <v>409764.5519805025</v>
      </c>
      <c r="BK95" s="919">
        <f t="shared" si="137"/>
        <v>546352.73597400333</v>
      </c>
      <c r="BL95" s="975"/>
      <c r="BM95" s="975">
        <f t="shared" si="138"/>
        <v>14205171.135324087</v>
      </c>
      <c r="BN95" s="926">
        <f t="shared" si="139"/>
        <v>1065387.8351493066</v>
      </c>
      <c r="BO95" s="926">
        <f t="shared" si="140"/>
        <v>355129.27838310221</v>
      </c>
      <c r="BP95" s="926">
        <f t="shared" si="141"/>
        <v>1704620.5362388904</v>
      </c>
      <c r="BQ95" s="926">
        <f t="shared" si="142"/>
        <v>17330308.785095386</v>
      </c>
      <c r="BR95" s="926">
        <f t="shared" si="143"/>
        <v>233719.606002635</v>
      </c>
      <c r="BS95" s="963">
        <v>0.15</v>
      </c>
      <c r="BT95" s="954">
        <f t="shared" si="85"/>
        <v>2599546.3177643078</v>
      </c>
      <c r="BU95" s="926">
        <f t="shared" si="115"/>
        <v>50000</v>
      </c>
      <c r="BV95" s="954">
        <f t="shared" si="166"/>
        <v>364220.90253775829</v>
      </c>
      <c r="BW95" s="869">
        <f t="shared" si="155"/>
        <v>7</v>
      </c>
      <c r="BX95" s="954">
        <f t="shared" si="167"/>
        <v>14730762.467331078</v>
      </c>
      <c r="BZ95" s="959">
        <v>46082</v>
      </c>
      <c r="CA95" s="960">
        <f t="shared" si="156"/>
        <v>7</v>
      </c>
      <c r="CB95" s="960">
        <f t="shared" si="151"/>
        <v>8</v>
      </c>
      <c r="GI95" s="912"/>
    </row>
    <row r="96" spans="1:191" x14ac:dyDescent="0.2">
      <c r="A96" s="952">
        <f t="shared" si="157"/>
        <v>83</v>
      </c>
      <c r="B96" s="952">
        <f t="shared" si="157"/>
        <v>11</v>
      </c>
      <c r="C96" s="952" t="s">
        <v>104</v>
      </c>
      <c r="D96" s="952"/>
      <c r="E96" s="952" t="s">
        <v>180</v>
      </c>
      <c r="F96" s="869" t="s">
        <v>194</v>
      </c>
      <c r="G96" s="869" t="s">
        <v>131</v>
      </c>
      <c r="H96" s="869" t="s">
        <v>205</v>
      </c>
      <c r="I96" s="869" t="s">
        <v>113</v>
      </c>
      <c r="J96" s="926">
        <v>69.36</v>
      </c>
      <c r="K96" s="962">
        <v>4.79</v>
      </c>
      <c r="L96" s="962">
        <v>0</v>
      </c>
      <c r="M96" s="926">
        <f t="shared" si="70"/>
        <v>74.150000000000006</v>
      </c>
      <c r="N96" s="926"/>
      <c r="O96" s="926"/>
      <c r="P96" s="965"/>
      <c r="Q96" s="926">
        <f t="shared" si="168"/>
        <v>9155520</v>
      </c>
      <c r="R96" s="926">
        <f t="shared" si="169"/>
        <v>316140</v>
      </c>
      <c r="S96" s="926">
        <f t="shared" si="153"/>
        <v>9471660</v>
      </c>
      <c r="T96" s="926"/>
      <c r="U96" s="869">
        <v>6</v>
      </c>
      <c r="V96" s="926">
        <f t="shared" si="170"/>
        <v>222450.00000000003</v>
      </c>
      <c r="W96" s="926"/>
      <c r="X96" s="954">
        <f t="shared" si="171"/>
        <v>47358.3</v>
      </c>
      <c r="Y96" s="961"/>
      <c r="Z96" s="926"/>
      <c r="AA96" s="961" t="str">
        <f t="shared" si="172"/>
        <v>INNER</v>
      </c>
      <c r="AB96" s="961"/>
      <c r="AC96" s="926">
        <f t="shared" si="173"/>
        <v>269808.30000000005</v>
      </c>
      <c r="AD96" s="926"/>
      <c r="AE96" s="956">
        <f t="shared" si="154"/>
        <v>9741468.3000000007</v>
      </c>
      <c r="AF96" s="956">
        <f t="shared" si="160"/>
        <v>300037.22364000004</v>
      </c>
      <c r="AG96" s="957">
        <f t="shared" si="165"/>
        <v>10041505.523640001</v>
      </c>
      <c r="AH96" s="919">
        <f t="shared" si="161"/>
        <v>227942.17538662805</v>
      </c>
      <c r="AI96" s="957">
        <f t="shared" si="158"/>
        <v>10269447.699026629</v>
      </c>
      <c r="AJ96" s="919">
        <f t="shared" si="159"/>
        <v>256736.19247566574</v>
      </c>
      <c r="AK96" s="920">
        <f t="shared" si="162"/>
        <v>10526183.891502295</v>
      </c>
      <c r="AL96" s="919">
        <f t="shared" si="123"/>
        <v>263154.59728755738</v>
      </c>
      <c r="AM96" s="920">
        <f t="shared" si="144"/>
        <v>10789338.488789853</v>
      </c>
      <c r="AN96" s="919">
        <f t="shared" si="124"/>
        <v>269733.46221974632</v>
      </c>
      <c r="AO96" s="920">
        <f t="shared" si="145"/>
        <v>11059071.951009599</v>
      </c>
      <c r="AP96" s="919">
        <f t="shared" si="125"/>
        <v>276476.79877524002</v>
      </c>
      <c r="AQ96" s="920">
        <f t="shared" si="126"/>
        <v>11335548.74978484</v>
      </c>
      <c r="AR96" s="919">
        <f t="shared" si="127"/>
        <v>340066.4624935452</v>
      </c>
      <c r="AS96" s="920">
        <f t="shared" si="128"/>
        <v>11675615.212278385</v>
      </c>
      <c r="AT96" s="920">
        <f t="shared" si="146"/>
        <v>350268.45636835153</v>
      </c>
      <c r="AU96" s="919">
        <f t="shared" si="129"/>
        <v>467024.60849113541</v>
      </c>
      <c r="AV96" s="919"/>
      <c r="AW96" s="920">
        <f t="shared" si="130"/>
        <v>12142639.82076952</v>
      </c>
      <c r="AX96" s="920">
        <f t="shared" si="147"/>
        <v>364279.19462308561</v>
      </c>
      <c r="AY96" s="919">
        <f t="shared" si="131"/>
        <v>485705.59283078084</v>
      </c>
      <c r="AZ96" s="919"/>
      <c r="BA96" s="920">
        <f t="shared" si="132"/>
        <v>12628345.413600301</v>
      </c>
      <c r="BB96" s="920">
        <f t="shared" si="148"/>
        <v>378850.36240800901</v>
      </c>
      <c r="BC96" s="919">
        <f t="shared" si="133"/>
        <v>505133.81654401205</v>
      </c>
      <c r="BD96" s="919">
        <f>BC96-BB96</f>
        <v>126283.45413600304</v>
      </c>
      <c r="BE96" s="975">
        <f t="shared" si="134"/>
        <v>13133479.230144313</v>
      </c>
      <c r="BF96" s="975">
        <f t="shared" si="149"/>
        <v>394004.37690432934</v>
      </c>
      <c r="BG96" s="919">
        <f t="shared" si="135"/>
        <v>525339.16920577246</v>
      </c>
      <c r="BH96" s="975"/>
      <c r="BI96" s="975">
        <f t="shared" si="136"/>
        <v>13658818.399350084</v>
      </c>
      <c r="BJ96" s="975">
        <f t="shared" si="150"/>
        <v>409764.5519805025</v>
      </c>
      <c r="BK96" s="919">
        <f t="shared" si="137"/>
        <v>546352.73597400333</v>
      </c>
      <c r="BL96" s="975"/>
      <c r="BM96" s="975">
        <f t="shared" si="138"/>
        <v>14205171.135324087</v>
      </c>
      <c r="BN96" s="926">
        <f t="shared" si="139"/>
        <v>1065387.8351493066</v>
      </c>
      <c r="BO96" s="926">
        <f t="shared" si="140"/>
        <v>355129.27838310221</v>
      </c>
      <c r="BP96" s="926">
        <f t="shared" si="141"/>
        <v>1704620.5362388904</v>
      </c>
      <c r="BQ96" s="926">
        <f t="shared" si="142"/>
        <v>17330308.785095386</v>
      </c>
      <c r="BR96" s="926">
        <f t="shared" si="143"/>
        <v>233719.606002635</v>
      </c>
      <c r="BS96" s="963">
        <v>0.15</v>
      </c>
      <c r="BT96" s="954">
        <f t="shared" si="85"/>
        <v>2599546.3177643078</v>
      </c>
      <c r="BU96" s="926">
        <f t="shared" si="115"/>
        <v>50000</v>
      </c>
      <c r="BV96" s="954">
        <f t="shared" si="166"/>
        <v>364220.90253775829</v>
      </c>
      <c r="BW96" s="869">
        <f t="shared" si="155"/>
        <v>7</v>
      </c>
      <c r="BX96" s="954">
        <f t="shared" si="167"/>
        <v>14730762.467331078</v>
      </c>
      <c r="BZ96" s="959">
        <v>46082</v>
      </c>
      <c r="CA96" s="960">
        <f t="shared" si="156"/>
        <v>7</v>
      </c>
      <c r="CB96" s="960">
        <f t="shared" si="151"/>
        <v>8</v>
      </c>
      <c r="GI96" s="912"/>
    </row>
    <row r="97" spans="1:191" x14ac:dyDescent="0.2">
      <c r="A97" s="952">
        <f t="shared" si="157"/>
        <v>84</v>
      </c>
      <c r="B97" s="952">
        <f t="shared" si="157"/>
        <v>12</v>
      </c>
      <c r="C97" s="952" t="s">
        <v>558</v>
      </c>
      <c r="D97" s="952"/>
      <c r="E97" s="952" t="s">
        <v>180</v>
      </c>
      <c r="F97" s="869" t="s">
        <v>194</v>
      </c>
      <c r="G97" s="869" t="s">
        <v>133</v>
      </c>
      <c r="H97" s="869" t="s">
        <v>206</v>
      </c>
      <c r="I97" s="869" t="s">
        <v>109</v>
      </c>
      <c r="J97" s="926">
        <v>83.12</v>
      </c>
      <c r="K97" s="962">
        <v>13.04</v>
      </c>
      <c r="L97" s="962">
        <v>0</v>
      </c>
      <c r="M97" s="926">
        <f t="shared" si="70"/>
        <v>96.16</v>
      </c>
      <c r="N97" s="926"/>
      <c r="O97" s="926"/>
      <c r="P97" s="965"/>
      <c r="Q97" s="926">
        <f t="shared" si="168"/>
        <v>10971840</v>
      </c>
      <c r="R97" s="926">
        <f t="shared" si="169"/>
        <v>860640</v>
      </c>
      <c r="S97" s="926">
        <f t="shared" si="153"/>
        <v>11832480</v>
      </c>
      <c r="T97" s="926"/>
      <c r="U97" s="869">
        <v>6</v>
      </c>
      <c r="V97" s="926">
        <f t="shared" si="170"/>
        <v>288480</v>
      </c>
      <c r="W97" s="926"/>
      <c r="X97" s="954">
        <f t="shared" si="171"/>
        <v>59162.400000000001</v>
      </c>
      <c r="Y97" s="926">
        <f>M97*$Y$5</f>
        <v>192320</v>
      </c>
      <c r="Z97" s="926">
        <f t="shared" ref="Z97:Z103" si="174">M97*$Z$5</f>
        <v>96160</v>
      </c>
      <c r="AA97" s="961" t="str">
        <f t="shared" si="172"/>
        <v>CORNER</v>
      </c>
      <c r="AB97" s="961" t="s">
        <v>573</v>
      </c>
      <c r="AC97" s="926">
        <f t="shared" si="173"/>
        <v>636122.4</v>
      </c>
      <c r="AD97" s="926"/>
      <c r="AE97" s="956">
        <f t="shared" si="154"/>
        <v>12468602.4</v>
      </c>
      <c r="AF97" s="956">
        <f t="shared" si="160"/>
        <v>384032.95392</v>
      </c>
      <c r="AG97" s="957">
        <f t="shared" si="165"/>
        <v>12852635.35392</v>
      </c>
      <c r="AH97" s="919">
        <f t="shared" si="161"/>
        <v>291754.82253398403</v>
      </c>
      <c r="AI97" s="957">
        <f t="shared" si="158"/>
        <v>13144390.176453983</v>
      </c>
      <c r="AJ97" s="919">
        <f t="shared" si="159"/>
        <v>328609.7544113496</v>
      </c>
      <c r="AK97" s="920">
        <f t="shared" si="162"/>
        <v>13472999.930865332</v>
      </c>
      <c r="AL97" s="919">
        <f t="shared" si="123"/>
        <v>336824.99827163335</v>
      </c>
      <c r="AM97" s="982">
        <f t="shared" si="144"/>
        <v>13809824.929136965</v>
      </c>
      <c r="AN97" s="919">
        <f t="shared" si="124"/>
        <v>345245.62322842417</v>
      </c>
      <c r="AO97" s="920">
        <f t="shared" si="145"/>
        <v>14155070.552365389</v>
      </c>
      <c r="AP97" s="919">
        <f t="shared" si="125"/>
        <v>353876.76380913472</v>
      </c>
      <c r="AQ97" s="920">
        <f t="shared" si="126"/>
        <v>14508947.316174524</v>
      </c>
      <c r="AR97" s="919">
        <f t="shared" si="127"/>
        <v>435268.4194852357</v>
      </c>
      <c r="AS97" s="920">
        <f t="shared" si="128"/>
        <v>14944215.735659759</v>
      </c>
      <c r="AT97" s="920">
        <f t="shared" si="146"/>
        <v>448326.47206979274</v>
      </c>
      <c r="AU97" s="919">
        <f t="shared" si="129"/>
        <v>597768.6294263904</v>
      </c>
      <c r="AV97" s="919"/>
      <c r="AW97" s="920">
        <f t="shared" si="130"/>
        <v>15541984.365086149</v>
      </c>
      <c r="AX97" s="920">
        <f t="shared" si="147"/>
        <v>466259.53095258446</v>
      </c>
      <c r="AY97" s="919">
        <f t="shared" si="131"/>
        <v>621679.37460344599</v>
      </c>
      <c r="AZ97" s="919"/>
      <c r="BA97" s="920">
        <f t="shared" si="132"/>
        <v>16163663.739689596</v>
      </c>
      <c r="BB97" s="920">
        <f t="shared" si="148"/>
        <v>484909.91219068784</v>
      </c>
      <c r="BC97" s="919">
        <f t="shared" si="133"/>
        <v>646546.54958758387</v>
      </c>
      <c r="BD97" s="919"/>
      <c r="BE97" s="975">
        <f t="shared" si="134"/>
        <v>16810210.289277181</v>
      </c>
      <c r="BF97" s="975">
        <f t="shared" si="149"/>
        <v>504306.30867831543</v>
      </c>
      <c r="BG97" s="919">
        <f t="shared" si="135"/>
        <v>672408.4115710872</v>
      </c>
      <c r="BH97" s="975"/>
      <c r="BI97" s="975">
        <f t="shared" si="136"/>
        <v>17482618.700848266</v>
      </c>
      <c r="BJ97" s="975">
        <f t="shared" si="150"/>
        <v>524478.56102544803</v>
      </c>
      <c r="BK97" s="919">
        <f t="shared" si="137"/>
        <v>699304.74803393066</v>
      </c>
      <c r="BL97" s="975"/>
      <c r="BM97" s="975">
        <f t="shared" si="138"/>
        <v>18181923.448882196</v>
      </c>
      <c r="BN97" s="926">
        <f t="shared" si="139"/>
        <v>1363644.2586661647</v>
      </c>
      <c r="BO97" s="926">
        <f t="shared" si="140"/>
        <v>454548.0862220549</v>
      </c>
      <c r="BP97" s="926">
        <f t="shared" si="141"/>
        <v>2181830.8138658633</v>
      </c>
      <c r="BQ97" s="926">
        <f t="shared" si="142"/>
        <v>22181946.60763628</v>
      </c>
      <c r="BR97" s="926">
        <f t="shared" si="143"/>
        <v>230677.48136061025</v>
      </c>
      <c r="BS97" s="963">
        <v>0.15</v>
      </c>
      <c r="BT97" s="954">
        <f t="shared" si="85"/>
        <v>3327291.9911454418</v>
      </c>
      <c r="BU97" s="926">
        <f t="shared" si="115"/>
        <v>50000</v>
      </c>
      <c r="BV97" s="954">
        <f t="shared" si="166"/>
        <v>468184.57016363455</v>
      </c>
      <c r="BW97" s="869">
        <f t="shared" si="155"/>
        <v>7</v>
      </c>
      <c r="BX97" s="954">
        <f t="shared" si="167"/>
        <v>18854654.616490837</v>
      </c>
      <c r="BZ97" s="959">
        <v>46082</v>
      </c>
      <c r="CA97" s="960">
        <f t="shared" si="156"/>
        <v>7</v>
      </c>
      <c r="CB97" s="960">
        <f t="shared" si="151"/>
        <v>8</v>
      </c>
      <c r="GI97" s="912"/>
    </row>
    <row r="98" spans="1:191" x14ac:dyDescent="0.2">
      <c r="A98" s="952">
        <f t="shared" si="157"/>
        <v>85</v>
      </c>
      <c r="B98" s="952">
        <f t="shared" si="157"/>
        <v>13</v>
      </c>
      <c r="C98" s="952" t="s">
        <v>558</v>
      </c>
      <c r="D98" s="952"/>
      <c r="E98" s="952" t="s">
        <v>180</v>
      </c>
      <c r="F98" s="869" t="s">
        <v>194</v>
      </c>
      <c r="G98" s="869" t="s">
        <v>136</v>
      </c>
      <c r="H98" s="869" t="s">
        <v>207</v>
      </c>
      <c r="I98" s="869" t="s">
        <v>113</v>
      </c>
      <c r="J98" s="926">
        <v>52.04</v>
      </c>
      <c r="K98" s="962">
        <v>3.1</v>
      </c>
      <c r="L98" s="962">
        <v>0</v>
      </c>
      <c r="M98" s="926">
        <f t="shared" si="70"/>
        <v>55.14</v>
      </c>
      <c r="N98" s="926"/>
      <c r="O98" s="926"/>
      <c r="P98" s="965"/>
      <c r="Q98" s="926">
        <f t="shared" si="168"/>
        <v>6869280</v>
      </c>
      <c r="R98" s="926">
        <f t="shared" si="169"/>
        <v>204600</v>
      </c>
      <c r="S98" s="926">
        <f t="shared" si="153"/>
        <v>7073880</v>
      </c>
      <c r="T98" s="926"/>
      <c r="U98" s="869">
        <v>6</v>
      </c>
      <c r="V98" s="926">
        <f t="shared" si="170"/>
        <v>165420.00000000003</v>
      </c>
      <c r="W98" s="926"/>
      <c r="X98" s="954">
        <f t="shared" si="171"/>
        <v>35369.4</v>
      </c>
      <c r="Y98" s="961"/>
      <c r="Z98" s="926">
        <f t="shared" si="174"/>
        <v>55140</v>
      </c>
      <c r="AA98" s="961" t="str">
        <f t="shared" si="172"/>
        <v>INNER</v>
      </c>
      <c r="AB98" s="961" t="s">
        <v>573</v>
      </c>
      <c r="AC98" s="926">
        <f t="shared" si="173"/>
        <v>255929.40000000002</v>
      </c>
      <c r="AD98" s="926"/>
      <c r="AE98" s="956">
        <f t="shared" si="154"/>
        <v>7329809.4000000004</v>
      </c>
      <c r="AF98" s="956">
        <f t="shared" si="160"/>
        <v>225758.12952000002</v>
      </c>
      <c r="AG98" s="957">
        <f t="shared" si="165"/>
        <v>7555567.5295200003</v>
      </c>
      <c r="AH98" s="919">
        <f t="shared" si="161"/>
        <v>171511.38292010402</v>
      </c>
      <c r="AI98" s="957">
        <f t="shared" si="158"/>
        <v>7727078.9124401044</v>
      </c>
      <c r="AJ98" s="919">
        <f t="shared" si="159"/>
        <v>193176.97281100263</v>
      </c>
      <c r="AK98" s="920">
        <f t="shared" si="162"/>
        <v>7920255.8852511067</v>
      </c>
      <c r="AL98" s="919">
        <f t="shared" si="123"/>
        <v>198006.39713127768</v>
      </c>
      <c r="AM98" s="982">
        <f t="shared" si="144"/>
        <v>8118262.2823823839</v>
      </c>
      <c r="AN98" s="919">
        <f t="shared" si="124"/>
        <v>202956.55705955962</v>
      </c>
      <c r="AO98" s="920">
        <f t="shared" si="145"/>
        <v>8321218.8394419439</v>
      </c>
      <c r="AP98" s="919">
        <f t="shared" si="125"/>
        <v>208030.4709860486</v>
      </c>
      <c r="AQ98" s="920">
        <f t="shared" si="126"/>
        <v>8529249.3104279917</v>
      </c>
      <c r="AR98" s="919">
        <f t="shared" si="127"/>
        <v>255877.47931283974</v>
      </c>
      <c r="AS98" s="920">
        <f t="shared" si="128"/>
        <v>8785126.7897408307</v>
      </c>
      <c r="AT98" s="920">
        <f t="shared" si="146"/>
        <v>263553.8036922249</v>
      </c>
      <c r="AU98" s="919">
        <f t="shared" si="129"/>
        <v>351405.07158963324</v>
      </c>
      <c r="AV98" s="919"/>
      <c r="AW98" s="920">
        <f t="shared" si="130"/>
        <v>9136531.8613304645</v>
      </c>
      <c r="AX98" s="920">
        <f t="shared" si="147"/>
        <v>274095.95583991392</v>
      </c>
      <c r="AY98" s="919">
        <f t="shared" si="131"/>
        <v>365461.27445321856</v>
      </c>
      <c r="AZ98" s="919"/>
      <c r="BA98" s="920">
        <f t="shared" si="132"/>
        <v>9501993.1357836835</v>
      </c>
      <c r="BB98" s="920">
        <f t="shared" si="148"/>
        <v>285059.79407351051</v>
      </c>
      <c r="BC98" s="919">
        <f t="shared" si="133"/>
        <v>380079.72543134732</v>
      </c>
      <c r="BD98" s="919"/>
      <c r="BE98" s="975">
        <f t="shared" si="134"/>
        <v>9882072.8612150308</v>
      </c>
      <c r="BF98" s="975">
        <f t="shared" si="149"/>
        <v>296462.1858364509</v>
      </c>
      <c r="BG98" s="919">
        <f t="shared" si="135"/>
        <v>395282.91444860125</v>
      </c>
      <c r="BH98" s="975"/>
      <c r="BI98" s="975">
        <f t="shared" si="136"/>
        <v>10277355.775663633</v>
      </c>
      <c r="BJ98" s="975">
        <f t="shared" si="150"/>
        <v>308320.67326990899</v>
      </c>
      <c r="BK98" s="919">
        <f t="shared" si="137"/>
        <v>411094.23102654534</v>
      </c>
      <c r="BL98" s="975"/>
      <c r="BM98" s="975">
        <f t="shared" si="138"/>
        <v>10688450.006690178</v>
      </c>
      <c r="BN98" s="926">
        <f t="shared" si="139"/>
        <v>801633.75050176331</v>
      </c>
      <c r="BO98" s="926">
        <f t="shared" si="140"/>
        <v>267211.25016725447</v>
      </c>
      <c r="BP98" s="926">
        <f t="shared" si="141"/>
        <v>1282614.0008028212</v>
      </c>
      <c r="BQ98" s="926">
        <f t="shared" si="142"/>
        <v>13039909.008162016</v>
      </c>
      <c r="BR98" s="926">
        <f t="shared" si="143"/>
        <v>236487.28705408081</v>
      </c>
      <c r="BS98" s="963">
        <v>0.15</v>
      </c>
      <c r="BT98" s="954">
        <f t="shared" si="85"/>
        <v>1955986.3512243023</v>
      </c>
      <c r="BU98" s="926">
        <f t="shared" si="115"/>
        <v>50000</v>
      </c>
      <c r="BV98" s="954">
        <f t="shared" si="166"/>
        <v>272283.76446061459</v>
      </c>
      <c r="BW98" s="869">
        <f t="shared" si="155"/>
        <v>7</v>
      </c>
      <c r="BX98" s="954">
        <f t="shared" si="167"/>
        <v>11083922.656937715</v>
      </c>
      <c r="BZ98" s="959">
        <v>46082</v>
      </c>
      <c r="CA98" s="960">
        <f t="shared" si="156"/>
        <v>7</v>
      </c>
      <c r="CB98" s="960">
        <f t="shared" si="151"/>
        <v>8</v>
      </c>
      <c r="GI98" s="912"/>
    </row>
    <row r="99" spans="1:191" x14ac:dyDescent="0.2">
      <c r="A99" s="952">
        <f t="shared" si="157"/>
        <v>86</v>
      </c>
      <c r="B99" s="952">
        <v>1</v>
      </c>
      <c r="C99" s="952" t="s">
        <v>558</v>
      </c>
      <c r="D99" s="952"/>
      <c r="E99" s="952" t="s">
        <v>194</v>
      </c>
      <c r="F99" s="869" t="s">
        <v>208</v>
      </c>
      <c r="G99" s="869" t="s">
        <v>107</v>
      </c>
      <c r="H99" s="869" t="s">
        <v>209</v>
      </c>
      <c r="I99" s="869" t="s">
        <v>572</v>
      </c>
      <c r="J99" s="926">
        <v>99.98</v>
      </c>
      <c r="K99" s="962">
        <v>10.29</v>
      </c>
      <c r="L99" s="962">
        <v>0</v>
      </c>
      <c r="M99" s="926">
        <f t="shared" si="70"/>
        <v>110.27000000000001</v>
      </c>
      <c r="N99" s="926"/>
      <c r="O99" s="926"/>
      <c r="P99" s="965"/>
      <c r="Q99" s="926">
        <f t="shared" si="168"/>
        <v>13197360</v>
      </c>
      <c r="R99" s="926">
        <f t="shared" si="169"/>
        <v>679140</v>
      </c>
      <c r="S99" s="926">
        <f t="shared" si="153"/>
        <v>13876500</v>
      </c>
      <c r="T99" s="926"/>
      <c r="U99" s="869">
        <v>7</v>
      </c>
      <c r="V99" s="926">
        <f t="shared" si="170"/>
        <v>385945.00000000006</v>
      </c>
      <c r="W99" s="926"/>
      <c r="X99" s="954">
        <f t="shared" si="171"/>
        <v>69382.5</v>
      </c>
      <c r="Y99" s="926">
        <f>M99*$Y$5</f>
        <v>220540.00000000003</v>
      </c>
      <c r="Z99" s="926">
        <f t="shared" si="174"/>
        <v>110270.00000000001</v>
      </c>
      <c r="AA99" s="961" t="str">
        <f t="shared" ref="AA99:AA111" si="175">AA21</f>
        <v>CORNER</v>
      </c>
      <c r="AB99" s="961" t="s">
        <v>573</v>
      </c>
      <c r="AC99" s="926">
        <f t="shared" si="114"/>
        <v>786137.50000000012</v>
      </c>
      <c r="AD99" s="926"/>
      <c r="AE99" s="956">
        <f t="shared" si="154"/>
        <v>14662637.5</v>
      </c>
      <c r="AF99" s="956">
        <f t="shared" si="160"/>
        <v>451609.23499999999</v>
      </c>
      <c r="AG99" s="957">
        <f t="shared" si="165"/>
        <v>15114246.734999999</v>
      </c>
      <c r="AH99" s="919">
        <f t="shared" si="161"/>
        <v>343093.40088450001</v>
      </c>
      <c r="AI99" s="957">
        <f t="shared" si="158"/>
        <v>15457340.135884499</v>
      </c>
      <c r="AJ99" s="919">
        <f t="shared" si="159"/>
        <v>386433.50339711248</v>
      </c>
      <c r="AK99" s="920">
        <f t="shared" si="162"/>
        <v>15843773.639281612</v>
      </c>
      <c r="AL99" s="919">
        <f t="shared" si="123"/>
        <v>396094.34098204033</v>
      </c>
      <c r="AM99" s="982">
        <f t="shared" si="144"/>
        <v>16239867.980263652</v>
      </c>
      <c r="AN99" s="919">
        <f t="shared" si="124"/>
        <v>405996.69950659131</v>
      </c>
      <c r="AO99" s="920">
        <f t="shared" si="145"/>
        <v>16645864.679770244</v>
      </c>
      <c r="AP99" s="919">
        <f t="shared" si="125"/>
        <v>416146.61699425615</v>
      </c>
      <c r="AQ99" s="920">
        <f t="shared" si="126"/>
        <v>17062011.2967645</v>
      </c>
      <c r="AR99" s="919">
        <f t="shared" si="127"/>
        <v>511860.33890293498</v>
      </c>
      <c r="AS99" s="920">
        <f t="shared" si="128"/>
        <v>17573871.635667436</v>
      </c>
      <c r="AT99" s="920">
        <f t="shared" si="146"/>
        <v>527216.14907002309</v>
      </c>
      <c r="AU99" s="919">
        <f t="shared" si="129"/>
        <v>702954.86542669742</v>
      </c>
      <c r="AV99" s="919"/>
      <c r="AW99" s="920">
        <f t="shared" si="130"/>
        <v>18276826.501094133</v>
      </c>
      <c r="AX99" s="920">
        <f t="shared" si="147"/>
        <v>548304.79503282392</v>
      </c>
      <c r="AY99" s="919">
        <f t="shared" si="131"/>
        <v>731073.06004376535</v>
      </c>
      <c r="AZ99" s="919"/>
      <c r="BA99" s="920">
        <f t="shared" si="132"/>
        <v>19007899.5611379</v>
      </c>
      <c r="BB99" s="920">
        <f t="shared" si="148"/>
        <v>570236.986834137</v>
      </c>
      <c r="BC99" s="919">
        <f t="shared" si="133"/>
        <v>760315.98244551604</v>
      </c>
      <c r="BD99" s="919"/>
      <c r="BE99" s="975">
        <f t="shared" si="134"/>
        <v>19768215.543583415</v>
      </c>
      <c r="BF99" s="975">
        <f t="shared" si="149"/>
        <v>593046.46630750247</v>
      </c>
      <c r="BG99" s="919">
        <f t="shared" si="135"/>
        <v>790728.62174333667</v>
      </c>
      <c r="BH99" s="975"/>
      <c r="BI99" s="975">
        <f t="shared" si="136"/>
        <v>20558944.165326752</v>
      </c>
      <c r="BJ99" s="975">
        <f t="shared" si="150"/>
        <v>616768.32495980256</v>
      </c>
      <c r="BK99" s="919">
        <f t="shared" si="137"/>
        <v>822357.76661307004</v>
      </c>
      <c r="BL99" s="975"/>
      <c r="BM99" s="975">
        <f t="shared" si="138"/>
        <v>21381301.931939822</v>
      </c>
      <c r="BN99" s="926">
        <f t="shared" si="139"/>
        <v>1603597.6448954865</v>
      </c>
      <c r="BO99" s="926">
        <f t="shared" si="140"/>
        <v>534532.54829849559</v>
      </c>
      <c r="BP99" s="926">
        <f t="shared" si="141"/>
        <v>2565756.2318327785</v>
      </c>
      <c r="BQ99" s="926">
        <f t="shared" si="142"/>
        <v>26085188.356966585</v>
      </c>
      <c r="BR99" s="926">
        <f t="shared" si="143"/>
        <v>236557.43499561606</v>
      </c>
      <c r="BS99" s="963">
        <v>0.15</v>
      </c>
      <c r="BT99" s="954">
        <f t="shared" si="85"/>
        <v>3912778.2535449876</v>
      </c>
      <c r="BU99" s="926">
        <f>BU93</f>
        <v>50000</v>
      </c>
      <c r="BV99" s="954">
        <f t="shared" si="166"/>
        <v>551825.46479214111</v>
      </c>
      <c r="BW99" s="869">
        <f t="shared" si="155"/>
        <v>7</v>
      </c>
      <c r="BX99" s="954">
        <f t="shared" si="167"/>
        <v>22172410.103421599</v>
      </c>
      <c r="BZ99" s="959">
        <v>46082</v>
      </c>
      <c r="CA99" s="960">
        <f t="shared" si="156"/>
        <v>7</v>
      </c>
      <c r="CB99" s="960">
        <f t="shared" si="151"/>
        <v>8</v>
      </c>
      <c r="GI99" s="912"/>
    </row>
    <row r="100" spans="1:191" x14ac:dyDescent="0.2">
      <c r="A100" s="952">
        <f t="shared" si="157"/>
        <v>87</v>
      </c>
      <c r="B100" s="952">
        <f>B99+1</f>
        <v>2</v>
      </c>
      <c r="C100" s="952" t="s">
        <v>558</v>
      </c>
      <c r="D100" s="952"/>
      <c r="E100" s="952" t="s">
        <v>194</v>
      </c>
      <c r="F100" s="869" t="s">
        <v>208</v>
      </c>
      <c r="G100" s="869" t="s">
        <v>111</v>
      </c>
      <c r="H100" s="869" t="s">
        <v>210</v>
      </c>
      <c r="I100" s="869" t="s">
        <v>113</v>
      </c>
      <c r="J100" s="926">
        <v>52.86</v>
      </c>
      <c r="K100" s="962">
        <v>5.09</v>
      </c>
      <c r="L100" s="962">
        <v>0</v>
      </c>
      <c r="M100" s="926">
        <f t="shared" si="70"/>
        <v>57.95</v>
      </c>
      <c r="N100" s="926"/>
      <c r="O100" s="926"/>
      <c r="P100" s="965"/>
      <c r="Q100" s="926">
        <f t="shared" si="168"/>
        <v>6977520</v>
      </c>
      <c r="R100" s="926">
        <f t="shared" si="169"/>
        <v>335940</v>
      </c>
      <c r="S100" s="926">
        <f t="shared" si="153"/>
        <v>7313460</v>
      </c>
      <c r="T100" s="926"/>
      <c r="U100" s="869">
        <v>7</v>
      </c>
      <c r="V100" s="926">
        <f t="shared" si="170"/>
        <v>202825.00000000003</v>
      </c>
      <c r="W100" s="926"/>
      <c r="X100" s="954">
        <f t="shared" si="171"/>
        <v>36567.300000000003</v>
      </c>
      <c r="Y100" s="961"/>
      <c r="Z100" s="926">
        <f t="shared" si="174"/>
        <v>57950</v>
      </c>
      <c r="AA100" s="961" t="str">
        <f t="shared" si="175"/>
        <v>INNER</v>
      </c>
      <c r="AB100" s="961" t="s">
        <v>573</v>
      </c>
      <c r="AC100" s="926">
        <f t="shared" si="114"/>
        <v>297342.30000000005</v>
      </c>
      <c r="AD100" s="926"/>
      <c r="AE100" s="956">
        <f t="shared" si="154"/>
        <v>7610802.2999999998</v>
      </c>
      <c r="AF100" s="956">
        <f t="shared" si="160"/>
        <v>234412.71084000001</v>
      </c>
      <c r="AG100" s="957">
        <f t="shared" si="165"/>
        <v>7845215.0108399997</v>
      </c>
      <c r="AH100" s="919">
        <f t="shared" si="161"/>
        <v>178086.380746068</v>
      </c>
      <c r="AI100" s="957">
        <f t="shared" si="158"/>
        <v>8023301.3915860681</v>
      </c>
      <c r="AJ100" s="919">
        <f t="shared" si="159"/>
        <v>200582.53478965172</v>
      </c>
      <c r="AK100" s="920">
        <f t="shared" si="162"/>
        <v>8223883.9263757197</v>
      </c>
      <c r="AL100" s="919">
        <f t="shared" si="123"/>
        <v>205597.098159393</v>
      </c>
      <c r="AM100" s="982">
        <f t="shared" si="144"/>
        <v>8429481.0245351121</v>
      </c>
      <c r="AN100" s="919">
        <f t="shared" si="124"/>
        <v>210737.0256133778</v>
      </c>
      <c r="AO100" s="920">
        <f t="shared" si="145"/>
        <v>8640218.0501484908</v>
      </c>
      <c r="AP100" s="919">
        <f t="shared" si="125"/>
        <v>216005.45125371229</v>
      </c>
      <c r="AQ100" s="920">
        <f t="shared" si="126"/>
        <v>8856223.501402203</v>
      </c>
      <c r="AR100" s="919">
        <f t="shared" si="127"/>
        <v>265686.70504206605</v>
      </c>
      <c r="AS100" s="920">
        <f t="shared" si="128"/>
        <v>9121910.206444269</v>
      </c>
      <c r="AT100" s="920">
        <f t="shared" si="146"/>
        <v>273657.30619332806</v>
      </c>
      <c r="AU100" s="919">
        <f t="shared" si="129"/>
        <v>364876.40825777076</v>
      </c>
      <c r="AV100" s="919"/>
      <c r="AW100" s="920">
        <f t="shared" si="130"/>
        <v>9486786.6147020403</v>
      </c>
      <c r="AX100" s="920">
        <f t="shared" si="147"/>
        <v>284603.59844106121</v>
      </c>
      <c r="AY100" s="919">
        <f t="shared" si="131"/>
        <v>379471.46458808164</v>
      </c>
      <c r="AZ100" s="919"/>
      <c r="BA100" s="920">
        <f t="shared" si="132"/>
        <v>9866258.0792901218</v>
      </c>
      <c r="BB100" s="920">
        <f t="shared" si="148"/>
        <v>295987.74237870367</v>
      </c>
      <c r="BC100" s="919">
        <f t="shared" si="133"/>
        <v>394650.32317160489</v>
      </c>
      <c r="BD100" s="919"/>
      <c r="BE100" s="975">
        <f t="shared" si="134"/>
        <v>10260908.402461726</v>
      </c>
      <c r="BF100" s="975">
        <f t="shared" si="149"/>
        <v>307827.25207385176</v>
      </c>
      <c r="BG100" s="919">
        <f t="shared" si="135"/>
        <v>410436.33609846904</v>
      </c>
      <c r="BH100" s="975"/>
      <c r="BI100" s="975">
        <f t="shared" si="136"/>
        <v>10671344.738560196</v>
      </c>
      <c r="BJ100" s="975">
        <f t="shared" si="150"/>
        <v>320140.34215680585</v>
      </c>
      <c r="BK100" s="919">
        <f t="shared" si="137"/>
        <v>426853.78954240785</v>
      </c>
      <c r="BL100" s="975"/>
      <c r="BM100" s="975">
        <f t="shared" si="138"/>
        <v>11098198.528102605</v>
      </c>
      <c r="BN100" s="926">
        <f t="shared" si="139"/>
        <v>832364.88960769528</v>
      </c>
      <c r="BO100" s="926">
        <f t="shared" si="140"/>
        <v>277454.96320256515</v>
      </c>
      <c r="BP100" s="926">
        <f t="shared" si="141"/>
        <v>1331783.8233723126</v>
      </c>
      <c r="BQ100" s="926">
        <f t="shared" si="142"/>
        <v>13539802.204285178</v>
      </c>
      <c r="BR100" s="926">
        <f t="shared" si="143"/>
        <v>233646.28480216011</v>
      </c>
      <c r="BS100" s="963">
        <v>0.15</v>
      </c>
      <c r="BT100" s="954">
        <f t="shared" si="85"/>
        <v>2030970.3306427766</v>
      </c>
      <c r="BU100" s="926">
        <f t="shared" si="115"/>
        <v>50000</v>
      </c>
      <c r="BV100" s="954">
        <f t="shared" si="166"/>
        <v>282995.76152039663</v>
      </c>
      <c r="BW100" s="869">
        <f t="shared" si="155"/>
        <v>7</v>
      </c>
      <c r="BX100" s="954">
        <f t="shared" si="167"/>
        <v>11508831.873642402</v>
      </c>
      <c r="BZ100" s="959">
        <v>46082</v>
      </c>
      <c r="CA100" s="960">
        <f t="shared" si="156"/>
        <v>7</v>
      </c>
      <c r="CB100" s="960">
        <f t="shared" si="151"/>
        <v>8</v>
      </c>
      <c r="GI100" s="912"/>
    </row>
    <row r="101" spans="1:191" x14ac:dyDescent="0.2">
      <c r="A101" s="952">
        <f t="shared" si="157"/>
        <v>88</v>
      </c>
      <c r="B101" s="952">
        <f t="shared" si="157"/>
        <v>3</v>
      </c>
      <c r="C101" s="952" t="s">
        <v>558</v>
      </c>
      <c r="D101" s="952"/>
      <c r="E101" s="952" t="s">
        <v>194</v>
      </c>
      <c r="F101" s="869" t="s">
        <v>208</v>
      </c>
      <c r="G101" s="869" t="s">
        <v>115</v>
      </c>
      <c r="H101" s="869" t="s">
        <v>211</v>
      </c>
      <c r="I101" s="869" t="s">
        <v>109</v>
      </c>
      <c r="J101" s="926">
        <v>57.5</v>
      </c>
      <c r="K101" s="962">
        <v>5.09</v>
      </c>
      <c r="L101" s="962">
        <v>0</v>
      </c>
      <c r="M101" s="926">
        <f t="shared" si="70"/>
        <v>62.59</v>
      </c>
      <c r="N101" s="926"/>
      <c r="O101" s="926"/>
      <c r="P101" s="965"/>
      <c r="Q101" s="926">
        <f t="shared" si="168"/>
        <v>7590000</v>
      </c>
      <c r="R101" s="926">
        <f t="shared" si="169"/>
        <v>335940</v>
      </c>
      <c r="S101" s="926">
        <f t="shared" si="153"/>
        <v>7925940</v>
      </c>
      <c r="T101" s="926"/>
      <c r="U101" s="869">
        <v>7</v>
      </c>
      <c r="V101" s="926">
        <f t="shared" si="170"/>
        <v>219065</v>
      </c>
      <c r="W101" s="926"/>
      <c r="X101" s="954">
        <f t="shared" si="171"/>
        <v>39629.700000000004</v>
      </c>
      <c r="Y101" s="961"/>
      <c r="Z101" s="926">
        <f t="shared" si="174"/>
        <v>62590</v>
      </c>
      <c r="AA101" s="961" t="str">
        <f t="shared" si="175"/>
        <v>INNER</v>
      </c>
      <c r="AB101" s="961" t="s">
        <v>573</v>
      </c>
      <c r="AC101" s="926">
        <f t="shared" si="114"/>
        <v>321284.7</v>
      </c>
      <c r="AD101" s="926"/>
      <c r="AE101" s="956">
        <f t="shared" si="154"/>
        <v>8247224.7000000002</v>
      </c>
      <c r="AF101" s="956">
        <f t="shared" si="160"/>
        <v>254014.52076000001</v>
      </c>
      <c r="AG101" s="957">
        <f t="shared" si="165"/>
        <v>8501239.2207600009</v>
      </c>
      <c r="AH101" s="919">
        <f t="shared" si="161"/>
        <v>192978.13031125203</v>
      </c>
      <c r="AI101" s="957">
        <f t="shared" si="158"/>
        <v>8694217.3510712534</v>
      </c>
      <c r="AJ101" s="919">
        <f t="shared" si="159"/>
        <v>217355.43377678134</v>
      </c>
      <c r="AK101" s="920">
        <f t="shared" si="162"/>
        <v>8911572.7848480344</v>
      </c>
      <c r="AL101" s="919">
        <f t="shared" si="123"/>
        <v>222789.31962120088</v>
      </c>
      <c r="AM101" s="982">
        <f t="shared" si="144"/>
        <v>9134362.104469236</v>
      </c>
      <c r="AN101" s="919">
        <f t="shared" si="124"/>
        <v>228359.05261173091</v>
      </c>
      <c r="AO101" s="920">
        <f t="shared" si="145"/>
        <v>9362721.157080967</v>
      </c>
      <c r="AP101" s="919">
        <f t="shared" si="125"/>
        <v>234068.02892702419</v>
      </c>
      <c r="AQ101" s="920">
        <f t="shared" si="126"/>
        <v>9596789.1860079914</v>
      </c>
      <c r="AR101" s="919">
        <f t="shared" si="127"/>
        <v>287903.67558023974</v>
      </c>
      <c r="AS101" s="920">
        <f t="shared" si="128"/>
        <v>9884692.8615882304</v>
      </c>
      <c r="AT101" s="920">
        <f t="shared" si="146"/>
        <v>296540.78584764688</v>
      </c>
      <c r="AU101" s="919">
        <f t="shared" si="129"/>
        <v>395387.71446352924</v>
      </c>
      <c r="AV101" s="919"/>
      <c r="AW101" s="920">
        <f t="shared" si="130"/>
        <v>10280080.57605176</v>
      </c>
      <c r="AX101" s="920">
        <f t="shared" si="147"/>
        <v>308402.4172815528</v>
      </c>
      <c r="AY101" s="919">
        <f t="shared" si="131"/>
        <v>411203.2230420704</v>
      </c>
      <c r="AZ101" s="919"/>
      <c r="BA101" s="920">
        <f t="shared" si="132"/>
        <v>10691283.799093831</v>
      </c>
      <c r="BB101" s="920">
        <f t="shared" si="148"/>
        <v>320738.51397281495</v>
      </c>
      <c r="BC101" s="919">
        <f t="shared" si="133"/>
        <v>427651.35196375329</v>
      </c>
      <c r="BD101" s="919"/>
      <c r="BE101" s="975">
        <f t="shared" si="134"/>
        <v>11118935.151057584</v>
      </c>
      <c r="BF101" s="975">
        <f t="shared" si="149"/>
        <v>333568.05453172751</v>
      </c>
      <c r="BG101" s="919">
        <f t="shared" si="135"/>
        <v>444757.40604230337</v>
      </c>
      <c r="BH101" s="975"/>
      <c r="BI101" s="975">
        <f t="shared" si="136"/>
        <v>11563692.557099888</v>
      </c>
      <c r="BJ101" s="975">
        <f t="shared" si="150"/>
        <v>346910.77671299665</v>
      </c>
      <c r="BK101" s="919">
        <f t="shared" si="137"/>
        <v>462547.70228399552</v>
      </c>
      <c r="BL101" s="975"/>
      <c r="BM101" s="975">
        <f t="shared" si="138"/>
        <v>12026240.259383883</v>
      </c>
      <c r="BN101" s="926">
        <f t="shared" si="139"/>
        <v>901968.0194537912</v>
      </c>
      <c r="BO101" s="926">
        <f t="shared" si="140"/>
        <v>300656.00648459711</v>
      </c>
      <c r="BP101" s="926">
        <f t="shared" si="141"/>
        <v>1443148.8311260659</v>
      </c>
      <c r="BQ101" s="926">
        <f t="shared" si="142"/>
        <v>14672013.116448339</v>
      </c>
      <c r="BR101" s="926">
        <f t="shared" si="143"/>
        <v>234414.6527631944</v>
      </c>
      <c r="BS101" s="963">
        <v>0.15</v>
      </c>
      <c r="BT101" s="954">
        <f t="shared" si="85"/>
        <v>2200801.9674672508</v>
      </c>
      <c r="BU101" s="926">
        <f t="shared" si="115"/>
        <v>50000</v>
      </c>
      <c r="BV101" s="954">
        <f t="shared" si="166"/>
        <v>307257.42392389296</v>
      </c>
      <c r="BW101" s="869">
        <f t="shared" si="155"/>
        <v>7</v>
      </c>
      <c r="BX101" s="954">
        <f t="shared" si="167"/>
        <v>12471211.148981089</v>
      </c>
      <c r="BZ101" s="959">
        <v>46082</v>
      </c>
      <c r="CA101" s="960">
        <f t="shared" si="156"/>
        <v>7</v>
      </c>
      <c r="CB101" s="960">
        <f t="shared" si="151"/>
        <v>8</v>
      </c>
      <c r="GI101" s="912"/>
    </row>
    <row r="102" spans="1:191" x14ac:dyDescent="0.2">
      <c r="A102" s="952">
        <f t="shared" si="157"/>
        <v>89</v>
      </c>
      <c r="B102" s="952">
        <f t="shared" si="157"/>
        <v>4</v>
      </c>
      <c r="C102" s="952" t="s">
        <v>558</v>
      </c>
      <c r="D102" s="952"/>
      <c r="E102" s="952" t="s">
        <v>194</v>
      </c>
      <c r="F102" s="869" t="s">
        <v>208</v>
      </c>
      <c r="G102" s="869" t="s">
        <v>117</v>
      </c>
      <c r="H102" s="869" t="s">
        <v>212</v>
      </c>
      <c r="I102" s="869" t="s">
        <v>109</v>
      </c>
      <c r="J102" s="926">
        <v>62.11</v>
      </c>
      <c r="K102" s="962">
        <v>5.19</v>
      </c>
      <c r="L102" s="962">
        <v>0</v>
      </c>
      <c r="M102" s="926">
        <f t="shared" si="70"/>
        <v>67.3</v>
      </c>
      <c r="N102" s="926"/>
      <c r="O102" s="926"/>
      <c r="P102" s="965"/>
      <c r="Q102" s="926">
        <f t="shared" si="168"/>
        <v>8198520</v>
      </c>
      <c r="R102" s="926">
        <f t="shared" si="169"/>
        <v>342540</v>
      </c>
      <c r="S102" s="926">
        <f t="shared" si="153"/>
        <v>8541060</v>
      </c>
      <c r="T102" s="926"/>
      <c r="U102" s="869">
        <v>7</v>
      </c>
      <c r="V102" s="926">
        <f t="shared" si="170"/>
        <v>235549.99999999997</v>
      </c>
      <c r="W102" s="926"/>
      <c r="X102" s="954">
        <f t="shared" si="171"/>
        <v>42705.3</v>
      </c>
      <c r="Y102" s="961"/>
      <c r="Z102" s="926">
        <f t="shared" si="174"/>
        <v>67300</v>
      </c>
      <c r="AA102" s="961" t="str">
        <f t="shared" si="175"/>
        <v>INNER</v>
      </c>
      <c r="AB102" s="961" t="s">
        <v>573</v>
      </c>
      <c r="AC102" s="926">
        <f t="shared" si="114"/>
        <v>345555.3</v>
      </c>
      <c r="AD102" s="926"/>
      <c r="AE102" s="956">
        <f t="shared" si="154"/>
        <v>8886615.3000000007</v>
      </c>
      <c r="AF102" s="956">
        <f t="shared" si="160"/>
        <v>273707.75124000001</v>
      </c>
      <c r="AG102" s="957">
        <f t="shared" si="165"/>
        <v>9160323.0512400009</v>
      </c>
      <c r="AH102" s="919">
        <f t="shared" si="161"/>
        <v>207939.33326314803</v>
      </c>
      <c r="AI102" s="957">
        <f t="shared" si="158"/>
        <v>9368262.3845031485</v>
      </c>
      <c r="AJ102" s="919">
        <f t="shared" si="159"/>
        <v>234206.55961257871</v>
      </c>
      <c r="AK102" s="920">
        <f t="shared" si="162"/>
        <v>9602468.9441157281</v>
      </c>
      <c r="AL102" s="919">
        <f t="shared" si="123"/>
        <v>240061.72360289321</v>
      </c>
      <c r="AM102" s="982">
        <f t="shared" si="144"/>
        <v>9842530.667718621</v>
      </c>
      <c r="AN102" s="919">
        <f t="shared" si="124"/>
        <v>246063.26669296552</v>
      </c>
      <c r="AO102" s="920">
        <f t="shared" si="145"/>
        <v>10088593.934411587</v>
      </c>
      <c r="AP102" s="919">
        <f t="shared" si="125"/>
        <v>252214.8483602897</v>
      </c>
      <c r="AQ102" s="920">
        <f t="shared" si="126"/>
        <v>10340808.782771876</v>
      </c>
      <c r="AR102" s="919">
        <f t="shared" si="127"/>
        <v>310224.26348315628</v>
      </c>
      <c r="AS102" s="920">
        <f t="shared" si="128"/>
        <v>10651033.046255032</v>
      </c>
      <c r="AT102" s="920">
        <f t="shared" si="146"/>
        <v>319530.99138765095</v>
      </c>
      <c r="AU102" s="919">
        <f t="shared" si="129"/>
        <v>426041.32185020129</v>
      </c>
      <c r="AV102" s="919"/>
      <c r="AW102" s="920">
        <f t="shared" si="130"/>
        <v>11077074.368105233</v>
      </c>
      <c r="AX102" s="920">
        <f t="shared" si="147"/>
        <v>332312.23104315699</v>
      </c>
      <c r="AY102" s="919">
        <f t="shared" si="131"/>
        <v>443082.97472420934</v>
      </c>
      <c r="AZ102" s="919"/>
      <c r="BA102" s="920">
        <f t="shared" si="132"/>
        <v>11520157.342829442</v>
      </c>
      <c r="BB102" s="920">
        <f t="shared" si="148"/>
        <v>345604.72028488322</v>
      </c>
      <c r="BC102" s="919">
        <f t="shared" si="133"/>
        <v>460806.29371317767</v>
      </c>
      <c r="BD102" s="919"/>
      <c r="BE102" s="975">
        <f t="shared" si="134"/>
        <v>11980963.63654262</v>
      </c>
      <c r="BF102" s="975">
        <f t="shared" si="149"/>
        <v>359428.9090962786</v>
      </c>
      <c r="BG102" s="919">
        <f t="shared" si="135"/>
        <v>479238.54546170484</v>
      </c>
      <c r="BH102" s="975"/>
      <c r="BI102" s="975">
        <f t="shared" si="136"/>
        <v>12460202.182004325</v>
      </c>
      <c r="BJ102" s="975">
        <f t="shared" si="150"/>
        <v>373806.06546012976</v>
      </c>
      <c r="BK102" s="919">
        <f t="shared" si="137"/>
        <v>498408.08728017303</v>
      </c>
      <c r="BL102" s="975"/>
      <c r="BM102" s="975">
        <f t="shared" si="138"/>
        <v>12958610.269284498</v>
      </c>
      <c r="BN102" s="926">
        <f t="shared" si="139"/>
        <v>971895.77019633725</v>
      </c>
      <c r="BO102" s="926">
        <f t="shared" si="140"/>
        <v>323965.2567321125</v>
      </c>
      <c r="BP102" s="926">
        <f t="shared" si="141"/>
        <v>1555033.2323141396</v>
      </c>
      <c r="BQ102" s="926">
        <f t="shared" si="142"/>
        <v>15809504.528527087</v>
      </c>
      <c r="BR102" s="926">
        <f t="shared" si="143"/>
        <v>234910.9142426016</v>
      </c>
      <c r="BS102" s="963">
        <v>0.15</v>
      </c>
      <c r="BT102" s="954">
        <f t="shared" si="85"/>
        <v>2371425.6792790629</v>
      </c>
      <c r="BU102" s="926">
        <f t="shared" si="115"/>
        <v>50000</v>
      </c>
      <c r="BV102" s="954">
        <f t="shared" si="166"/>
        <v>331632.23989700899</v>
      </c>
      <c r="BW102" s="869">
        <f t="shared" si="155"/>
        <v>7</v>
      </c>
      <c r="BX102" s="954">
        <f t="shared" si="167"/>
        <v>13438078.849248024</v>
      </c>
      <c r="BZ102" s="959">
        <v>46082</v>
      </c>
      <c r="CA102" s="960">
        <f t="shared" si="156"/>
        <v>7</v>
      </c>
      <c r="CB102" s="960">
        <f t="shared" si="151"/>
        <v>8</v>
      </c>
      <c r="GI102" s="912"/>
    </row>
    <row r="103" spans="1:191" x14ac:dyDescent="0.2">
      <c r="A103" s="952">
        <f t="shared" si="157"/>
        <v>90</v>
      </c>
      <c r="B103" s="952">
        <f t="shared" si="157"/>
        <v>5</v>
      </c>
      <c r="C103" s="952" t="s">
        <v>558</v>
      </c>
      <c r="D103" s="952"/>
      <c r="E103" s="952" t="s">
        <v>194</v>
      </c>
      <c r="F103" s="869" t="s">
        <v>208</v>
      </c>
      <c r="G103" s="869" t="s">
        <v>119</v>
      </c>
      <c r="H103" s="869" t="s">
        <v>213</v>
      </c>
      <c r="I103" s="869" t="s">
        <v>109</v>
      </c>
      <c r="J103" s="926">
        <v>80.900000000000006</v>
      </c>
      <c r="K103" s="962">
        <v>15.65</v>
      </c>
      <c r="L103" s="962">
        <v>0</v>
      </c>
      <c r="M103" s="926">
        <f t="shared" si="70"/>
        <v>96.550000000000011</v>
      </c>
      <c r="N103" s="926"/>
      <c r="O103" s="926"/>
      <c r="P103" s="965"/>
      <c r="Q103" s="926">
        <f t="shared" si="168"/>
        <v>10678800</v>
      </c>
      <c r="R103" s="926">
        <f t="shared" si="169"/>
        <v>1032900</v>
      </c>
      <c r="S103" s="926">
        <f t="shared" si="153"/>
        <v>11711700</v>
      </c>
      <c r="T103" s="926"/>
      <c r="U103" s="869">
        <v>7</v>
      </c>
      <c r="V103" s="926">
        <f t="shared" si="170"/>
        <v>337925.00000000006</v>
      </c>
      <c r="W103" s="926"/>
      <c r="X103" s="954">
        <f t="shared" si="171"/>
        <v>58558.5</v>
      </c>
      <c r="Y103" s="926">
        <f>M103*$Y$5</f>
        <v>193100.00000000003</v>
      </c>
      <c r="Z103" s="926">
        <f t="shared" si="174"/>
        <v>96550.000000000015</v>
      </c>
      <c r="AA103" s="961" t="str">
        <f t="shared" si="175"/>
        <v>CORNER</v>
      </c>
      <c r="AB103" s="961" t="s">
        <v>573</v>
      </c>
      <c r="AC103" s="926">
        <f t="shared" si="114"/>
        <v>686133.50000000012</v>
      </c>
      <c r="AD103" s="926"/>
      <c r="AE103" s="956">
        <f t="shared" si="154"/>
        <v>12397833.5</v>
      </c>
      <c r="AF103" s="956">
        <f t="shared" si="160"/>
        <v>381853.27179999999</v>
      </c>
      <c r="AG103" s="957">
        <f t="shared" si="165"/>
        <v>12779686.7718</v>
      </c>
      <c r="AH103" s="919">
        <f t="shared" si="161"/>
        <v>290098.88971986005</v>
      </c>
      <c r="AI103" s="957">
        <f t="shared" si="158"/>
        <v>13069785.661519861</v>
      </c>
      <c r="AJ103" s="919">
        <f t="shared" si="159"/>
        <v>326744.64153799653</v>
      </c>
      <c r="AK103" s="920">
        <f t="shared" si="162"/>
        <v>13396530.303057857</v>
      </c>
      <c r="AL103" s="919">
        <f t="shared" si="123"/>
        <v>334913.25757644646</v>
      </c>
      <c r="AM103" s="982">
        <f t="shared" si="144"/>
        <v>13731443.560634304</v>
      </c>
      <c r="AN103" s="919">
        <f t="shared" si="124"/>
        <v>343286.08901585761</v>
      </c>
      <c r="AO103" s="920">
        <f t="shared" si="145"/>
        <v>14074729.649650162</v>
      </c>
      <c r="AP103" s="919">
        <f t="shared" ref="AP103:AP134" si="176">AO103*$AP$5</f>
        <v>351868.24124125409</v>
      </c>
      <c r="AQ103" s="920">
        <f t="shared" ref="AQ103:AQ134" si="177">AO103+AP103</f>
        <v>14426597.890891416</v>
      </c>
      <c r="AR103" s="919">
        <f t="shared" ref="AR103:AR134" si="178">AQ103*$AR$5</f>
        <v>432797.93672674248</v>
      </c>
      <c r="AS103" s="920">
        <f t="shared" ref="AS103:AS134" si="179">AQ103+AR103</f>
        <v>14859395.827618159</v>
      </c>
      <c r="AT103" s="920">
        <f t="shared" si="146"/>
        <v>445781.87482854474</v>
      </c>
      <c r="AU103" s="919">
        <f t="shared" ref="AU103:AU134" si="180">AS103*$AU$5</f>
        <v>594375.83310472639</v>
      </c>
      <c r="AV103" s="919"/>
      <c r="AW103" s="920">
        <f t="shared" ref="AW103:AW134" si="181">AS103+AU103</f>
        <v>15453771.660722885</v>
      </c>
      <c r="AX103" s="920">
        <f t="shared" si="147"/>
        <v>463613.14982168656</v>
      </c>
      <c r="AY103" s="919">
        <f t="shared" ref="AY103:AY134" si="182">AW103*$AY$5</f>
        <v>618150.86642891541</v>
      </c>
      <c r="AZ103" s="919"/>
      <c r="BA103" s="920">
        <f t="shared" ref="BA103:BA134" si="183">AW103+AY103</f>
        <v>16071922.527151801</v>
      </c>
      <c r="BB103" s="920">
        <f t="shared" si="148"/>
        <v>482157.67581455398</v>
      </c>
      <c r="BC103" s="919">
        <f t="shared" ref="BC103:BC134" si="184">BA103*$BC$5</f>
        <v>642876.90108607209</v>
      </c>
      <c r="BD103" s="919"/>
      <c r="BE103" s="975">
        <f t="shared" ref="BE103:BE134" si="185">BA103+BC103</f>
        <v>16714799.428237872</v>
      </c>
      <c r="BF103" s="975">
        <f t="shared" si="149"/>
        <v>501443.98284713615</v>
      </c>
      <c r="BG103" s="919">
        <f t="shared" ref="BG103:BG134" si="186">BE103*$BC$5</f>
        <v>668591.97712951491</v>
      </c>
      <c r="BH103" s="975"/>
      <c r="BI103" s="975">
        <f t="shared" ref="BI103:BI134" si="187">BE103+BG103</f>
        <v>17383391.405367386</v>
      </c>
      <c r="BJ103" s="975">
        <f t="shared" si="150"/>
        <v>521501.74216102157</v>
      </c>
      <c r="BK103" s="919">
        <f t="shared" ref="BK103:BK134" si="188">BI103*$BC$5</f>
        <v>695335.65621469542</v>
      </c>
      <c r="BL103" s="975"/>
      <c r="BM103" s="975">
        <f t="shared" ref="BM103:BM134" si="189">BI103+BK103</f>
        <v>18078727.061582081</v>
      </c>
      <c r="BN103" s="926">
        <f t="shared" ref="BN103:BN134" si="190">BM103*$BN$5</f>
        <v>1355904.529618656</v>
      </c>
      <c r="BO103" s="926">
        <f t="shared" ref="BO103:BO134" si="191">BM103*$BO$5</f>
        <v>451968.17653955205</v>
      </c>
      <c r="BP103" s="926">
        <f t="shared" ref="BP103:BP134" si="192">BM103*$BP$5</f>
        <v>2169447.2473898497</v>
      </c>
      <c r="BQ103" s="926">
        <f t="shared" ref="BQ103:BQ134" si="193">BM103+BN103+BO103+BP103</f>
        <v>22056047.015130136</v>
      </c>
      <c r="BR103" s="926">
        <f t="shared" ref="BR103:BR134" si="194">BQ103/M103</f>
        <v>228441.70911579632</v>
      </c>
      <c r="BS103" s="963">
        <v>0.15</v>
      </c>
      <c r="BT103" s="954">
        <f t="shared" si="85"/>
        <v>3308407.0522695202</v>
      </c>
      <c r="BU103" s="926">
        <f t="shared" si="115"/>
        <v>50000</v>
      </c>
      <c r="BV103" s="954">
        <f t="shared" si="166"/>
        <v>465486.72175278858</v>
      </c>
      <c r="BW103" s="869">
        <f t="shared" si="155"/>
        <v>7</v>
      </c>
      <c r="BX103" s="954">
        <f t="shared" si="167"/>
        <v>18747639.962860614</v>
      </c>
      <c r="BZ103" s="959">
        <v>46082</v>
      </c>
      <c r="CA103" s="960">
        <f t="shared" si="156"/>
        <v>7</v>
      </c>
      <c r="CB103" s="960">
        <f t="shared" si="151"/>
        <v>8</v>
      </c>
      <c r="GI103" s="912"/>
    </row>
    <row r="104" spans="1:191" x14ac:dyDescent="0.2">
      <c r="A104" s="952">
        <f t="shared" si="157"/>
        <v>91</v>
      </c>
      <c r="B104" s="952">
        <f t="shared" si="157"/>
        <v>6</v>
      </c>
      <c r="C104" s="952" t="s">
        <v>558</v>
      </c>
      <c r="D104" s="952"/>
      <c r="E104" s="952" t="s">
        <v>194</v>
      </c>
      <c r="F104" s="869" t="s">
        <v>208</v>
      </c>
      <c r="G104" s="869" t="s">
        <v>121</v>
      </c>
      <c r="H104" s="869" t="s">
        <v>214</v>
      </c>
      <c r="I104" s="869" t="s">
        <v>109</v>
      </c>
      <c r="J104" s="926">
        <v>61.56</v>
      </c>
      <c r="K104" s="962">
        <v>4.0999999999999996</v>
      </c>
      <c r="L104" s="962">
        <v>0</v>
      </c>
      <c r="M104" s="926">
        <f t="shared" si="70"/>
        <v>65.66</v>
      </c>
      <c r="N104" s="926"/>
      <c r="O104" s="926"/>
      <c r="P104" s="965"/>
      <c r="Q104" s="926">
        <f t="shared" si="168"/>
        <v>8125920</v>
      </c>
      <c r="R104" s="926">
        <f t="shared" si="169"/>
        <v>270600</v>
      </c>
      <c r="S104" s="926">
        <f t="shared" si="153"/>
        <v>8396520</v>
      </c>
      <c r="T104" s="926"/>
      <c r="U104" s="869">
        <v>7</v>
      </c>
      <c r="V104" s="926">
        <f t="shared" si="170"/>
        <v>229810</v>
      </c>
      <c r="W104" s="926"/>
      <c r="X104" s="954">
        <f t="shared" si="171"/>
        <v>41982.6</v>
      </c>
      <c r="Y104" s="961"/>
      <c r="Z104" s="926"/>
      <c r="AA104" s="961" t="str">
        <f t="shared" si="175"/>
        <v>INNER</v>
      </c>
      <c r="AB104" s="961"/>
      <c r="AC104" s="926">
        <f t="shared" si="114"/>
        <v>271792.59999999998</v>
      </c>
      <c r="AD104" s="926"/>
      <c r="AE104" s="956">
        <f t="shared" si="154"/>
        <v>8668312.5999999996</v>
      </c>
      <c r="AF104" s="956">
        <f t="shared" si="160"/>
        <v>266984.02808000002</v>
      </c>
      <c r="AG104" s="957">
        <f t="shared" si="165"/>
        <v>8935296.6280799992</v>
      </c>
      <c r="AH104" s="919">
        <f t="shared" si="161"/>
        <v>202831.233457416</v>
      </c>
      <c r="AI104" s="957">
        <f t="shared" si="158"/>
        <v>9138127.8615374155</v>
      </c>
      <c r="AJ104" s="919">
        <f t="shared" si="159"/>
        <v>228453.19653843541</v>
      </c>
      <c r="AK104" s="920">
        <f t="shared" si="162"/>
        <v>9366581.0580758508</v>
      </c>
      <c r="AL104" s="919">
        <f t="shared" si="123"/>
        <v>234164.52645189629</v>
      </c>
      <c r="AM104" s="982">
        <f t="shared" si="144"/>
        <v>9600745.5845277477</v>
      </c>
      <c r="AN104" s="919">
        <f t="shared" si="124"/>
        <v>240018.63961319369</v>
      </c>
      <c r="AO104" s="920">
        <f t="shared" si="145"/>
        <v>9840764.2241409421</v>
      </c>
      <c r="AP104" s="919">
        <f t="shared" si="176"/>
        <v>246019.10560352355</v>
      </c>
      <c r="AQ104" s="920">
        <f t="shared" si="177"/>
        <v>10086783.329744466</v>
      </c>
      <c r="AR104" s="919">
        <f t="shared" si="178"/>
        <v>302603.49989233393</v>
      </c>
      <c r="AS104" s="920">
        <f t="shared" si="179"/>
        <v>10389386.829636799</v>
      </c>
      <c r="AT104" s="920">
        <f t="shared" si="146"/>
        <v>311681.60488910397</v>
      </c>
      <c r="AU104" s="919">
        <f t="shared" si="180"/>
        <v>415575.47318547196</v>
      </c>
      <c r="AV104" s="919"/>
      <c r="AW104" s="920">
        <f t="shared" si="181"/>
        <v>10804962.302822271</v>
      </c>
      <c r="AX104" s="920">
        <f t="shared" si="147"/>
        <v>324148.86908466811</v>
      </c>
      <c r="AY104" s="919">
        <f t="shared" si="182"/>
        <v>432198.49211289088</v>
      </c>
      <c r="AZ104" s="919"/>
      <c r="BA104" s="920">
        <f t="shared" si="183"/>
        <v>11237160.794935163</v>
      </c>
      <c r="BB104" s="920">
        <f t="shared" si="148"/>
        <v>337114.82384805486</v>
      </c>
      <c r="BC104" s="919">
        <f t="shared" si="184"/>
        <v>449486.43179740652</v>
      </c>
      <c r="BD104" s="919"/>
      <c r="BE104" s="975">
        <f t="shared" si="185"/>
        <v>11686647.226732569</v>
      </c>
      <c r="BF104" s="975">
        <f t="shared" si="149"/>
        <v>350599.41680197703</v>
      </c>
      <c r="BG104" s="919">
        <f t="shared" si="186"/>
        <v>467465.88906930276</v>
      </c>
      <c r="BH104" s="975"/>
      <c r="BI104" s="975">
        <f t="shared" si="187"/>
        <v>12154113.115801871</v>
      </c>
      <c r="BJ104" s="975">
        <f t="shared" si="150"/>
        <v>364623.39347405609</v>
      </c>
      <c r="BK104" s="919">
        <f t="shared" si="188"/>
        <v>486164.52463207487</v>
      </c>
      <c r="BL104" s="975"/>
      <c r="BM104" s="975">
        <f t="shared" si="189"/>
        <v>12640277.640433945</v>
      </c>
      <c r="BN104" s="926">
        <f t="shared" si="190"/>
        <v>948020.82303254586</v>
      </c>
      <c r="BO104" s="926">
        <f t="shared" si="191"/>
        <v>316006.94101084862</v>
      </c>
      <c r="BP104" s="926">
        <f t="shared" si="192"/>
        <v>1516833.3168520734</v>
      </c>
      <c r="BQ104" s="926">
        <f t="shared" si="193"/>
        <v>15421138.721329413</v>
      </c>
      <c r="BR104" s="926">
        <f t="shared" si="194"/>
        <v>234863.51997151104</v>
      </c>
      <c r="BS104" s="963">
        <v>0.15</v>
      </c>
      <c r="BT104" s="954">
        <f t="shared" si="85"/>
        <v>2313170.8081994117</v>
      </c>
      <c r="BU104" s="926">
        <f t="shared" si="115"/>
        <v>50000</v>
      </c>
      <c r="BV104" s="954">
        <f t="shared" si="166"/>
        <v>323310.11545705883</v>
      </c>
      <c r="BW104" s="869">
        <f t="shared" si="155"/>
        <v>7</v>
      </c>
      <c r="BX104" s="954">
        <f t="shared" si="167"/>
        <v>13107967.913130002</v>
      </c>
      <c r="BZ104" s="959">
        <v>46082</v>
      </c>
      <c r="CA104" s="960">
        <f t="shared" si="156"/>
        <v>7</v>
      </c>
      <c r="CB104" s="960">
        <f t="shared" si="151"/>
        <v>8</v>
      </c>
      <c r="GI104" s="912"/>
    </row>
    <row r="105" spans="1:191" x14ac:dyDescent="0.2">
      <c r="A105" s="952">
        <f t="shared" si="157"/>
        <v>92</v>
      </c>
      <c r="B105" s="952">
        <f t="shared" si="157"/>
        <v>7</v>
      </c>
      <c r="C105" s="952" t="s">
        <v>558</v>
      </c>
      <c r="D105" s="952"/>
      <c r="E105" s="952" t="s">
        <v>194</v>
      </c>
      <c r="F105" s="869" t="s">
        <v>208</v>
      </c>
      <c r="G105" s="869" t="s">
        <v>123</v>
      </c>
      <c r="H105" s="869" t="s">
        <v>215</v>
      </c>
      <c r="I105" s="869" t="s">
        <v>109</v>
      </c>
      <c r="J105" s="926">
        <v>95.44</v>
      </c>
      <c r="K105" s="962">
        <v>13.34</v>
      </c>
      <c r="L105" s="962">
        <v>0</v>
      </c>
      <c r="M105" s="926">
        <f t="shared" si="70"/>
        <v>108.78</v>
      </c>
      <c r="N105" s="926"/>
      <c r="O105" s="926"/>
      <c r="P105" s="965"/>
      <c r="Q105" s="926">
        <f t="shared" si="168"/>
        <v>12598080</v>
      </c>
      <c r="R105" s="926">
        <f t="shared" si="169"/>
        <v>880440</v>
      </c>
      <c r="S105" s="926">
        <f t="shared" si="153"/>
        <v>13478520</v>
      </c>
      <c r="T105" s="926"/>
      <c r="U105" s="869">
        <v>7</v>
      </c>
      <c r="V105" s="926">
        <f t="shared" si="170"/>
        <v>380730</v>
      </c>
      <c r="W105" s="926"/>
      <c r="X105" s="954">
        <f t="shared" si="171"/>
        <v>67392.600000000006</v>
      </c>
      <c r="Y105" s="926">
        <f>M105*$Y$5</f>
        <v>217560</v>
      </c>
      <c r="Z105" s="926"/>
      <c r="AA105" s="961" t="str">
        <f t="shared" si="175"/>
        <v>CORNER</v>
      </c>
      <c r="AB105" s="961"/>
      <c r="AC105" s="926">
        <f t="shared" si="114"/>
        <v>665682.6</v>
      </c>
      <c r="AD105" s="926"/>
      <c r="AE105" s="956">
        <f t="shared" si="154"/>
        <v>14144202.6</v>
      </c>
      <c r="AF105" s="956">
        <f t="shared" si="160"/>
        <v>435641.44008000003</v>
      </c>
      <c r="AG105" s="957">
        <f t="shared" si="165"/>
        <v>14579844.04008</v>
      </c>
      <c r="AH105" s="919">
        <f t="shared" si="161"/>
        <v>330962.45970981603</v>
      </c>
      <c r="AI105" s="957">
        <f t="shared" si="158"/>
        <v>14910806.499789815</v>
      </c>
      <c r="AJ105" s="919">
        <f t="shared" si="159"/>
        <v>372770.1624947454</v>
      </c>
      <c r="AK105" s="920">
        <f t="shared" si="162"/>
        <v>15283576.662284561</v>
      </c>
      <c r="AL105" s="919">
        <f t="shared" si="123"/>
        <v>382089.41655711405</v>
      </c>
      <c r="AM105" s="982">
        <f t="shared" si="144"/>
        <v>15665666.078841675</v>
      </c>
      <c r="AN105" s="919">
        <f t="shared" si="124"/>
        <v>391641.65197104192</v>
      </c>
      <c r="AO105" s="920">
        <f t="shared" si="145"/>
        <v>16057307.730812717</v>
      </c>
      <c r="AP105" s="919">
        <f t="shared" si="176"/>
        <v>401432.69327031798</v>
      </c>
      <c r="AQ105" s="920">
        <f t="shared" si="177"/>
        <v>16458740.424083035</v>
      </c>
      <c r="AR105" s="919">
        <f t="shared" si="178"/>
        <v>493762.21272249107</v>
      </c>
      <c r="AS105" s="920">
        <f t="shared" si="179"/>
        <v>16952502.636805527</v>
      </c>
      <c r="AT105" s="920">
        <f t="shared" si="146"/>
        <v>508575.07910416578</v>
      </c>
      <c r="AU105" s="919">
        <f t="shared" si="180"/>
        <v>678100.10547222104</v>
      </c>
      <c r="AV105" s="919"/>
      <c r="AW105" s="920">
        <f t="shared" si="181"/>
        <v>17630602.742277749</v>
      </c>
      <c r="AX105" s="920">
        <f t="shared" si="147"/>
        <v>528918.08226833248</v>
      </c>
      <c r="AY105" s="919">
        <f t="shared" si="182"/>
        <v>705224.10969110997</v>
      </c>
      <c r="AZ105" s="919"/>
      <c r="BA105" s="920">
        <f t="shared" si="183"/>
        <v>18335826.851968858</v>
      </c>
      <c r="BB105" s="920">
        <f t="shared" si="148"/>
        <v>550074.80555906578</v>
      </c>
      <c r="BC105" s="919">
        <f t="shared" si="184"/>
        <v>733433.07407875441</v>
      </c>
      <c r="BD105" s="919"/>
      <c r="BE105" s="975">
        <f t="shared" si="185"/>
        <v>19069259.926047612</v>
      </c>
      <c r="BF105" s="975">
        <f t="shared" si="149"/>
        <v>572077.79778142832</v>
      </c>
      <c r="BG105" s="919">
        <f t="shared" si="186"/>
        <v>762770.39704190451</v>
      </c>
      <c r="BH105" s="975"/>
      <c r="BI105" s="975">
        <f t="shared" si="187"/>
        <v>19832030.323089518</v>
      </c>
      <c r="BJ105" s="975">
        <f t="shared" si="150"/>
        <v>594960.90969268547</v>
      </c>
      <c r="BK105" s="919">
        <f t="shared" si="188"/>
        <v>793281.21292358078</v>
      </c>
      <c r="BL105" s="975"/>
      <c r="BM105" s="975">
        <f t="shared" si="189"/>
        <v>20625311.536013097</v>
      </c>
      <c r="BN105" s="926">
        <f t="shared" si="190"/>
        <v>1546898.3652009822</v>
      </c>
      <c r="BO105" s="926">
        <f t="shared" si="191"/>
        <v>515632.78840032744</v>
      </c>
      <c r="BP105" s="926">
        <f t="shared" si="192"/>
        <v>2475037.3843215713</v>
      </c>
      <c r="BQ105" s="926">
        <f t="shared" si="193"/>
        <v>25162880.073935974</v>
      </c>
      <c r="BR105" s="926">
        <f t="shared" si="194"/>
        <v>231318.99314153314</v>
      </c>
      <c r="BS105" s="963">
        <v>0.15</v>
      </c>
      <c r="BT105" s="954">
        <f t="shared" si="85"/>
        <v>3774432.011090396</v>
      </c>
      <c r="BU105" s="926">
        <f t="shared" si="115"/>
        <v>50000</v>
      </c>
      <c r="BV105" s="954">
        <f t="shared" si="166"/>
        <v>532061.71587005653</v>
      </c>
      <c r="BW105" s="869">
        <f t="shared" si="155"/>
        <v>7</v>
      </c>
      <c r="BX105" s="954">
        <f t="shared" si="167"/>
        <v>21388448.06284558</v>
      </c>
      <c r="BZ105" s="959">
        <v>46082</v>
      </c>
      <c r="CA105" s="960">
        <f t="shared" si="156"/>
        <v>7</v>
      </c>
      <c r="CB105" s="960">
        <f t="shared" si="151"/>
        <v>8</v>
      </c>
      <c r="GI105" s="912"/>
    </row>
    <row r="106" spans="1:191" x14ac:dyDescent="0.2">
      <c r="A106" s="952">
        <f t="shared" si="157"/>
        <v>93</v>
      </c>
      <c r="B106" s="952">
        <f t="shared" si="157"/>
        <v>8</v>
      </c>
      <c r="C106" s="952" t="s">
        <v>558</v>
      </c>
      <c r="D106" s="952"/>
      <c r="E106" s="952" t="s">
        <v>194</v>
      </c>
      <c r="F106" s="869" t="s">
        <v>208</v>
      </c>
      <c r="G106" s="869" t="s">
        <v>125</v>
      </c>
      <c r="H106" s="869" t="s">
        <v>216</v>
      </c>
      <c r="I106" s="869" t="s">
        <v>109</v>
      </c>
      <c r="J106" s="926">
        <v>69.2</v>
      </c>
      <c r="K106" s="962">
        <v>4.7699999999999996</v>
      </c>
      <c r="L106" s="962">
        <v>0</v>
      </c>
      <c r="M106" s="926">
        <f t="shared" si="70"/>
        <v>73.97</v>
      </c>
      <c r="N106" s="926"/>
      <c r="O106" s="926"/>
      <c r="P106" s="965"/>
      <c r="Q106" s="926">
        <f t="shared" si="168"/>
        <v>9134400</v>
      </c>
      <c r="R106" s="926">
        <f t="shared" si="169"/>
        <v>314820</v>
      </c>
      <c r="S106" s="926">
        <f t="shared" si="153"/>
        <v>9449220</v>
      </c>
      <c r="T106" s="926"/>
      <c r="U106" s="869">
        <v>7</v>
      </c>
      <c r="V106" s="926">
        <f t="shared" si="170"/>
        <v>258894.99999999997</v>
      </c>
      <c r="W106" s="926"/>
      <c r="X106" s="954">
        <f t="shared" si="171"/>
        <v>47246.1</v>
      </c>
      <c r="Y106" s="961"/>
      <c r="Z106" s="926"/>
      <c r="AA106" s="961" t="str">
        <f t="shared" si="175"/>
        <v>INNER</v>
      </c>
      <c r="AB106" s="961"/>
      <c r="AC106" s="926">
        <f t="shared" si="114"/>
        <v>306141.09999999998</v>
      </c>
      <c r="AD106" s="926"/>
      <c r="AE106" s="956">
        <f t="shared" si="154"/>
        <v>9755361.0999999996</v>
      </c>
      <c r="AF106" s="956">
        <f t="shared" si="160"/>
        <v>300465.12187999999</v>
      </c>
      <c r="AG106" s="957">
        <f t="shared" si="165"/>
        <v>10055826.22188</v>
      </c>
      <c r="AH106" s="919">
        <f t="shared" si="161"/>
        <v>228267.25523667602</v>
      </c>
      <c r="AI106" s="957">
        <f t="shared" si="158"/>
        <v>10284093.477116676</v>
      </c>
      <c r="AJ106" s="919">
        <f t="shared" si="159"/>
        <v>257102.33692791691</v>
      </c>
      <c r="AK106" s="920">
        <f t="shared" si="162"/>
        <v>10541195.814044593</v>
      </c>
      <c r="AL106" s="919">
        <f t="shared" si="123"/>
        <v>263529.89535111486</v>
      </c>
      <c r="AM106" s="982">
        <f t="shared" si="144"/>
        <v>10804725.709395709</v>
      </c>
      <c r="AN106" s="919">
        <f t="shared" si="124"/>
        <v>270118.14273489272</v>
      </c>
      <c r="AO106" s="920">
        <f t="shared" si="145"/>
        <v>11074843.852130601</v>
      </c>
      <c r="AP106" s="919">
        <f t="shared" si="176"/>
        <v>276871.09630326502</v>
      </c>
      <c r="AQ106" s="920">
        <f t="shared" si="177"/>
        <v>11351714.948433867</v>
      </c>
      <c r="AR106" s="919">
        <f t="shared" si="178"/>
        <v>340551.448453016</v>
      </c>
      <c r="AS106" s="920">
        <f t="shared" si="179"/>
        <v>11692266.396886883</v>
      </c>
      <c r="AT106" s="920">
        <f t="shared" si="146"/>
        <v>350767.99190660648</v>
      </c>
      <c r="AU106" s="919">
        <f t="shared" si="180"/>
        <v>467690.65587547532</v>
      </c>
      <c r="AV106" s="919"/>
      <c r="AW106" s="920">
        <f t="shared" si="181"/>
        <v>12159957.052762359</v>
      </c>
      <c r="AX106" s="920">
        <f t="shared" si="147"/>
        <v>364798.71158287075</v>
      </c>
      <c r="AY106" s="919">
        <f t="shared" si="182"/>
        <v>486398.28211049439</v>
      </c>
      <c r="AZ106" s="919"/>
      <c r="BA106" s="920">
        <f t="shared" si="183"/>
        <v>12646355.334872853</v>
      </c>
      <c r="BB106" s="920">
        <f t="shared" si="148"/>
        <v>379390.6600461856</v>
      </c>
      <c r="BC106" s="919">
        <f t="shared" si="184"/>
        <v>505854.21339491411</v>
      </c>
      <c r="BD106" s="919"/>
      <c r="BE106" s="975">
        <f t="shared" si="185"/>
        <v>13152209.548267767</v>
      </c>
      <c r="BF106" s="975">
        <f t="shared" si="149"/>
        <v>394566.286448033</v>
      </c>
      <c r="BG106" s="919">
        <f t="shared" si="186"/>
        <v>526088.38193071063</v>
      </c>
      <c r="BH106" s="975"/>
      <c r="BI106" s="975">
        <f t="shared" si="187"/>
        <v>13678297.930198478</v>
      </c>
      <c r="BJ106" s="975">
        <f t="shared" si="150"/>
        <v>410348.93790595431</v>
      </c>
      <c r="BK106" s="919">
        <f t="shared" si="188"/>
        <v>547131.91720793908</v>
      </c>
      <c r="BL106" s="975"/>
      <c r="BM106" s="975">
        <f t="shared" si="189"/>
        <v>14225429.847406417</v>
      </c>
      <c r="BN106" s="926">
        <f t="shared" si="190"/>
        <v>1066907.2385554812</v>
      </c>
      <c r="BO106" s="926">
        <f t="shared" si="191"/>
        <v>355635.74618516047</v>
      </c>
      <c r="BP106" s="926">
        <f t="shared" si="192"/>
        <v>1707051.5816887701</v>
      </c>
      <c r="BQ106" s="926">
        <f t="shared" si="193"/>
        <v>17355024.413835831</v>
      </c>
      <c r="BR106" s="926">
        <f t="shared" si="194"/>
        <v>234622.47416298272</v>
      </c>
      <c r="BS106" s="963">
        <v>0.15</v>
      </c>
      <c r="BT106" s="954">
        <f t="shared" si="85"/>
        <v>2603253.6620753747</v>
      </c>
      <c r="BU106" s="926">
        <f t="shared" si="115"/>
        <v>50000</v>
      </c>
      <c r="BV106" s="954">
        <f t="shared" si="166"/>
        <v>364750.52315362496</v>
      </c>
      <c r="BW106" s="869">
        <f t="shared" si="155"/>
        <v>7</v>
      </c>
      <c r="BX106" s="954">
        <f t="shared" si="167"/>
        <v>14751770.751760457</v>
      </c>
      <c r="BZ106" s="959">
        <v>46082</v>
      </c>
      <c r="CA106" s="960">
        <f t="shared" si="156"/>
        <v>7</v>
      </c>
      <c r="CB106" s="960">
        <f t="shared" si="151"/>
        <v>8</v>
      </c>
      <c r="GI106" s="912"/>
    </row>
    <row r="107" spans="1:191" x14ac:dyDescent="0.2">
      <c r="A107" s="952">
        <f t="shared" si="157"/>
        <v>94</v>
      </c>
      <c r="B107" s="952">
        <f t="shared" si="157"/>
        <v>9</v>
      </c>
      <c r="C107" s="952" t="s">
        <v>558</v>
      </c>
      <c r="D107" s="952"/>
      <c r="E107" s="952" t="s">
        <v>194</v>
      </c>
      <c r="F107" s="869" t="s">
        <v>208</v>
      </c>
      <c r="G107" s="869" t="s">
        <v>127</v>
      </c>
      <c r="H107" s="869" t="s">
        <v>217</v>
      </c>
      <c r="I107" s="869" t="s">
        <v>109</v>
      </c>
      <c r="J107" s="926">
        <v>69.36</v>
      </c>
      <c r="K107" s="962">
        <v>4.79</v>
      </c>
      <c r="L107" s="962">
        <v>0</v>
      </c>
      <c r="M107" s="926">
        <f t="shared" si="70"/>
        <v>74.150000000000006</v>
      </c>
      <c r="N107" s="926"/>
      <c r="O107" s="926"/>
      <c r="P107" s="965"/>
      <c r="Q107" s="926">
        <f t="shared" si="168"/>
        <v>9155520</v>
      </c>
      <c r="R107" s="926">
        <f t="shared" si="169"/>
        <v>316140</v>
      </c>
      <c r="S107" s="926">
        <f t="shared" si="153"/>
        <v>9471660</v>
      </c>
      <c r="T107" s="926"/>
      <c r="U107" s="869">
        <v>7</v>
      </c>
      <c r="V107" s="926">
        <f t="shared" si="170"/>
        <v>259525.00000000003</v>
      </c>
      <c r="W107" s="926"/>
      <c r="X107" s="954">
        <f t="shared" si="171"/>
        <v>47358.3</v>
      </c>
      <c r="Y107" s="961"/>
      <c r="Z107" s="926"/>
      <c r="AA107" s="961" t="str">
        <f t="shared" si="175"/>
        <v>INNER</v>
      </c>
      <c r="AB107" s="961"/>
      <c r="AC107" s="926">
        <f t="shared" si="114"/>
        <v>306883.30000000005</v>
      </c>
      <c r="AD107" s="926"/>
      <c r="AE107" s="956">
        <f t="shared" si="154"/>
        <v>9778543.3000000007</v>
      </c>
      <c r="AF107" s="956">
        <f t="shared" si="160"/>
        <v>301179.13364000001</v>
      </c>
      <c r="AG107" s="957">
        <f t="shared" si="165"/>
        <v>10079722.433640001</v>
      </c>
      <c r="AH107" s="919">
        <f t="shared" si="161"/>
        <v>228809.69924362804</v>
      </c>
      <c r="AI107" s="957">
        <f t="shared" si="158"/>
        <v>10308532.132883629</v>
      </c>
      <c r="AJ107" s="919">
        <f t="shared" si="159"/>
        <v>257713.30332209074</v>
      </c>
      <c r="AK107" s="920">
        <f t="shared" si="162"/>
        <v>10566245.436205719</v>
      </c>
      <c r="AL107" s="919">
        <f t="shared" si="123"/>
        <v>264156.13590514299</v>
      </c>
      <c r="AM107" s="920">
        <f t="shared" si="144"/>
        <v>10830401.572110862</v>
      </c>
      <c r="AN107" s="919">
        <f t="shared" si="124"/>
        <v>270760.03930277156</v>
      </c>
      <c r="AO107" s="920">
        <f t="shared" si="145"/>
        <v>11101161.611413633</v>
      </c>
      <c r="AP107" s="919">
        <f t="shared" si="176"/>
        <v>277529.04028534086</v>
      </c>
      <c r="AQ107" s="920">
        <f t="shared" si="177"/>
        <v>11378690.651698975</v>
      </c>
      <c r="AR107" s="919">
        <f t="shared" si="178"/>
        <v>341360.71955096925</v>
      </c>
      <c r="AS107" s="920">
        <f t="shared" si="179"/>
        <v>11720051.371249944</v>
      </c>
      <c r="AT107" s="920">
        <f t="shared" si="146"/>
        <v>351601.54113749828</v>
      </c>
      <c r="AU107" s="919">
        <f t="shared" si="180"/>
        <v>468802.05484999774</v>
      </c>
      <c r="AV107" s="919"/>
      <c r="AW107" s="920">
        <f t="shared" si="181"/>
        <v>12188853.426099941</v>
      </c>
      <c r="AX107" s="920">
        <f t="shared" si="147"/>
        <v>365665.60278299823</v>
      </c>
      <c r="AY107" s="919">
        <f t="shared" si="182"/>
        <v>487554.13704399765</v>
      </c>
      <c r="AZ107" s="919"/>
      <c r="BA107" s="920">
        <f t="shared" si="183"/>
        <v>12676407.563143939</v>
      </c>
      <c r="BB107" s="920">
        <f t="shared" si="148"/>
        <v>380292.22689431813</v>
      </c>
      <c r="BC107" s="919">
        <f t="shared" si="184"/>
        <v>507056.30252575758</v>
      </c>
      <c r="BD107" s="919">
        <f>BC107-BB107</f>
        <v>126764.07563143945</v>
      </c>
      <c r="BE107" s="975">
        <f t="shared" si="185"/>
        <v>13183463.865669696</v>
      </c>
      <c r="BF107" s="975">
        <f t="shared" si="149"/>
        <v>395503.91597009083</v>
      </c>
      <c r="BG107" s="919">
        <f t="shared" si="186"/>
        <v>527338.55462678778</v>
      </c>
      <c r="BH107" s="975"/>
      <c r="BI107" s="975">
        <f t="shared" si="187"/>
        <v>13710802.420296483</v>
      </c>
      <c r="BJ107" s="975">
        <f t="shared" si="150"/>
        <v>411324.07260889449</v>
      </c>
      <c r="BK107" s="919">
        <f t="shared" si="188"/>
        <v>548432.09681185929</v>
      </c>
      <c r="BL107" s="975"/>
      <c r="BM107" s="975">
        <f t="shared" si="189"/>
        <v>14259234.517108342</v>
      </c>
      <c r="BN107" s="926">
        <f t="shared" si="190"/>
        <v>1069442.5887831256</v>
      </c>
      <c r="BO107" s="926">
        <f t="shared" si="191"/>
        <v>356480.86292770854</v>
      </c>
      <c r="BP107" s="926">
        <f t="shared" si="192"/>
        <v>1711108.1420530009</v>
      </c>
      <c r="BQ107" s="926">
        <f t="shared" si="193"/>
        <v>17396266.110872179</v>
      </c>
      <c r="BR107" s="926">
        <f t="shared" si="194"/>
        <v>234609.11815066996</v>
      </c>
      <c r="BS107" s="963">
        <v>0.15</v>
      </c>
      <c r="BT107" s="954">
        <f t="shared" si="85"/>
        <v>2609439.9166308269</v>
      </c>
      <c r="BU107" s="926">
        <f t="shared" si="115"/>
        <v>50000</v>
      </c>
      <c r="BV107" s="954">
        <f t="shared" si="166"/>
        <v>365634.27380440384</v>
      </c>
      <c r="BW107" s="869">
        <f t="shared" si="155"/>
        <v>7</v>
      </c>
      <c r="BX107" s="954">
        <f t="shared" si="167"/>
        <v>14786826.194241352</v>
      </c>
      <c r="BZ107" s="959">
        <v>46082</v>
      </c>
      <c r="CA107" s="960">
        <f t="shared" si="156"/>
        <v>7</v>
      </c>
      <c r="CB107" s="960">
        <f t="shared" si="151"/>
        <v>8</v>
      </c>
      <c r="GI107" s="912"/>
    </row>
    <row r="108" spans="1:191" x14ac:dyDescent="0.2">
      <c r="A108" s="952">
        <f t="shared" si="157"/>
        <v>95</v>
      </c>
      <c r="B108" s="952">
        <f t="shared" si="157"/>
        <v>10</v>
      </c>
      <c r="C108" s="952" t="s">
        <v>558</v>
      </c>
      <c r="D108" s="952"/>
      <c r="E108" s="952" t="s">
        <v>194</v>
      </c>
      <c r="F108" s="869" t="s">
        <v>208</v>
      </c>
      <c r="G108" s="869" t="s">
        <v>129</v>
      </c>
      <c r="H108" s="869" t="s">
        <v>218</v>
      </c>
      <c r="I108" s="869" t="s">
        <v>109</v>
      </c>
      <c r="J108" s="926">
        <v>69.36</v>
      </c>
      <c r="K108" s="962">
        <v>4.79</v>
      </c>
      <c r="L108" s="962">
        <v>0</v>
      </c>
      <c r="M108" s="926">
        <f t="shared" si="70"/>
        <v>74.150000000000006</v>
      </c>
      <c r="N108" s="926"/>
      <c r="O108" s="926"/>
      <c r="P108" s="965"/>
      <c r="Q108" s="926">
        <f t="shared" si="168"/>
        <v>9155520</v>
      </c>
      <c r="R108" s="926">
        <f t="shared" si="169"/>
        <v>316140</v>
      </c>
      <c r="S108" s="926">
        <f t="shared" si="153"/>
        <v>9471660</v>
      </c>
      <c r="T108" s="926"/>
      <c r="U108" s="869">
        <v>7</v>
      </c>
      <c r="V108" s="926">
        <f t="shared" si="170"/>
        <v>259525.00000000003</v>
      </c>
      <c r="W108" s="926"/>
      <c r="X108" s="954">
        <f t="shared" si="171"/>
        <v>47358.3</v>
      </c>
      <c r="Y108" s="961"/>
      <c r="Z108" s="926"/>
      <c r="AA108" s="961" t="str">
        <f t="shared" si="175"/>
        <v>INNER</v>
      </c>
      <c r="AB108" s="961"/>
      <c r="AC108" s="926">
        <f t="shared" ref="AC108:AC111" si="195">SUM(V108:Z108)</f>
        <v>306883.30000000005</v>
      </c>
      <c r="AD108" s="926"/>
      <c r="AE108" s="956">
        <f t="shared" si="154"/>
        <v>9778543.3000000007</v>
      </c>
      <c r="AF108" s="956">
        <f t="shared" si="160"/>
        <v>301179.13364000001</v>
      </c>
      <c r="AG108" s="957">
        <f t="shared" si="165"/>
        <v>10079722.433640001</v>
      </c>
      <c r="AH108" s="919">
        <f t="shared" si="161"/>
        <v>228809.69924362804</v>
      </c>
      <c r="AI108" s="957">
        <f t="shared" si="158"/>
        <v>10308532.132883629</v>
      </c>
      <c r="AJ108" s="919">
        <f t="shared" si="159"/>
        <v>257713.30332209074</v>
      </c>
      <c r="AK108" s="920">
        <f t="shared" si="162"/>
        <v>10566245.436205719</v>
      </c>
      <c r="AL108" s="919">
        <f t="shared" si="123"/>
        <v>264156.13590514299</v>
      </c>
      <c r="AM108" s="920">
        <f t="shared" si="144"/>
        <v>10830401.572110862</v>
      </c>
      <c r="AN108" s="919">
        <f t="shared" si="124"/>
        <v>270760.03930277156</v>
      </c>
      <c r="AO108" s="920">
        <f t="shared" si="145"/>
        <v>11101161.611413633</v>
      </c>
      <c r="AP108" s="919">
        <f t="shared" si="176"/>
        <v>277529.04028534086</v>
      </c>
      <c r="AQ108" s="920">
        <f t="shared" si="177"/>
        <v>11378690.651698975</v>
      </c>
      <c r="AR108" s="919">
        <f t="shared" si="178"/>
        <v>341360.71955096925</v>
      </c>
      <c r="AS108" s="920">
        <f t="shared" si="179"/>
        <v>11720051.371249944</v>
      </c>
      <c r="AT108" s="920">
        <f t="shared" si="146"/>
        <v>351601.54113749828</v>
      </c>
      <c r="AU108" s="919">
        <f t="shared" si="180"/>
        <v>468802.05484999774</v>
      </c>
      <c r="AV108" s="919"/>
      <c r="AW108" s="920">
        <f t="shared" si="181"/>
        <v>12188853.426099941</v>
      </c>
      <c r="AX108" s="920">
        <f t="shared" si="147"/>
        <v>365665.60278299823</v>
      </c>
      <c r="AY108" s="919">
        <f t="shared" si="182"/>
        <v>487554.13704399765</v>
      </c>
      <c r="AZ108" s="919">
        <f>AY108-AX108</f>
        <v>121888.53426099941</v>
      </c>
      <c r="BA108" s="920">
        <f t="shared" si="183"/>
        <v>12676407.563143939</v>
      </c>
      <c r="BB108" s="920">
        <f t="shared" si="148"/>
        <v>380292.22689431813</v>
      </c>
      <c r="BC108" s="919">
        <f t="shared" si="184"/>
        <v>507056.30252575758</v>
      </c>
      <c r="BD108" s="919"/>
      <c r="BE108" s="975">
        <f t="shared" si="185"/>
        <v>13183463.865669696</v>
      </c>
      <c r="BF108" s="975">
        <f t="shared" si="149"/>
        <v>395503.91597009083</v>
      </c>
      <c r="BG108" s="919">
        <f t="shared" si="186"/>
        <v>527338.55462678778</v>
      </c>
      <c r="BH108" s="975"/>
      <c r="BI108" s="975">
        <f t="shared" si="187"/>
        <v>13710802.420296483</v>
      </c>
      <c r="BJ108" s="975">
        <f t="shared" si="150"/>
        <v>411324.07260889449</v>
      </c>
      <c r="BK108" s="919">
        <f t="shared" si="188"/>
        <v>548432.09681185929</v>
      </c>
      <c r="BL108" s="975"/>
      <c r="BM108" s="975">
        <f t="shared" si="189"/>
        <v>14259234.517108342</v>
      </c>
      <c r="BN108" s="926">
        <f t="shared" si="190"/>
        <v>1069442.5887831256</v>
      </c>
      <c r="BO108" s="926">
        <f t="shared" si="191"/>
        <v>356480.86292770854</v>
      </c>
      <c r="BP108" s="926">
        <f t="shared" si="192"/>
        <v>1711108.1420530009</v>
      </c>
      <c r="BQ108" s="926">
        <f t="shared" si="193"/>
        <v>17396266.110872179</v>
      </c>
      <c r="BR108" s="926">
        <f t="shared" si="194"/>
        <v>234609.11815066996</v>
      </c>
      <c r="BS108" s="963">
        <v>0.15</v>
      </c>
      <c r="BT108" s="954">
        <f t="shared" si="85"/>
        <v>2609439.9166308269</v>
      </c>
      <c r="BU108" s="926">
        <f t="shared" si="115"/>
        <v>50000</v>
      </c>
      <c r="BV108" s="954">
        <f t="shared" si="166"/>
        <v>365634.27380440384</v>
      </c>
      <c r="BW108" s="869">
        <f t="shared" si="155"/>
        <v>7</v>
      </c>
      <c r="BX108" s="954">
        <f t="shared" si="167"/>
        <v>14786826.194241352</v>
      </c>
      <c r="BZ108" s="959">
        <v>46082</v>
      </c>
      <c r="CA108" s="960">
        <f t="shared" si="156"/>
        <v>7</v>
      </c>
      <c r="CB108" s="960">
        <f t="shared" si="151"/>
        <v>8</v>
      </c>
      <c r="GI108" s="912"/>
    </row>
    <row r="109" spans="1:191" x14ac:dyDescent="0.2">
      <c r="A109" s="952">
        <f t="shared" si="157"/>
        <v>96</v>
      </c>
      <c r="B109" s="952">
        <f t="shared" si="157"/>
        <v>11</v>
      </c>
      <c r="C109" s="952" t="s">
        <v>558</v>
      </c>
      <c r="D109" s="952"/>
      <c r="E109" s="952" t="s">
        <v>194</v>
      </c>
      <c r="F109" s="869" t="s">
        <v>208</v>
      </c>
      <c r="G109" s="869" t="s">
        <v>131</v>
      </c>
      <c r="H109" s="869" t="s">
        <v>219</v>
      </c>
      <c r="I109" s="869" t="s">
        <v>109</v>
      </c>
      <c r="J109" s="926">
        <v>69.36</v>
      </c>
      <c r="K109" s="962">
        <v>4.79</v>
      </c>
      <c r="L109" s="962">
        <v>0</v>
      </c>
      <c r="M109" s="926">
        <f t="shared" si="70"/>
        <v>74.150000000000006</v>
      </c>
      <c r="N109" s="926"/>
      <c r="O109" s="926"/>
      <c r="P109" s="965"/>
      <c r="Q109" s="926">
        <f t="shared" si="168"/>
        <v>9155520</v>
      </c>
      <c r="R109" s="926">
        <f t="shared" si="169"/>
        <v>316140</v>
      </c>
      <c r="S109" s="926">
        <f t="shared" si="153"/>
        <v>9471660</v>
      </c>
      <c r="T109" s="926"/>
      <c r="U109" s="869">
        <v>7</v>
      </c>
      <c r="V109" s="926">
        <f t="shared" si="170"/>
        <v>259525.00000000003</v>
      </c>
      <c r="W109" s="926"/>
      <c r="X109" s="954">
        <f t="shared" si="171"/>
        <v>47358.3</v>
      </c>
      <c r="Y109" s="961"/>
      <c r="Z109" s="926"/>
      <c r="AA109" s="961" t="str">
        <f t="shared" si="175"/>
        <v>INNER</v>
      </c>
      <c r="AB109" s="961"/>
      <c r="AC109" s="926">
        <f t="shared" si="195"/>
        <v>306883.30000000005</v>
      </c>
      <c r="AD109" s="926"/>
      <c r="AE109" s="956">
        <f t="shared" si="154"/>
        <v>9778543.3000000007</v>
      </c>
      <c r="AF109" s="956">
        <f t="shared" si="160"/>
        <v>301179.13364000001</v>
      </c>
      <c r="AG109" s="957">
        <f t="shared" si="165"/>
        <v>10079722.433640001</v>
      </c>
      <c r="AH109" s="919">
        <f t="shared" si="161"/>
        <v>228809.69924362804</v>
      </c>
      <c r="AI109" s="957">
        <f t="shared" si="158"/>
        <v>10308532.132883629</v>
      </c>
      <c r="AJ109" s="919">
        <f t="shared" si="159"/>
        <v>257713.30332209074</v>
      </c>
      <c r="AK109" s="920">
        <f t="shared" si="162"/>
        <v>10566245.436205719</v>
      </c>
      <c r="AL109" s="919">
        <f t="shared" si="123"/>
        <v>264156.13590514299</v>
      </c>
      <c r="AM109" s="982">
        <f t="shared" si="144"/>
        <v>10830401.572110862</v>
      </c>
      <c r="AN109" s="919">
        <f t="shared" si="124"/>
        <v>270760.03930277156</v>
      </c>
      <c r="AO109" s="920">
        <f t="shared" si="145"/>
        <v>11101161.611413633</v>
      </c>
      <c r="AP109" s="919">
        <f t="shared" si="176"/>
        <v>277529.04028534086</v>
      </c>
      <c r="AQ109" s="920">
        <f t="shared" si="177"/>
        <v>11378690.651698975</v>
      </c>
      <c r="AR109" s="919">
        <f t="shared" si="178"/>
        <v>341360.71955096925</v>
      </c>
      <c r="AS109" s="920">
        <f t="shared" si="179"/>
        <v>11720051.371249944</v>
      </c>
      <c r="AT109" s="920">
        <f t="shared" si="146"/>
        <v>351601.54113749828</v>
      </c>
      <c r="AU109" s="919">
        <f t="shared" si="180"/>
        <v>468802.05484999774</v>
      </c>
      <c r="AV109" s="919"/>
      <c r="AW109" s="920">
        <f t="shared" si="181"/>
        <v>12188853.426099941</v>
      </c>
      <c r="AX109" s="920">
        <f t="shared" si="147"/>
        <v>365665.60278299823</v>
      </c>
      <c r="AY109" s="919">
        <f t="shared" si="182"/>
        <v>487554.13704399765</v>
      </c>
      <c r="AZ109" s="919"/>
      <c r="BA109" s="920">
        <f t="shared" si="183"/>
        <v>12676407.563143939</v>
      </c>
      <c r="BB109" s="920">
        <f t="shared" si="148"/>
        <v>380292.22689431813</v>
      </c>
      <c r="BC109" s="919">
        <f t="shared" si="184"/>
        <v>507056.30252575758</v>
      </c>
      <c r="BD109" s="919"/>
      <c r="BE109" s="975">
        <f t="shared" si="185"/>
        <v>13183463.865669696</v>
      </c>
      <c r="BF109" s="975">
        <f t="shared" si="149"/>
        <v>395503.91597009083</v>
      </c>
      <c r="BG109" s="919">
        <f t="shared" si="186"/>
        <v>527338.55462678778</v>
      </c>
      <c r="BH109" s="975"/>
      <c r="BI109" s="975">
        <f t="shared" si="187"/>
        <v>13710802.420296483</v>
      </c>
      <c r="BJ109" s="975">
        <f t="shared" si="150"/>
        <v>411324.07260889449</v>
      </c>
      <c r="BK109" s="919">
        <f t="shared" si="188"/>
        <v>548432.09681185929</v>
      </c>
      <c r="BL109" s="975"/>
      <c r="BM109" s="975">
        <f t="shared" si="189"/>
        <v>14259234.517108342</v>
      </c>
      <c r="BN109" s="926">
        <f t="shared" si="190"/>
        <v>1069442.5887831256</v>
      </c>
      <c r="BO109" s="926">
        <f t="shared" si="191"/>
        <v>356480.86292770854</v>
      </c>
      <c r="BP109" s="926">
        <f t="shared" si="192"/>
        <v>1711108.1420530009</v>
      </c>
      <c r="BQ109" s="926">
        <f t="shared" si="193"/>
        <v>17396266.110872179</v>
      </c>
      <c r="BR109" s="926">
        <f t="shared" si="194"/>
        <v>234609.11815066996</v>
      </c>
      <c r="BS109" s="963">
        <v>0.15</v>
      </c>
      <c r="BT109" s="954">
        <f t="shared" si="85"/>
        <v>2609439.9166308269</v>
      </c>
      <c r="BU109" s="926">
        <f t="shared" si="115"/>
        <v>50000</v>
      </c>
      <c r="BV109" s="954">
        <f t="shared" si="166"/>
        <v>365634.27380440384</v>
      </c>
      <c r="BW109" s="869">
        <f t="shared" si="155"/>
        <v>7</v>
      </c>
      <c r="BX109" s="954">
        <f t="shared" si="167"/>
        <v>14786826.194241352</v>
      </c>
      <c r="BZ109" s="959">
        <v>46082</v>
      </c>
      <c r="CA109" s="960">
        <f t="shared" si="156"/>
        <v>7</v>
      </c>
      <c r="CB109" s="960">
        <f t="shared" si="151"/>
        <v>8</v>
      </c>
      <c r="GI109" s="912"/>
    </row>
    <row r="110" spans="1:191" x14ac:dyDescent="0.2">
      <c r="A110" s="952">
        <f t="shared" si="157"/>
        <v>97</v>
      </c>
      <c r="B110" s="952">
        <f t="shared" si="157"/>
        <v>12</v>
      </c>
      <c r="C110" s="952" t="s">
        <v>558</v>
      </c>
      <c r="D110" s="952" t="s">
        <v>576</v>
      </c>
      <c r="E110" s="952" t="s">
        <v>194</v>
      </c>
      <c r="F110" s="869" t="s">
        <v>208</v>
      </c>
      <c r="G110" s="869" t="s">
        <v>133</v>
      </c>
      <c r="H110" s="869" t="s">
        <v>220</v>
      </c>
      <c r="I110" s="869" t="s">
        <v>109</v>
      </c>
      <c r="J110" s="926">
        <v>83.12</v>
      </c>
      <c r="K110" s="962">
        <v>13.04</v>
      </c>
      <c r="L110" s="962">
        <v>0</v>
      </c>
      <c r="M110" s="926">
        <f t="shared" si="70"/>
        <v>96.16</v>
      </c>
      <c r="N110" s="926"/>
      <c r="O110" s="926"/>
      <c r="P110" s="965"/>
      <c r="Q110" s="926">
        <f t="shared" si="168"/>
        <v>10971840</v>
      </c>
      <c r="R110" s="926">
        <f t="shared" si="169"/>
        <v>860640</v>
      </c>
      <c r="S110" s="926">
        <f t="shared" si="153"/>
        <v>11832480</v>
      </c>
      <c r="T110" s="926"/>
      <c r="U110" s="869">
        <v>7</v>
      </c>
      <c r="V110" s="926">
        <f t="shared" si="170"/>
        <v>336560</v>
      </c>
      <c r="W110" s="926"/>
      <c r="X110" s="954">
        <f t="shared" si="171"/>
        <v>59162.400000000001</v>
      </c>
      <c r="Y110" s="926">
        <f>M110*$Y$5</f>
        <v>192320</v>
      </c>
      <c r="Z110" s="926">
        <f t="shared" ref="Z110:Z116" si="196">M110*$Z$5</f>
        <v>96160</v>
      </c>
      <c r="AA110" s="961" t="str">
        <f t="shared" si="175"/>
        <v>CORNER</v>
      </c>
      <c r="AB110" s="961" t="s">
        <v>573</v>
      </c>
      <c r="AC110" s="926">
        <f t="shared" si="195"/>
        <v>684202.4</v>
      </c>
      <c r="AD110" s="926"/>
      <c r="AE110" s="956">
        <f t="shared" si="154"/>
        <v>12516682.4</v>
      </c>
      <c r="AF110" s="956">
        <f t="shared" si="160"/>
        <v>385513.81792</v>
      </c>
      <c r="AG110" s="957">
        <f t="shared" si="165"/>
        <v>12902196.21792</v>
      </c>
      <c r="AH110" s="919">
        <f t="shared" si="161"/>
        <v>292879.854146784</v>
      </c>
      <c r="AI110" s="957">
        <f t="shared" si="158"/>
        <v>13195076.072066784</v>
      </c>
      <c r="AJ110" s="919">
        <f t="shared" si="159"/>
        <v>329876.90180166962</v>
      </c>
      <c r="AK110" s="920">
        <f t="shared" si="162"/>
        <v>13524952.973868454</v>
      </c>
      <c r="AL110" s="919">
        <f t="shared" si="123"/>
        <v>338123.82434671139</v>
      </c>
      <c r="AM110" s="982">
        <f t="shared" si="144"/>
        <v>13863076.798215166</v>
      </c>
      <c r="AN110" s="919">
        <f t="shared" si="124"/>
        <v>346576.91995537915</v>
      </c>
      <c r="AO110" s="920">
        <f t="shared" si="145"/>
        <v>14209653.718170544</v>
      </c>
      <c r="AP110" s="919">
        <f t="shared" si="176"/>
        <v>355241.34295426361</v>
      </c>
      <c r="AQ110" s="920">
        <f t="shared" si="177"/>
        <v>14564895.061124807</v>
      </c>
      <c r="AR110" s="919">
        <f t="shared" si="178"/>
        <v>436946.85183374421</v>
      </c>
      <c r="AS110" s="920">
        <f t="shared" si="179"/>
        <v>15001841.912958551</v>
      </c>
      <c r="AT110" s="920">
        <f t="shared" si="146"/>
        <v>450055.25738875649</v>
      </c>
      <c r="AU110" s="919">
        <f t="shared" si="180"/>
        <v>600073.67651834211</v>
      </c>
      <c r="AV110" s="919"/>
      <c r="AW110" s="920">
        <f t="shared" si="181"/>
        <v>15601915.589476893</v>
      </c>
      <c r="AX110" s="920">
        <f t="shared" si="147"/>
        <v>468057.46768430679</v>
      </c>
      <c r="AY110" s="919">
        <f t="shared" si="182"/>
        <v>624076.62357907568</v>
      </c>
      <c r="AZ110" s="919"/>
      <c r="BA110" s="920">
        <f t="shared" si="183"/>
        <v>16225992.213055968</v>
      </c>
      <c r="BB110" s="920">
        <f t="shared" si="148"/>
        <v>486779.766391679</v>
      </c>
      <c r="BC110" s="919">
        <f t="shared" si="184"/>
        <v>649039.68852223875</v>
      </c>
      <c r="BD110" s="919"/>
      <c r="BE110" s="975">
        <f t="shared" si="185"/>
        <v>16875031.901578207</v>
      </c>
      <c r="BF110" s="975">
        <f t="shared" si="149"/>
        <v>506250.95704734616</v>
      </c>
      <c r="BG110" s="919">
        <f t="shared" si="186"/>
        <v>675001.27606312826</v>
      </c>
      <c r="BH110" s="975"/>
      <c r="BI110" s="975">
        <f t="shared" si="187"/>
        <v>17550033.177641336</v>
      </c>
      <c r="BJ110" s="975">
        <f t="shared" si="150"/>
        <v>526500.9953292401</v>
      </c>
      <c r="BK110" s="919">
        <f t="shared" si="188"/>
        <v>702001.32710565347</v>
      </c>
      <c r="BL110" s="975"/>
      <c r="BM110" s="975">
        <f t="shared" si="189"/>
        <v>18252034.504746988</v>
      </c>
      <c r="BN110" s="926">
        <f t="shared" si="190"/>
        <v>1368902.587856024</v>
      </c>
      <c r="BO110" s="926">
        <f t="shared" si="191"/>
        <v>456300.86261867476</v>
      </c>
      <c r="BP110" s="926">
        <f t="shared" si="192"/>
        <v>2190244.1405696385</v>
      </c>
      <c r="BQ110" s="926">
        <f t="shared" si="193"/>
        <v>22267482.095791325</v>
      </c>
      <c r="BR110" s="926">
        <f t="shared" si="194"/>
        <v>231566.99350864525</v>
      </c>
      <c r="BS110" s="963">
        <v>0.15</v>
      </c>
      <c r="BT110" s="954">
        <f t="shared" si="85"/>
        <v>3340122.3143686987</v>
      </c>
      <c r="BU110" s="926">
        <f t="shared" si="115"/>
        <v>50000</v>
      </c>
      <c r="BV110" s="954">
        <f t="shared" si="166"/>
        <v>470017.47348124266</v>
      </c>
      <c r="BW110" s="869">
        <f t="shared" si="155"/>
        <v>7</v>
      </c>
      <c r="BX110" s="954">
        <f t="shared" si="167"/>
        <v>18927359.781422626</v>
      </c>
      <c r="BZ110" s="959">
        <v>46082</v>
      </c>
      <c r="CA110" s="960">
        <f t="shared" si="156"/>
        <v>7</v>
      </c>
      <c r="CB110" s="960">
        <f t="shared" si="151"/>
        <v>8</v>
      </c>
      <c r="GI110" s="912"/>
    </row>
    <row r="111" spans="1:191" x14ac:dyDescent="0.2">
      <c r="A111" s="952">
        <f t="shared" si="157"/>
        <v>98</v>
      </c>
      <c r="B111" s="952">
        <f t="shared" si="157"/>
        <v>13</v>
      </c>
      <c r="C111" s="952" t="s">
        <v>558</v>
      </c>
      <c r="D111" s="952" t="s">
        <v>577</v>
      </c>
      <c r="E111" s="952" t="s">
        <v>194</v>
      </c>
      <c r="F111" s="869" t="s">
        <v>208</v>
      </c>
      <c r="G111" s="869" t="s">
        <v>136</v>
      </c>
      <c r="H111" s="869" t="s">
        <v>221</v>
      </c>
      <c r="I111" s="869" t="s">
        <v>113</v>
      </c>
      <c r="J111" s="926">
        <v>52.04</v>
      </c>
      <c r="K111" s="962">
        <v>3.1</v>
      </c>
      <c r="L111" s="962">
        <v>0</v>
      </c>
      <c r="M111" s="926">
        <f t="shared" si="70"/>
        <v>55.14</v>
      </c>
      <c r="N111" s="926"/>
      <c r="O111" s="926"/>
      <c r="P111" s="965"/>
      <c r="Q111" s="926">
        <f t="shared" si="168"/>
        <v>6869280</v>
      </c>
      <c r="R111" s="926">
        <f t="shared" si="169"/>
        <v>204600</v>
      </c>
      <c r="S111" s="926">
        <f t="shared" si="153"/>
        <v>7073880</v>
      </c>
      <c r="T111" s="926"/>
      <c r="U111" s="869">
        <v>7</v>
      </c>
      <c r="V111" s="926">
        <f t="shared" si="170"/>
        <v>192990</v>
      </c>
      <c r="W111" s="926"/>
      <c r="X111" s="954">
        <f t="shared" si="171"/>
        <v>35369.4</v>
      </c>
      <c r="Y111" s="961"/>
      <c r="Z111" s="926">
        <f t="shared" si="196"/>
        <v>55140</v>
      </c>
      <c r="AA111" s="961" t="str">
        <f t="shared" si="175"/>
        <v>INNER</v>
      </c>
      <c r="AB111" s="961" t="s">
        <v>573</v>
      </c>
      <c r="AC111" s="926">
        <f t="shared" si="195"/>
        <v>283499.40000000002</v>
      </c>
      <c r="AD111" s="926"/>
      <c r="AE111" s="956">
        <f t="shared" si="154"/>
        <v>7357379.4000000004</v>
      </c>
      <c r="AF111" s="956">
        <f t="shared" si="160"/>
        <v>226607.28552</v>
      </c>
      <c r="AG111" s="957">
        <f t="shared" si="165"/>
        <v>7583986.6855200008</v>
      </c>
      <c r="AH111" s="919">
        <f t="shared" si="161"/>
        <v>172156.49776130402</v>
      </c>
      <c r="AI111" s="957">
        <f t="shared" si="158"/>
        <v>7756143.1832813043</v>
      </c>
      <c r="AJ111" s="919">
        <f t="shared" si="159"/>
        <v>193903.57958203263</v>
      </c>
      <c r="AK111" s="920">
        <f t="shared" si="162"/>
        <v>7950046.7628633371</v>
      </c>
      <c r="AL111" s="919">
        <f t="shared" si="123"/>
        <v>198751.16907158343</v>
      </c>
      <c r="AM111" s="982">
        <f t="shared" si="144"/>
        <v>8148797.9319349201</v>
      </c>
      <c r="AN111" s="919">
        <f t="shared" si="124"/>
        <v>203719.94829837303</v>
      </c>
      <c r="AO111" s="920">
        <f t="shared" si="145"/>
        <v>8352517.8802332934</v>
      </c>
      <c r="AP111" s="919">
        <f t="shared" si="176"/>
        <v>208812.94700583233</v>
      </c>
      <c r="AQ111" s="920">
        <f t="shared" si="177"/>
        <v>8561330.827239126</v>
      </c>
      <c r="AR111" s="919">
        <f t="shared" si="178"/>
        <v>256839.92481717377</v>
      </c>
      <c r="AS111" s="920">
        <f t="shared" si="179"/>
        <v>8818170.7520563006</v>
      </c>
      <c r="AT111" s="920">
        <f t="shared" si="146"/>
        <v>264545.122561689</v>
      </c>
      <c r="AU111" s="919">
        <f t="shared" si="180"/>
        <v>352726.83008225204</v>
      </c>
      <c r="AV111" s="919"/>
      <c r="AW111" s="920">
        <f t="shared" si="181"/>
        <v>9170897.5821385533</v>
      </c>
      <c r="AX111" s="920">
        <f t="shared" si="147"/>
        <v>275126.92746415659</v>
      </c>
      <c r="AY111" s="919">
        <f t="shared" si="182"/>
        <v>366835.90328554215</v>
      </c>
      <c r="AZ111" s="919"/>
      <c r="BA111" s="920">
        <f t="shared" si="183"/>
        <v>9537733.4854240958</v>
      </c>
      <c r="BB111" s="920">
        <f t="shared" si="148"/>
        <v>286132.00456272287</v>
      </c>
      <c r="BC111" s="919">
        <f t="shared" si="184"/>
        <v>381509.33941696386</v>
      </c>
      <c r="BD111" s="919"/>
      <c r="BE111" s="975">
        <f t="shared" si="185"/>
        <v>9919242.8248410597</v>
      </c>
      <c r="BF111" s="975">
        <f t="shared" si="149"/>
        <v>297577.28474523179</v>
      </c>
      <c r="BG111" s="919">
        <f t="shared" si="186"/>
        <v>396769.71299364237</v>
      </c>
      <c r="BH111" s="975"/>
      <c r="BI111" s="975">
        <f t="shared" si="187"/>
        <v>10316012.537834702</v>
      </c>
      <c r="BJ111" s="975">
        <f t="shared" si="150"/>
        <v>309480.37613504106</v>
      </c>
      <c r="BK111" s="919">
        <f t="shared" si="188"/>
        <v>412640.50151338807</v>
      </c>
      <c r="BL111" s="975"/>
      <c r="BM111" s="975">
        <f t="shared" si="189"/>
        <v>10728653.03934809</v>
      </c>
      <c r="BN111" s="926">
        <f t="shared" si="190"/>
        <v>804648.97795110673</v>
      </c>
      <c r="BO111" s="926">
        <f t="shared" si="191"/>
        <v>268216.32598370226</v>
      </c>
      <c r="BP111" s="926">
        <f t="shared" si="192"/>
        <v>1287438.3647217709</v>
      </c>
      <c r="BQ111" s="926">
        <f t="shared" si="193"/>
        <v>13088956.708004672</v>
      </c>
      <c r="BR111" s="926">
        <f t="shared" si="194"/>
        <v>237376.79920211592</v>
      </c>
      <c r="BS111" s="963">
        <v>0.15</v>
      </c>
      <c r="BT111" s="954">
        <f t="shared" si="85"/>
        <v>1963343.5062007008</v>
      </c>
      <c r="BU111" s="926">
        <f t="shared" si="115"/>
        <v>50000</v>
      </c>
      <c r="BV111" s="954">
        <f t="shared" si="166"/>
        <v>273334.78660010011</v>
      </c>
      <c r="BW111" s="869">
        <f t="shared" si="155"/>
        <v>7</v>
      </c>
      <c r="BX111" s="954">
        <f t="shared" si="167"/>
        <v>11125613.201803971</v>
      </c>
      <c r="BZ111" s="959">
        <v>46082</v>
      </c>
      <c r="CA111" s="960">
        <f t="shared" si="156"/>
        <v>7</v>
      </c>
      <c r="CB111" s="960">
        <f t="shared" si="151"/>
        <v>8</v>
      </c>
      <c r="GI111" s="912"/>
    </row>
    <row r="112" spans="1:191" x14ac:dyDescent="0.2">
      <c r="A112" s="952">
        <f t="shared" si="157"/>
        <v>99</v>
      </c>
      <c r="B112" s="952">
        <v>1</v>
      </c>
      <c r="C112" s="952" t="s">
        <v>558</v>
      </c>
      <c r="D112" s="952"/>
      <c r="E112" s="952" t="s">
        <v>208</v>
      </c>
      <c r="F112" s="869" t="s">
        <v>222</v>
      </c>
      <c r="G112" s="869" t="s">
        <v>107</v>
      </c>
      <c r="H112" s="869" t="s">
        <v>223</v>
      </c>
      <c r="I112" s="869" t="s">
        <v>572</v>
      </c>
      <c r="J112" s="926">
        <v>99.98</v>
      </c>
      <c r="K112" s="962">
        <v>10.29</v>
      </c>
      <c r="L112" s="962">
        <v>0</v>
      </c>
      <c r="M112" s="926">
        <f t="shared" si="70"/>
        <v>110.27000000000001</v>
      </c>
      <c r="N112" s="926"/>
      <c r="O112" s="926"/>
      <c r="P112" s="965"/>
      <c r="Q112" s="926">
        <f t="shared" si="168"/>
        <v>13197360</v>
      </c>
      <c r="R112" s="926">
        <f t="shared" si="169"/>
        <v>679140</v>
      </c>
      <c r="S112" s="926">
        <f t="shared" si="153"/>
        <v>13876500</v>
      </c>
      <c r="T112" s="926"/>
      <c r="U112" s="869">
        <v>8</v>
      </c>
      <c r="V112" s="926">
        <f t="shared" si="170"/>
        <v>441080.00000000006</v>
      </c>
      <c r="W112" s="926"/>
      <c r="X112" s="954">
        <f t="shared" si="171"/>
        <v>69382.5</v>
      </c>
      <c r="Y112" s="926">
        <f>M112*$Y$5</f>
        <v>220540.00000000003</v>
      </c>
      <c r="Z112" s="926">
        <f t="shared" si="196"/>
        <v>110270.00000000001</v>
      </c>
      <c r="AA112" s="961" t="str">
        <f t="shared" ref="AA112:AA124" si="197">AA21</f>
        <v>CORNER</v>
      </c>
      <c r="AB112" s="961" t="s">
        <v>573</v>
      </c>
      <c r="AC112" s="926">
        <f t="shared" si="114"/>
        <v>841272.50000000012</v>
      </c>
      <c r="AD112" s="926"/>
      <c r="AE112" s="956">
        <f t="shared" si="154"/>
        <v>14717772.5</v>
      </c>
      <c r="AF112" s="956">
        <f t="shared" si="160"/>
        <v>453307.39300000004</v>
      </c>
      <c r="AG112" s="957">
        <f t="shared" si="165"/>
        <v>15171079.892999999</v>
      </c>
      <c r="AH112" s="919">
        <f t="shared" si="161"/>
        <v>344383.51357110002</v>
      </c>
      <c r="AI112" s="957">
        <f t="shared" si="158"/>
        <v>15515463.4065711</v>
      </c>
      <c r="AJ112" s="919">
        <f t="shared" si="159"/>
        <v>387886.58516427752</v>
      </c>
      <c r="AK112" s="920">
        <f t="shared" si="162"/>
        <v>15903349.991735376</v>
      </c>
      <c r="AL112" s="919">
        <f t="shared" si="123"/>
        <v>397583.74979338446</v>
      </c>
      <c r="AM112" s="982">
        <f t="shared" si="144"/>
        <v>16300933.741528761</v>
      </c>
      <c r="AN112" s="919">
        <f t="shared" si="124"/>
        <v>407523.34353821905</v>
      </c>
      <c r="AO112" s="920">
        <f t="shared" si="145"/>
        <v>16708457.08506698</v>
      </c>
      <c r="AP112" s="919">
        <f t="shared" si="176"/>
        <v>417711.42712667451</v>
      </c>
      <c r="AQ112" s="920">
        <f t="shared" si="177"/>
        <v>17126168.512193654</v>
      </c>
      <c r="AR112" s="919">
        <f t="shared" si="178"/>
        <v>513785.05536580959</v>
      </c>
      <c r="AS112" s="920">
        <f t="shared" si="179"/>
        <v>17639953.567559462</v>
      </c>
      <c r="AT112" s="920">
        <f t="shared" si="146"/>
        <v>529198.60702678387</v>
      </c>
      <c r="AU112" s="919">
        <f t="shared" si="180"/>
        <v>705598.14270237845</v>
      </c>
      <c r="AV112" s="919"/>
      <c r="AW112" s="920">
        <f t="shared" si="181"/>
        <v>18345551.71026184</v>
      </c>
      <c r="AX112" s="920">
        <f t="shared" si="147"/>
        <v>550366.55130785517</v>
      </c>
      <c r="AY112" s="919">
        <f t="shared" si="182"/>
        <v>733822.06841047364</v>
      </c>
      <c r="AZ112" s="919"/>
      <c r="BA112" s="920">
        <f t="shared" si="183"/>
        <v>19079373.778672315</v>
      </c>
      <c r="BB112" s="920">
        <f t="shared" si="148"/>
        <v>572381.21336016944</v>
      </c>
      <c r="BC112" s="919">
        <f t="shared" si="184"/>
        <v>763174.95114689262</v>
      </c>
      <c r="BD112" s="919"/>
      <c r="BE112" s="975">
        <f t="shared" si="185"/>
        <v>19842548.729819208</v>
      </c>
      <c r="BF112" s="975">
        <f t="shared" si="149"/>
        <v>595276.4618945762</v>
      </c>
      <c r="BG112" s="919">
        <f t="shared" si="186"/>
        <v>793701.94919276831</v>
      </c>
      <c r="BH112" s="975"/>
      <c r="BI112" s="975">
        <f t="shared" si="187"/>
        <v>20636250.679011978</v>
      </c>
      <c r="BJ112" s="975">
        <f t="shared" si="150"/>
        <v>619087.5203703593</v>
      </c>
      <c r="BK112" s="919">
        <f t="shared" si="188"/>
        <v>825450.02716047911</v>
      </c>
      <c r="BL112" s="975"/>
      <c r="BM112" s="975">
        <f t="shared" si="189"/>
        <v>21461700.706172459</v>
      </c>
      <c r="BN112" s="926">
        <f t="shared" si="190"/>
        <v>1609627.5529629344</v>
      </c>
      <c r="BO112" s="926">
        <f t="shared" si="191"/>
        <v>536542.51765431149</v>
      </c>
      <c r="BP112" s="926">
        <f t="shared" si="192"/>
        <v>2575404.0847406951</v>
      </c>
      <c r="BQ112" s="926">
        <f t="shared" si="193"/>
        <v>26183274.861530397</v>
      </c>
      <c r="BR112" s="926">
        <f t="shared" si="194"/>
        <v>237446.94714365099</v>
      </c>
      <c r="BS112" s="963">
        <v>0.15</v>
      </c>
      <c r="BT112" s="954">
        <f t="shared" si="85"/>
        <v>3927491.2292295592</v>
      </c>
      <c r="BU112" s="926">
        <f>BU106</f>
        <v>50000</v>
      </c>
      <c r="BV112" s="954">
        <f t="shared" si="166"/>
        <v>553927.31846136565</v>
      </c>
      <c r="BW112" s="869">
        <f t="shared" si="155"/>
        <v>7</v>
      </c>
      <c r="BX112" s="954">
        <f t="shared" si="167"/>
        <v>22255783.632300839</v>
      </c>
      <c r="BZ112" s="959">
        <v>46082</v>
      </c>
      <c r="CA112" s="960">
        <f t="shared" si="156"/>
        <v>7</v>
      </c>
      <c r="CB112" s="960">
        <f t="shared" si="151"/>
        <v>8</v>
      </c>
      <c r="GI112" s="912"/>
    </row>
    <row r="113" spans="1:191" x14ac:dyDescent="0.2">
      <c r="A113" s="952">
        <f t="shared" si="157"/>
        <v>100</v>
      </c>
      <c r="B113" s="952">
        <f>B112+1</f>
        <v>2</v>
      </c>
      <c r="C113" s="952" t="s">
        <v>558</v>
      </c>
      <c r="D113" s="952"/>
      <c r="E113" s="952" t="s">
        <v>208</v>
      </c>
      <c r="F113" s="869" t="s">
        <v>222</v>
      </c>
      <c r="G113" s="869" t="s">
        <v>111</v>
      </c>
      <c r="H113" s="869" t="s">
        <v>224</v>
      </c>
      <c r="I113" s="869" t="s">
        <v>113</v>
      </c>
      <c r="J113" s="926">
        <v>52.86</v>
      </c>
      <c r="K113" s="962">
        <v>5.09</v>
      </c>
      <c r="L113" s="962">
        <v>0</v>
      </c>
      <c r="M113" s="926">
        <f t="shared" si="70"/>
        <v>57.95</v>
      </c>
      <c r="N113" s="926"/>
      <c r="O113" s="926"/>
      <c r="P113" s="965"/>
      <c r="Q113" s="926">
        <f t="shared" si="168"/>
        <v>6977520</v>
      </c>
      <c r="R113" s="926">
        <f t="shared" si="169"/>
        <v>335940</v>
      </c>
      <c r="S113" s="926">
        <f t="shared" si="153"/>
        <v>7313460</v>
      </c>
      <c r="T113" s="926"/>
      <c r="U113" s="869">
        <v>8</v>
      </c>
      <c r="V113" s="926">
        <f t="shared" si="170"/>
        <v>231800</v>
      </c>
      <c r="W113" s="926"/>
      <c r="X113" s="954">
        <f t="shared" si="171"/>
        <v>36567.300000000003</v>
      </c>
      <c r="Y113" s="961"/>
      <c r="Z113" s="926">
        <f t="shared" si="196"/>
        <v>57950</v>
      </c>
      <c r="AA113" s="961" t="str">
        <f t="shared" si="197"/>
        <v>INNER</v>
      </c>
      <c r="AB113" s="961" t="s">
        <v>573</v>
      </c>
      <c r="AC113" s="926">
        <f t="shared" si="114"/>
        <v>326317.3</v>
      </c>
      <c r="AD113" s="926"/>
      <c r="AE113" s="956">
        <f t="shared" si="154"/>
        <v>7639777.2999999998</v>
      </c>
      <c r="AF113" s="956">
        <f t="shared" si="160"/>
        <v>235305.14084000001</v>
      </c>
      <c r="AG113" s="957">
        <f t="shared" si="165"/>
        <v>7875082.4408400003</v>
      </c>
      <c r="AH113" s="919">
        <f t="shared" si="161"/>
        <v>178764.37140706801</v>
      </c>
      <c r="AI113" s="957">
        <f t="shared" si="158"/>
        <v>8053846.8122470686</v>
      </c>
      <c r="AJ113" s="919">
        <f t="shared" si="159"/>
        <v>201346.17030617673</v>
      </c>
      <c r="AK113" s="920">
        <f t="shared" si="162"/>
        <v>8255192.9825532455</v>
      </c>
      <c r="AL113" s="919">
        <f t="shared" si="123"/>
        <v>206379.82456383115</v>
      </c>
      <c r="AM113" s="982">
        <f t="shared" si="144"/>
        <v>8461572.8071170766</v>
      </c>
      <c r="AN113" s="919">
        <f t="shared" si="124"/>
        <v>211539.32017792691</v>
      </c>
      <c r="AO113" s="920">
        <f t="shared" si="145"/>
        <v>8673112.1272950042</v>
      </c>
      <c r="AP113" s="919">
        <f t="shared" si="176"/>
        <v>216827.80318237512</v>
      </c>
      <c r="AQ113" s="920">
        <f t="shared" si="177"/>
        <v>8889939.9304773789</v>
      </c>
      <c r="AR113" s="919">
        <f t="shared" si="178"/>
        <v>266698.19791432138</v>
      </c>
      <c r="AS113" s="920">
        <f t="shared" si="179"/>
        <v>9156638.1283916999</v>
      </c>
      <c r="AT113" s="920">
        <f t="shared" si="146"/>
        <v>274699.143851751</v>
      </c>
      <c r="AU113" s="919">
        <f t="shared" si="180"/>
        <v>366265.52513566799</v>
      </c>
      <c r="AV113" s="919"/>
      <c r="AW113" s="920">
        <f t="shared" si="181"/>
        <v>9522903.6535273679</v>
      </c>
      <c r="AX113" s="920">
        <f t="shared" si="147"/>
        <v>285687.10960582102</v>
      </c>
      <c r="AY113" s="919">
        <f t="shared" si="182"/>
        <v>380916.14614109474</v>
      </c>
      <c r="AZ113" s="919"/>
      <c r="BA113" s="920">
        <f t="shared" si="183"/>
        <v>9903819.7996684629</v>
      </c>
      <c r="BB113" s="920">
        <f t="shared" si="148"/>
        <v>297114.59399005387</v>
      </c>
      <c r="BC113" s="919">
        <f t="shared" si="184"/>
        <v>396152.79198673851</v>
      </c>
      <c r="BD113" s="919"/>
      <c r="BE113" s="975">
        <f t="shared" si="185"/>
        <v>10299972.591655202</v>
      </c>
      <c r="BF113" s="975">
        <f t="shared" si="149"/>
        <v>308999.17774965608</v>
      </c>
      <c r="BG113" s="919">
        <f t="shared" si="186"/>
        <v>411998.90366620809</v>
      </c>
      <c r="BH113" s="975"/>
      <c r="BI113" s="975">
        <f t="shared" si="187"/>
        <v>10711971.49532141</v>
      </c>
      <c r="BJ113" s="975">
        <f t="shared" si="150"/>
        <v>321359.14485964226</v>
      </c>
      <c r="BK113" s="919">
        <f t="shared" si="188"/>
        <v>428478.85981285642</v>
      </c>
      <c r="BL113" s="975"/>
      <c r="BM113" s="975">
        <f t="shared" si="189"/>
        <v>11140450.355134265</v>
      </c>
      <c r="BN113" s="926">
        <f t="shared" si="190"/>
        <v>835533.77663506987</v>
      </c>
      <c r="BO113" s="926">
        <f t="shared" si="191"/>
        <v>278511.25887835666</v>
      </c>
      <c r="BP113" s="926">
        <f t="shared" si="192"/>
        <v>1336854.0426161119</v>
      </c>
      <c r="BQ113" s="926">
        <f t="shared" si="193"/>
        <v>13591349.433263803</v>
      </c>
      <c r="BR113" s="926">
        <f t="shared" si="194"/>
        <v>234535.79695019504</v>
      </c>
      <c r="BS113" s="963">
        <v>0.15</v>
      </c>
      <c r="BT113" s="954">
        <f t="shared" ref="BT113:BT150" si="198">BQ113*BS113</f>
        <v>2038702.4149895704</v>
      </c>
      <c r="BU113" s="926">
        <f t="shared" ref="BU113:BU150" si="199">BU112</f>
        <v>50000</v>
      </c>
      <c r="BV113" s="954">
        <f t="shared" si="166"/>
        <v>284100.34499851003</v>
      </c>
      <c r="BW113" s="869">
        <f t="shared" si="155"/>
        <v>7</v>
      </c>
      <c r="BX113" s="954">
        <f t="shared" si="167"/>
        <v>11552647.018274233</v>
      </c>
      <c r="BZ113" s="959">
        <v>46082</v>
      </c>
      <c r="CA113" s="960">
        <f t="shared" si="156"/>
        <v>7</v>
      </c>
      <c r="CB113" s="960">
        <f t="shared" si="151"/>
        <v>8</v>
      </c>
      <c r="GI113" s="912"/>
    </row>
    <row r="114" spans="1:191" x14ac:dyDescent="0.2">
      <c r="A114" s="952">
        <f t="shared" si="157"/>
        <v>101</v>
      </c>
      <c r="B114" s="952">
        <f t="shared" si="157"/>
        <v>3</v>
      </c>
      <c r="C114" s="952" t="s">
        <v>558</v>
      </c>
      <c r="D114" s="952"/>
      <c r="E114" s="952" t="s">
        <v>208</v>
      </c>
      <c r="F114" s="869" t="s">
        <v>222</v>
      </c>
      <c r="G114" s="869" t="s">
        <v>115</v>
      </c>
      <c r="H114" s="869" t="s">
        <v>225</v>
      </c>
      <c r="I114" s="869" t="s">
        <v>109</v>
      </c>
      <c r="J114" s="926">
        <v>57.5</v>
      </c>
      <c r="K114" s="962">
        <v>5.09</v>
      </c>
      <c r="L114" s="962">
        <v>0</v>
      </c>
      <c r="M114" s="926">
        <f t="shared" si="70"/>
        <v>62.59</v>
      </c>
      <c r="N114" s="926"/>
      <c r="O114" s="926"/>
      <c r="P114" s="965"/>
      <c r="Q114" s="926">
        <f t="shared" si="168"/>
        <v>7590000</v>
      </c>
      <c r="R114" s="926">
        <f t="shared" si="169"/>
        <v>335940</v>
      </c>
      <c r="S114" s="926">
        <f t="shared" si="153"/>
        <v>7925940</v>
      </c>
      <c r="T114" s="926"/>
      <c r="U114" s="869">
        <v>8</v>
      </c>
      <c r="V114" s="926">
        <f t="shared" si="170"/>
        <v>250360</v>
      </c>
      <c r="W114" s="926"/>
      <c r="X114" s="954">
        <f t="shared" si="171"/>
        <v>39629.700000000004</v>
      </c>
      <c r="Y114" s="961"/>
      <c r="Z114" s="926">
        <f t="shared" si="196"/>
        <v>62590</v>
      </c>
      <c r="AA114" s="961" t="str">
        <f t="shared" si="197"/>
        <v>INNER</v>
      </c>
      <c r="AB114" s="961" t="s">
        <v>573</v>
      </c>
      <c r="AC114" s="926">
        <f t="shared" si="114"/>
        <v>352579.7</v>
      </c>
      <c r="AD114" s="926"/>
      <c r="AE114" s="956">
        <f t="shared" si="154"/>
        <v>8278519.7000000002</v>
      </c>
      <c r="AF114" s="956">
        <f t="shared" si="160"/>
        <v>254978.40676000001</v>
      </c>
      <c r="AG114" s="957">
        <f t="shared" si="165"/>
        <v>8533498.1067600008</v>
      </c>
      <c r="AH114" s="919">
        <f t="shared" si="161"/>
        <v>193710.40702345202</v>
      </c>
      <c r="AI114" s="957">
        <f t="shared" si="158"/>
        <v>8727208.513783453</v>
      </c>
      <c r="AJ114" s="919">
        <f t="shared" si="159"/>
        <v>218180.21284458635</v>
      </c>
      <c r="AK114" s="920">
        <f t="shared" si="162"/>
        <v>8945388.726628039</v>
      </c>
      <c r="AL114" s="919">
        <f t="shared" si="123"/>
        <v>223634.71816570099</v>
      </c>
      <c r="AM114" s="982">
        <f t="shared" si="144"/>
        <v>9169023.4447937403</v>
      </c>
      <c r="AN114" s="919">
        <f t="shared" si="124"/>
        <v>229225.58611984353</v>
      </c>
      <c r="AO114" s="920">
        <f t="shared" si="145"/>
        <v>9398249.0309135839</v>
      </c>
      <c r="AP114" s="919">
        <f t="shared" si="176"/>
        <v>234956.22577283962</v>
      </c>
      <c r="AQ114" s="920">
        <f t="shared" si="177"/>
        <v>9633205.256686423</v>
      </c>
      <c r="AR114" s="919">
        <f t="shared" si="178"/>
        <v>288996.15770059265</v>
      </c>
      <c r="AS114" s="920">
        <f t="shared" si="179"/>
        <v>9922201.4143870156</v>
      </c>
      <c r="AT114" s="920">
        <f t="shared" si="146"/>
        <v>297666.04243161046</v>
      </c>
      <c r="AU114" s="919">
        <f t="shared" si="180"/>
        <v>396888.05657548062</v>
      </c>
      <c r="AV114" s="919"/>
      <c r="AW114" s="920">
        <f t="shared" si="181"/>
        <v>10319089.470962496</v>
      </c>
      <c r="AX114" s="920">
        <f t="shared" si="147"/>
        <v>309572.68412887485</v>
      </c>
      <c r="AY114" s="919">
        <f t="shared" si="182"/>
        <v>412763.57883849985</v>
      </c>
      <c r="AZ114" s="919"/>
      <c r="BA114" s="920">
        <f t="shared" si="183"/>
        <v>10731853.049800996</v>
      </c>
      <c r="BB114" s="920">
        <f t="shared" si="148"/>
        <v>321955.59149402985</v>
      </c>
      <c r="BC114" s="919">
        <f t="shared" si="184"/>
        <v>429274.12199203984</v>
      </c>
      <c r="BD114" s="919"/>
      <c r="BE114" s="975">
        <f t="shared" si="185"/>
        <v>11161127.171793036</v>
      </c>
      <c r="BF114" s="975">
        <f t="shared" si="149"/>
        <v>334833.81515379105</v>
      </c>
      <c r="BG114" s="919">
        <f t="shared" si="186"/>
        <v>446445.08687172143</v>
      </c>
      <c r="BH114" s="975"/>
      <c r="BI114" s="975">
        <f t="shared" si="187"/>
        <v>11607572.258664757</v>
      </c>
      <c r="BJ114" s="975">
        <f t="shared" si="150"/>
        <v>348227.16775994271</v>
      </c>
      <c r="BK114" s="919">
        <f t="shared" si="188"/>
        <v>464302.89034659031</v>
      </c>
      <c r="BL114" s="975"/>
      <c r="BM114" s="975">
        <f t="shared" si="189"/>
        <v>12071875.149011347</v>
      </c>
      <c r="BN114" s="926">
        <f t="shared" si="190"/>
        <v>905390.63617585099</v>
      </c>
      <c r="BO114" s="926">
        <f t="shared" si="191"/>
        <v>301796.87872528372</v>
      </c>
      <c r="BP114" s="926">
        <f t="shared" si="192"/>
        <v>1448625.0178813615</v>
      </c>
      <c r="BQ114" s="926">
        <f t="shared" si="193"/>
        <v>14727687.681793842</v>
      </c>
      <c r="BR114" s="926">
        <f t="shared" si="194"/>
        <v>235304.16491122931</v>
      </c>
      <c r="BS114" s="963">
        <v>0.15</v>
      </c>
      <c r="BT114" s="954">
        <f t="shared" si="198"/>
        <v>2209153.1522690761</v>
      </c>
      <c r="BU114" s="926">
        <f t="shared" si="199"/>
        <v>50000</v>
      </c>
      <c r="BV114" s="954">
        <f t="shared" si="166"/>
        <v>308450.4503241537</v>
      </c>
      <c r="BW114" s="869">
        <f t="shared" si="155"/>
        <v>7</v>
      </c>
      <c r="BX114" s="954">
        <f t="shared" si="167"/>
        <v>12518534.529524766</v>
      </c>
      <c r="BZ114" s="959">
        <v>46082</v>
      </c>
      <c r="CA114" s="960">
        <f t="shared" si="156"/>
        <v>7</v>
      </c>
      <c r="CB114" s="960">
        <f t="shared" si="151"/>
        <v>8</v>
      </c>
      <c r="GI114" s="912"/>
    </row>
    <row r="115" spans="1:191" x14ac:dyDescent="0.2">
      <c r="A115" s="952">
        <f t="shared" si="157"/>
        <v>102</v>
      </c>
      <c r="B115" s="952">
        <f t="shared" si="157"/>
        <v>4</v>
      </c>
      <c r="C115" s="952" t="s">
        <v>104</v>
      </c>
      <c r="D115" s="952"/>
      <c r="E115" s="952" t="s">
        <v>208</v>
      </c>
      <c r="F115" s="869" t="s">
        <v>222</v>
      </c>
      <c r="G115" s="869" t="s">
        <v>117</v>
      </c>
      <c r="H115" s="869" t="s">
        <v>226</v>
      </c>
      <c r="I115" s="869" t="s">
        <v>109</v>
      </c>
      <c r="J115" s="926">
        <v>62.11</v>
      </c>
      <c r="K115" s="962">
        <v>5.19</v>
      </c>
      <c r="L115" s="962">
        <v>0</v>
      </c>
      <c r="M115" s="926">
        <f t="shared" si="70"/>
        <v>67.3</v>
      </c>
      <c r="N115" s="926"/>
      <c r="O115" s="926"/>
      <c r="P115" s="965"/>
      <c r="Q115" s="926">
        <f t="shared" si="168"/>
        <v>8198520</v>
      </c>
      <c r="R115" s="926">
        <f t="shared" si="169"/>
        <v>342540</v>
      </c>
      <c r="S115" s="926">
        <f t="shared" si="153"/>
        <v>8541060</v>
      </c>
      <c r="T115" s="926"/>
      <c r="U115" s="869">
        <v>8</v>
      </c>
      <c r="V115" s="926">
        <f t="shared" si="170"/>
        <v>269200</v>
      </c>
      <c r="W115" s="926"/>
      <c r="X115" s="954">
        <f t="shared" si="171"/>
        <v>42705.3</v>
      </c>
      <c r="Y115" s="961"/>
      <c r="Z115" s="926">
        <f t="shared" si="196"/>
        <v>67300</v>
      </c>
      <c r="AA115" s="961" t="str">
        <f t="shared" si="197"/>
        <v>INNER</v>
      </c>
      <c r="AB115" s="961" t="s">
        <v>573</v>
      </c>
      <c r="AC115" s="926">
        <f t="shared" si="114"/>
        <v>379205.3</v>
      </c>
      <c r="AD115" s="926"/>
      <c r="AE115" s="956">
        <f t="shared" si="154"/>
        <v>8920265.3000000007</v>
      </c>
      <c r="AF115" s="956">
        <f t="shared" si="160"/>
        <v>274744.17124000005</v>
      </c>
      <c r="AG115" s="957">
        <f t="shared" si="165"/>
        <v>9195009.4712400008</v>
      </c>
      <c r="AH115" s="919">
        <f t="shared" si="161"/>
        <v>208726.71499714802</v>
      </c>
      <c r="AI115" s="957">
        <f t="shared" si="158"/>
        <v>9403736.1862371489</v>
      </c>
      <c r="AJ115" s="919">
        <f t="shared" si="159"/>
        <v>235093.40465592872</v>
      </c>
      <c r="AK115" s="920">
        <f t="shared" si="162"/>
        <v>9638829.5908930786</v>
      </c>
      <c r="AL115" s="919">
        <f t="shared" si="123"/>
        <v>240970.73977232698</v>
      </c>
      <c r="AM115" s="920">
        <f t="shared" si="144"/>
        <v>9879800.3306654058</v>
      </c>
      <c r="AN115" s="919">
        <f t="shared" si="124"/>
        <v>246995.00826663515</v>
      </c>
      <c r="AO115" s="920">
        <f t="shared" si="145"/>
        <v>10126795.338932041</v>
      </c>
      <c r="AP115" s="919">
        <f t="shared" si="176"/>
        <v>253169.88347330104</v>
      </c>
      <c r="AQ115" s="920">
        <f t="shared" si="177"/>
        <v>10379965.222405342</v>
      </c>
      <c r="AR115" s="919">
        <f t="shared" si="178"/>
        <v>311398.95667216025</v>
      </c>
      <c r="AS115" s="920">
        <f t="shared" si="179"/>
        <v>10691364.179077502</v>
      </c>
      <c r="AT115" s="920">
        <f t="shared" si="146"/>
        <v>320740.92537232506</v>
      </c>
      <c r="AU115" s="919">
        <f t="shared" si="180"/>
        <v>427654.56716310012</v>
      </c>
      <c r="AV115" s="919"/>
      <c r="AW115" s="920">
        <f t="shared" si="181"/>
        <v>11119018.746240603</v>
      </c>
      <c r="AX115" s="920">
        <f t="shared" si="147"/>
        <v>333570.56238721806</v>
      </c>
      <c r="AY115" s="919">
        <f t="shared" si="182"/>
        <v>444760.74984962412</v>
      </c>
      <c r="AZ115" s="919">
        <f>AY115-AX115</f>
        <v>111190.18746240606</v>
      </c>
      <c r="BA115" s="920">
        <f t="shared" si="183"/>
        <v>11563779.496090228</v>
      </c>
      <c r="BB115" s="920">
        <f t="shared" si="148"/>
        <v>346913.3848827068</v>
      </c>
      <c r="BC115" s="919">
        <f t="shared" si="184"/>
        <v>462551.1798436091</v>
      </c>
      <c r="BD115" s="919"/>
      <c r="BE115" s="975">
        <f t="shared" si="185"/>
        <v>12026330.675933836</v>
      </c>
      <c r="BF115" s="975">
        <f t="shared" si="149"/>
        <v>360789.92027801508</v>
      </c>
      <c r="BG115" s="919">
        <f t="shared" si="186"/>
        <v>481053.22703735344</v>
      </c>
      <c r="BH115" s="975"/>
      <c r="BI115" s="975">
        <f t="shared" si="187"/>
        <v>12507383.902971189</v>
      </c>
      <c r="BJ115" s="975">
        <f t="shared" si="150"/>
        <v>375221.51708913565</v>
      </c>
      <c r="BK115" s="919">
        <f t="shared" si="188"/>
        <v>500295.35611884762</v>
      </c>
      <c r="BL115" s="975"/>
      <c r="BM115" s="975">
        <f t="shared" si="189"/>
        <v>13007679.259090036</v>
      </c>
      <c r="BN115" s="926">
        <f t="shared" si="190"/>
        <v>975575.94443175266</v>
      </c>
      <c r="BO115" s="926">
        <f t="shared" si="191"/>
        <v>325191.98147725093</v>
      </c>
      <c r="BP115" s="926">
        <f t="shared" si="192"/>
        <v>1560921.5110908044</v>
      </c>
      <c r="BQ115" s="926">
        <f t="shared" si="193"/>
        <v>15869368.696089843</v>
      </c>
      <c r="BR115" s="926">
        <f t="shared" si="194"/>
        <v>235800.42639063663</v>
      </c>
      <c r="BS115" s="963">
        <v>0.15</v>
      </c>
      <c r="BT115" s="954">
        <f t="shared" si="198"/>
        <v>2380405.3044134765</v>
      </c>
      <c r="BU115" s="926">
        <f t="shared" si="199"/>
        <v>50000</v>
      </c>
      <c r="BV115" s="954">
        <f t="shared" si="166"/>
        <v>332915.04348763952</v>
      </c>
      <c r="BW115" s="869">
        <f t="shared" si="155"/>
        <v>7</v>
      </c>
      <c r="BX115" s="954">
        <f t="shared" si="167"/>
        <v>13488963.391676366</v>
      </c>
      <c r="BZ115" s="959">
        <v>46082</v>
      </c>
      <c r="CA115" s="960">
        <f t="shared" si="156"/>
        <v>7</v>
      </c>
      <c r="CB115" s="960">
        <f t="shared" si="151"/>
        <v>8</v>
      </c>
      <c r="GI115" s="912"/>
    </row>
    <row r="116" spans="1:191" x14ac:dyDescent="0.2">
      <c r="A116" s="952">
        <f t="shared" si="157"/>
        <v>103</v>
      </c>
      <c r="B116" s="952">
        <f t="shared" si="157"/>
        <v>5</v>
      </c>
      <c r="C116" s="952" t="s">
        <v>558</v>
      </c>
      <c r="D116" s="952"/>
      <c r="E116" s="952" t="s">
        <v>208</v>
      </c>
      <c r="F116" s="869" t="s">
        <v>222</v>
      </c>
      <c r="G116" s="869" t="s">
        <v>119</v>
      </c>
      <c r="H116" s="869" t="s">
        <v>227</v>
      </c>
      <c r="I116" s="869" t="s">
        <v>109</v>
      </c>
      <c r="J116" s="926">
        <v>80.900000000000006</v>
      </c>
      <c r="K116" s="962">
        <v>15.65</v>
      </c>
      <c r="L116" s="962">
        <v>0</v>
      </c>
      <c r="M116" s="926">
        <f t="shared" si="70"/>
        <v>96.550000000000011</v>
      </c>
      <c r="N116" s="926"/>
      <c r="O116" s="926"/>
      <c r="P116" s="965"/>
      <c r="Q116" s="926">
        <f t="shared" si="168"/>
        <v>10678800</v>
      </c>
      <c r="R116" s="926">
        <f t="shared" si="169"/>
        <v>1032900</v>
      </c>
      <c r="S116" s="926">
        <f t="shared" si="153"/>
        <v>11711700</v>
      </c>
      <c r="T116" s="926"/>
      <c r="U116" s="869">
        <v>8</v>
      </c>
      <c r="V116" s="926">
        <f t="shared" si="170"/>
        <v>386200.00000000006</v>
      </c>
      <c r="W116" s="926"/>
      <c r="X116" s="954">
        <f t="shared" si="171"/>
        <v>58558.5</v>
      </c>
      <c r="Y116" s="926">
        <f>M116*$Y$5</f>
        <v>193100.00000000003</v>
      </c>
      <c r="Z116" s="926">
        <f t="shared" si="196"/>
        <v>96550.000000000015</v>
      </c>
      <c r="AA116" s="961" t="str">
        <f t="shared" si="197"/>
        <v>CORNER</v>
      </c>
      <c r="AB116" s="961" t="s">
        <v>573</v>
      </c>
      <c r="AC116" s="926">
        <f t="shared" si="114"/>
        <v>734408.50000000012</v>
      </c>
      <c r="AD116" s="926"/>
      <c r="AE116" s="956">
        <f t="shared" si="154"/>
        <v>12446108.5</v>
      </c>
      <c r="AF116" s="956">
        <f t="shared" si="160"/>
        <v>383340.14180000004</v>
      </c>
      <c r="AG116" s="957">
        <f t="shared" si="165"/>
        <v>12829448.641799999</v>
      </c>
      <c r="AH116" s="919">
        <f t="shared" si="161"/>
        <v>291228.48416886001</v>
      </c>
      <c r="AI116" s="957">
        <f t="shared" si="158"/>
        <v>13120677.125968859</v>
      </c>
      <c r="AJ116" s="919">
        <f t="shared" si="159"/>
        <v>328016.92814922146</v>
      </c>
      <c r="AK116" s="920">
        <f t="shared" si="162"/>
        <v>13448694.05411808</v>
      </c>
      <c r="AL116" s="919">
        <f t="shared" si="123"/>
        <v>336217.35135295201</v>
      </c>
      <c r="AM116" s="920">
        <f t="shared" si="144"/>
        <v>13784911.405471032</v>
      </c>
      <c r="AN116" s="919">
        <f t="shared" si="124"/>
        <v>344622.78513677581</v>
      </c>
      <c r="AO116" s="920">
        <f t="shared" si="145"/>
        <v>14129534.190607809</v>
      </c>
      <c r="AP116" s="919">
        <f t="shared" si="176"/>
        <v>353238.35476519522</v>
      </c>
      <c r="AQ116" s="920">
        <f t="shared" si="177"/>
        <v>14482772.545373004</v>
      </c>
      <c r="AR116" s="919">
        <f t="shared" si="178"/>
        <v>434483.1763611901</v>
      </c>
      <c r="AS116" s="920">
        <f t="shared" si="179"/>
        <v>14917255.721734194</v>
      </c>
      <c r="AT116" s="920">
        <f t="shared" si="146"/>
        <v>447517.67165202583</v>
      </c>
      <c r="AU116" s="919">
        <f t="shared" si="180"/>
        <v>596690.22886936774</v>
      </c>
      <c r="AV116" s="919"/>
      <c r="AW116" s="920">
        <f t="shared" si="181"/>
        <v>15513945.950603561</v>
      </c>
      <c r="AX116" s="920">
        <f t="shared" si="147"/>
        <v>465418.37851810682</v>
      </c>
      <c r="AY116" s="919">
        <f t="shared" si="182"/>
        <v>620557.83802414243</v>
      </c>
      <c r="AZ116" s="919"/>
      <c r="BA116" s="920">
        <f t="shared" si="183"/>
        <v>16134503.788627705</v>
      </c>
      <c r="BB116" s="920">
        <f t="shared" si="148"/>
        <v>484035.11365883111</v>
      </c>
      <c r="BC116" s="919">
        <f t="shared" si="184"/>
        <v>645380.15154510818</v>
      </c>
      <c r="BD116" s="919"/>
      <c r="BE116" s="975">
        <f t="shared" si="185"/>
        <v>16779883.940172814</v>
      </c>
      <c r="BF116" s="975">
        <f t="shared" si="149"/>
        <v>503396.51820518437</v>
      </c>
      <c r="BG116" s="919">
        <f t="shared" si="186"/>
        <v>671195.35760691261</v>
      </c>
      <c r="BH116" s="975"/>
      <c r="BI116" s="975">
        <f t="shared" si="187"/>
        <v>17451079.297779728</v>
      </c>
      <c r="BJ116" s="975">
        <f t="shared" si="150"/>
        <v>523532.37893339182</v>
      </c>
      <c r="BK116" s="919">
        <f t="shared" si="188"/>
        <v>698043.1719111891</v>
      </c>
      <c r="BL116" s="975"/>
      <c r="BM116" s="975">
        <f t="shared" si="189"/>
        <v>18149122.469690915</v>
      </c>
      <c r="BN116" s="926">
        <f t="shared" si="190"/>
        <v>1361184.1852268185</v>
      </c>
      <c r="BO116" s="926">
        <f t="shared" si="191"/>
        <v>453728.06174227293</v>
      </c>
      <c r="BP116" s="926">
        <f t="shared" si="192"/>
        <v>2177894.6963629099</v>
      </c>
      <c r="BQ116" s="926">
        <f t="shared" si="193"/>
        <v>22141929.413022913</v>
      </c>
      <c r="BR116" s="926">
        <f t="shared" si="194"/>
        <v>229331.22126383128</v>
      </c>
      <c r="BS116" s="963">
        <v>0.15</v>
      </c>
      <c r="BT116" s="954">
        <f t="shared" si="198"/>
        <v>3321289.4119534367</v>
      </c>
      <c r="BU116" s="926">
        <f t="shared" si="199"/>
        <v>50000</v>
      </c>
      <c r="BV116" s="954">
        <f t="shared" si="166"/>
        <v>467327.05885049095</v>
      </c>
      <c r="BW116" s="869">
        <f t="shared" si="155"/>
        <v>7</v>
      </c>
      <c r="BX116" s="954">
        <f t="shared" si="167"/>
        <v>18820640.001069475</v>
      </c>
      <c r="BZ116" s="959">
        <v>46082</v>
      </c>
      <c r="CA116" s="960">
        <f t="shared" si="156"/>
        <v>7</v>
      </c>
      <c r="CB116" s="960">
        <f t="shared" si="151"/>
        <v>8</v>
      </c>
      <c r="GI116" s="912"/>
    </row>
    <row r="117" spans="1:191" x14ac:dyDescent="0.2">
      <c r="A117" s="952">
        <f t="shared" si="157"/>
        <v>104</v>
      </c>
      <c r="B117" s="952">
        <f t="shared" si="157"/>
        <v>6</v>
      </c>
      <c r="C117" s="952" t="s">
        <v>558</v>
      </c>
      <c r="D117" s="952"/>
      <c r="E117" s="952" t="s">
        <v>208</v>
      </c>
      <c r="F117" s="869" t="s">
        <v>222</v>
      </c>
      <c r="G117" s="869" t="s">
        <v>121</v>
      </c>
      <c r="H117" s="869" t="s">
        <v>228</v>
      </c>
      <c r="I117" s="869" t="s">
        <v>109</v>
      </c>
      <c r="J117" s="926">
        <v>61.56</v>
      </c>
      <c r="K117" s="962">
        <v>4.0999999999999996</v>
      </c>
      <c r="L117" s="962">
        <v>0</v>
      </c>
      <c r="M117" s="926">
        <f t="shared" ref="M117:M150" si="200">J117+K117</f>
        <v>65.66</v>
      </c>
      <c r="N117" s="926"/>
      <c r="O117" s="926"/>
      <c r="P117" s="965"/>
      <c r="Q117" s="926">
        <f t="shared" si="168"/>
        <v>8125920</v>
      </c>
      <c r="R117" s="926">
        <f t="shared" si="169"/>
        <v>270600</v>
      </c>
      <c r="S117" s="926">
        <f t="shared" si="153"/>
        <v>8396520</v>
      </c>
      <c r="T117" s="926"/>
      <c r="U117" s="869">
        <v>8</v>
      </c>
      <c r="V117" s="926">
        <f t="shared" si="170"/>
        <v>262640</v>
      </c>
      <c r="W117" s="926"/>
      <c r="X117" s="954">
        <f t="shared" si="171"/>
        <v>41982.6</v>
      </c>
      <c r="Y117" s="961"/>
      <c r="Z117" s="926"/>
      <c r="AA117" s="961" t="str">
        <f t="shared" si="197"/>
        <v>INNER</v>
      </c>
      <c r="AB117" s="961"/>
      <c r="AC117" s="926">
        <f t="shared" si="114"/>
        <v>304622.59999999998</v>
      </c>
      <c r="AD117" s="926"/>
      <c r="AE117" s="956">
        <f t="shared" si="154"/>
        <v>8701142.5999999996</v>
      </c>
      <c r="AF117" s="956">
        <f t="shared" si="160"/>
        <v>267995.19208000001</v>
      </c>
      <c r="AG117" s="957">
        <f t="shared" si="165"/>
        <v>8969137.79208</v>
      </c>
      <c r="AH117" s="919">
        <f t="shared" si="161"/>
        <v>203599.42788021601</v>
      </c>
      <c r="AI117" s="957">
        <f t="shared" si="158"/>
        <v>9172737.2199602164</v>
      </c>
      <c r="AJ117" s="919">
        <f t="shared" si="159"/>
        <v>229318.43049900542</v>
      </c>
      <c r="AK117" s="920">
        <f t="shared" si="162"/>
        <v>9402055.6504592225</v>
      </c>
      <c r="AL117" s="919">
        <f t="shared" si="123"/>
        <v>235051.39126148057</v>
      </c>
      <c r="AM117" s="920">
        <f t="shared" si="144"/>
        <v>9637107.0417207032</v>
      </c>
      <c r="AN117" s="919">
        <f t="shared" si="124"/>
        <v>240927.67604301759</v>
      </c>
      <c r="AO117" s="920">
        <f t="shared" si="145"/>
        <v>9878034.7177637201</v>
      </c>
      <c r="AP117" s="919">
        <f t="shared" si="176"/>
        <v>246950.86794409301</v>
      </c>
      <c r="AQ117" s="920">
        <f t="shared" si="177"/>
        <v>10124985.585707814</v>
      </c>
      <c r="AR117" s="919">
        <f t="shared" si="178"/>
        <v>303749.56757123437</v>
      </c>
      <c r="AS117" s="920">
        <f t="shared" si="179"/>
        <v>10428735.153279047</v>
      </c>
      <c r="AT117" s="920">
        <f t="shared" si="146"/>
        <v>312862.05459837144</v>
      </c>
      <c r="AU117" s="919">
        <f t="shared" si="180"/>
        <v>417149.4061311619</v>
      </c>
      <c r="AV117" s="919"/>
      <c r="AW117" s="920">
        <f t="shared" si="181"/>
        <v>10845884.559410209</v>
      </c>
      <c r="AX117" s="920">
        <f t="shared" si="147"/>
        <v>325376.53678230627</v>
      </c>
      <c r="AY117" s="919">
        <f t="shared" si="182"/>
        <v>433835.38237640838</v>
      </c>
      <c r="AZ117" s="919"/>
      <c r="BA117" s="920">
        <f t="shared" si="183"/>
        <v>11279719.941786617</v>
      </c>
      <c r="BB117" s="920">
        <f t="shared" si="148"/>
        <v>338391.59825359849</v>
      </c>
      <c r="BC117" s="919">
        <f t="shared" si="184"/>
        <v>451188.79767146468</v>
      </c>
      <c r="BD117" s="919"/>
      <c r="BE117" s="975">
        <f t="shared" si="185"/>
        <v>11730908.739458082</v>
      </c>
      <c r="BF117" s="975">
        <f t="shared" si="149"/>
        <v>351927.26218374248</v>
      </c>
      <c r="BG117" s="919">
        <f t="shared" si="186"/>
        <v>469236.34957832331</v>
      </c>
      <c r="BH117" s="975"/>
      <c r="BI117" s="975">
        <f t="shared" si="187"/>
        <v>12200145.089036405</v>
      </c>
      <c r="BJ117" s="975">
        <f t="shared" si="150"/>
        <v>366004.35267109214</v>
      </c>
      <c r="BK117" s="919">
        <f t="shared" si="188"/>
        <v>488005.80356145621</v>
      </c>
      <c r="BL117" s="975"/>
      <c r="BM117" s="975">
        <f t="shared" si="189"/>
        <v>12688150.892597862</v>
      </c>
      <c r="BN117" s="926">
        <f t="shared" si="190"/>
        <v>951611.31694483955</v>
      </c>
      <c r="BO117" s="926">
        <f t="shared" si="191"/>
        <v>317203.77231494657</v>
      </c>
      <c r="BP117" s="926">
        <f t="shared" si="192"/>
        <v>1522578.1071117434</v>
      </c>
      <c r="BQ117" s="926">
        <f t="shared" si="193"/>
        <v>15479544.088969391</v>
      </c>
      <c r="BR117" s="926">
        <f t="shared" si="194"/>
        <v>235753.03211954603</v>
      </c>
      <c r="BS117" s="963">
        <v>0.15</v>
      </c>
      <c r="BT117" s="954">
        <f t="shared" si="198"/>
        <v>2321931.6133454083</v>
      </c>
      <c r="BU117" s="926">
        <f t="shared" si="199"/>
        <v>50000</v>
      </c>
      <c r="BV117" s="954">
        <f t="shared" si="166"/>
        <v>324561.65904934407</v>
      </c>
      <c r="BW117" s="869">
        <f t="shared" si="155"/>
        <v>7</v>
      </c>
      <c r="BX117" s="954">
        <f t="shared" si="167"/>
        <v>13157612.475623982</v>
      </c>
      <c r="BZ117" s="959">
        <v>46082</v>
      </c>
      <c r="CA117" s="960">
        <f t="shared" si="156"/>
        <v>7</v>
      </c>
      <c r="CB117" s="960">
        <f t="shared" si="151"/>
        <v>8</v>
      </c>
      <c r="GI117" s="912"/>
    </row>
    <row r="118" spans="1:191" x14ac:dyDescent="0.2">
      <c r="A118" s="952">
        <f t="shared" si="157"/>
        <v>105</v>
      </c>
      <c r="B118" s="952">
        <f t="shared" si="157"/>
        <v>7</v>
      </c>
      <c r="C118" s="952" t="s">
        <v>558</v>
      </c>
      <c r="D118" s="952"/>
      <c r="E118" s="952" t="s">
        <v>208</v>
      </c>
      <c r="F118" s="869" t="s">
        <v>222</v>
      </c>
      <c r="G118" s="869" t="s">
        <v>123</v>
      </c>
      <c r="H118" s="869" t="s">
        <v>229</v>
      </c>
      <c r="I118" s="869" t="s">
        <v>109</v>
      </c>
      <c r="J118" s="926">
        <v>95.44</v>
      </c>
      <c r="K118" s="962">
        <v>13.34</v>
      </c>
      <c r="L118" s="962">
        <v>0</v>
      </c>
      <c r="M118" s="926">
        <f t="shared" si="200"/>
        <v>108.78</v>
      </c>
      <c r="N118" s="926"/>
      <c r="O118" s="926"/>
      <c r="P118" s="965"/>
      <c r="Q118" s="926">
        <f t="shared" si="168"/>
        <v>12598080</v>
      </c>
      <c r="R118" s="926">
        <f t="shared" si="169"/>
        <v>880440</v>
      </c>
      <c r="S118" s="926">
        <f t="shared" si="153"/>
        <v>13478520</v>
      </c>
      <c r="T118" s="926"/>
      <c r="U118" s="869">
        <v>8</v>
      </c>
      <c r="V118" s="926">
        <f t="shared" si="170"/>
        <v>435120</v>
      </c>
      <c r="W118" s="926"/>
      <c r="X118" s="954">
        <f t="shared" si="171"/>
        <v>67392.600000000006</v>
      </c>
      <c r="Y118" s="926">
        <f>M118*$Y$5</f>
        <v>217560</v>
      </c>
      <c r="Z118" s="926"/>
      <c r="AA118" s="961" t="str">
        <f t="shared" si="197"/>
        <v>CORNER</v>
      </c>
      <c r="AB118" s="961"/>
      <c r="AC118" s="926">
        <f t="shared" si="114"/>
        <v>720072.6</v>
      </c>
      <c r="AD118" s="926"/>
      <c r="AE118" s="956">
        <f t="shared" si="154"/>
        <v>14198592.6</v>
      </c>
      <c r="AF118" s="956">
        <f t="shared" si="160"/>
        <v>437316.65208000003</v>
      </c>
      <c r="AG118" s="957">
        <f t="shared" si="165"/>
        <v>14635909.252079999</v>
      </c>
      <c r="AH118" s="919">
        <f t="shared" si="161"/>
        <v>332235.14002221602</v>
      </c>
      <c r="AI118" s="957">
        <f t="shared" si="158"/>
        <v>14968144.392102215</v>
      </c>
      <c r="AJ118" s="919">
        <f t="shared" si="159"/>
        <v>374203.60980255541</v>
      </c>
      <c r="AK118" s="920">
        <f t="shared" si="162"/>
        <v>15342348.001904771</v>
      </c>
      <c r="AL118" s="919">
        <f t="shared" si="123"/>
        <v>383558.70004761929</v>
      </c>
      <c r="AM118" s="920">
        <f t="shared" si="144"/>
        <v>15725906.70195239</v>
      </c>
      <c r="AN118" s="919">
        <f t="shared" si="124"/>
        <v>393147.66754880978</v>
      </c>
      <c r="AO118" s="920">
        <f t="shared" si="145"/>
        <v>16119054.3695012</v>
      </c>
      <c r="AP118" s="919">
        <f t="shared" si="176"/>
        <v>402976.35923753004</v>
      </c>
      <c r="AQ118" s="920">
        <f t="shared" si="177"/>
        <v>16522030.728738729</v>
      </c>
      <c r="AR118" s="919">
        <f t="shared" si="178"/>
        <v>495660.92186216183</v>
      </c>
      <c r="AS118" s="920">
        <f t="shared" si="179"/>
        <v>17017691.650600892</v>
      </c>
      <c r="AT118" s="920">
        <f t="shared" si="146"/>
        <v>510530.74951802671</v>
      </c>
      <c r="AU118" s="919">
        <f t="shared" si="180"/>
        <v>680707.66602403566</v>
      </c>
      <c r="AV118" s="919"/>
      <c r="AW118" s="920">
        <f t="shared" si="181"/>
        <v>17698399.316624928</v>
      </c>
      <c r="AX118" s="920">
        <f t="shared" si="147"/>
        <v>530951.97949874785</v>
      </c>
      <c r="AY118" s="919">
        <f t="shared" si="182"/>
        <v>707935.9726649971</v>
      </c>
      <c r="AZ118" s="919"/>
      <c r="BA118" s="920">
        <f t="shared" si="183"/>
        <v>18406335.289289925</v>
      </c>
      <c r="BB118" s="920">
        <f t="shared" si="148"/>
        <v>552190.05867869779</v>
      </c>
      <c r="BC118" s="919">
        <f t="shared" si="184"/>
        <v>736253.41157159698</v>
      </c>
      <c r="BD118" s="919"/>
      <c r="BE118" s="975">
        <f t="shared" si="185"/>
        <v>19142588.700861521</v>
      </c>
      <c r="BF118" s="975">
        <f t="shared" si="149"/>
        <v>574277.66102584556</v>
      </c>
      <c r="BG118" s="919">
        <f t="shared" si="186"/>
        <v>765703.54803446087</v>
      </c>
      <c r="BH118" s="975"/>
      <c r="BI118" s="975">
        <f t="shared" si="187"/>
        <v>19908292.24889598</v>
      </c>
      <c r="BJ118" s="975">
        <f t="shared" si="150"/>
        <v>597248.76746687933</v>
      </c>
      <c r="BK118" s="919">
        <f t="shared" si="188"/>
        <v>796331.68995583919</v>
      </c>
      <c r="BL118" s="975"/>
      <c r="BM118" s="975">
        <f t="shared" si="189"/>
        <v>20704623.938851818</v>
      </c>
      <c r="BN118" s="926">
        <f t="shared" si="190"/>
        <v>1552846.7954138864</v>
      </c>
      <c r="BO118" s="926">
        <f t="shared" si="191"/>
        <v>517615.5984712955</v>
      </c>
      <c r="BP118" s="926">
        <f t="shared" si="192"/>
        <v>2484554.8726622183</v>
      </c>
      <c r="BQ118" s="926">
        <f t="shared" si="193"/>
        <v>25259641.205399215</v>
      </c>
      <c r="BR118" s="926">
        <f t="shared" si="194"/>
        <v>232208.50528956807</v>
      </c>
      <c r="BS118" s="963">
        <v>0.15</v>
      </c>
      <c r="BT118" s="954">
        <f t="shared" si="198"/>
        <v>3788946.180809882</v>
      </c>
      <c r="BU118" s="926">
        <f t="shared" si="199"/>
        <v>50000</v>
      </c>
      <c r="BV118" s="954">
        <f t="shared" si="166"/>
        <v>534135.16868712602</v>
      </c>
      <c r="BW118" s="869">
        <f t="shared" si="155"/>
        <v>7</v>
      </c>
      <c r="BX118" s="954">
        <f t="shared" si="167"/>
        <v>21470695.024589334</v>
      </c>
      <c r="BZ118" s="959">
        <v>46082</v>
      </c>
      <c r="CA118" s="960">
        <f t="shared" si="156"/>
        <v>7</v>
      </c>
      <c r="CB118" s="960">
        <f t="shared" si="151"/>
        <v>8</v>
      </c>
      <c r="GI118" s="912"/>
    </row>
    <row r="119" spans="1:191" x14ac:dyDescent="0.2">
      <c r="A119" s="952">
        <f t="shared" si="157"/>
        <v>106</v>
      </c>
      <c r="B119" s="952">
        <f t="shared" si="157"/>
        <v>8</v>
      </c>
      <c r="C119" s="952" t="s">
        <v>558</v>
      </c>
      <c r="D119" s="952"/>
      <c r="E119" s="952" t="s">
        <v>208</v>
      </c>
      <c r="F119" s="869" t="s">
        <v>222</v>
      </c>
      <c r="G119" s="869" t="s">
        <v>125</v>
      </c>
      <c r="H119" s="869" t="s">
        <v>230</v>
      </c>
      <c r="I119" s="869" t="s">
        <v>109</v>
      </c>
      <c r="J119" s="926">
        <v>69.2</v>
      </c>
      <c r="K119" s="962">
        <v>4.7699999999999996</v>
      </c>
      <c r="L119" s="962">
        <v>0</v>
      </c>
      <c r="M119" s="926">
        <f t="shared" si="200"/>
        <v>73.97</v>
      </c>
      <c r="N119" s="926"/>
      <c r="O119" s="926"/>
      <c r="P119" s="965"/>
      <c r="Q119" s="926">
        <f t="shared" si="168"/>
        <v>9134400</v>
      </c>
      <c r="R119" s="926">
        <f t="shared" si="169"/>
        <v>314820</v>
      </c>
      <c r="S119" s="926">
        <f t="shared" si="153"/>
        <v>9449220</v>
      </c>
      <c r="T119" s="926"/>
      <c r="U119" s="869">
        <v>8</v>
      </c>
      <c r="V119" s="926">
        <f t="shared" si="170"/>
        <v>295880</v>
      </c>
      <c r="W119" s="926"/>
      <c r="X119" s="954">
        <f t="shared" si="171"/>
        <v>47246.1</v>
      </c>
      <c r="Y119" s="961"/>
      <c r="Z119" s="926"/>
      <c r="AA119" s="961" t="str">
        <f t="shared" si="197"/>
        <v>INNER</v>
      </c>
      <c r="AB119" s="961"/>
      <c r="AC119" s="926">
        <f t="shared" si="114"/>
        <v>343126.1</v>
      </c>
      <c r="AD119" s="926"/>
      <c r="AE119" s="956">
        <f t="shared" si="154"/>
        <v>9792346.0999999996</v>
      </c>
      <c r="AF119" s="956">
        <f t="shared" si="160"/>
        <v>301604.25988000003</v>
      </c>
      <c r="AG119" s="957">
        <f t="shared" si="165"/>
        <v>10093950.35988</v>
      </c>
      <c r="AH119" s="919">
        <f t="shared" si="161"/>
        <v>229132.67316927604</v>
      </c>
      <c r="AI119" s="957">
        <f t="shared" si="158"/>
        <v>10323083.033049276</v>
      </c>
      <c r="AJ119" s="919">
        <f t="shared" si="159"/>
        <v>258077.07582623191</v>
      </c>
      <c r="AK119" s="920">
        <f t="shared" si="162"/>
        <v>10581160.108875507</v>
      </c>
      <c r="AL119" s="919">
        <f t="shared" si="123"/>
        <v>264529.00272188772</v>
      </c>
      <c r="AM119" s="920">
        <f t="shared" si="144"/>
        <v>10845689.111597395</v>
      </c>
      <c r="AN119" s="919">
        <f t="shared" si="124"/>
        <v>271142.2277899349</v>
      </c>
      <c r="AO119" s="920">
        <f t="shared" si="145"/>
        <v>11116831.339387329</v>
      </c>
      <c r="AP119" s="919">
        <f t="shared" si="176"/>
        <v>277920.78348468326</v>
      </c>
      <c r="AQ119" s="920">
        <f t="shared" si="177"/>
        <v>11394752.122872012</v>
      </c>
      <c r="AR119" s="919">
        <f t="shared" si="178"/>
        <v>341842.56368616031</v>
      </c>
      <c r="AS119" s="920">
        <f t="shared" si="179"/>
        <v>11736594.686558172</v>
      </c>
      <c r="AT119" s="920">
        <f t="shared" si="146"/>
        <v>352097.84059674514</v>
      </c>
      <c r="AU119" s="919">
        <f t="shared" si="180"/>
        <v>469463.78746232687</v>
      </c>
      <c r="AV119" s="919"/>
      <c r="AW119" s="920">
        <f t="shared" si="181"/>
        <v>12206058.4740205</v>
      </c>
      <c r="AX119" s="920">
        <f t="shared" si="147"/>
        <v>366181.75422061497</v>
      </c>
      <c r="AY119" s="919">
        <f t="shared" si="182"/>
        <v>488242.33896081999</v>
      </c>
      <c r="AZ119" s="919">
        <f>AY119-AX119</f>
        <v>122060.58474020503</v>
      </c>
      <c r="BA119" s="920">
        <f t="shared" si="183"/>
        <v>12694300.812981321</v>
      </c>
      <c r="BB119" s="920">
        <f t="shared" si="148"/>
        <v>380829.02438943961</v>
      </c>
      <c r="BC119" s="919">
        <f t="shared" si="184"/>
        <v>507772.03251925285</v>
      </c>
      <c r="BD119" s="919"/>
      <c r="BE119" s="975">
        <f t="shared" si="185"/>
        <v>13202072.845500574</v>
      </c>
      <c r="BF119" s="975">
        <f t="shared" si="149"/>
        <v>396062.18536501721</v>
      </c>
      <c r="BG119" s="919">
        <f t="shared" si="186"/>
        <v>528082.91382002295</v>
      </c>
      <c r="BH119" s="975"/>
      <c r="BI119" s="975">
        <f t="shared" si="187"/>
        <v>13730155.759320596</v>
      </c>
      <c r="BJ119" s="975">
        <f t="shared" si="150"/>
        <v>411904.67277961789</v>
      </c>
      <c r="BK119" s="919">
        <f t="shared" si="188"/>
        <v>549206.23037282389</v>
      </c>
      <c r="BL119" s="975"/>
      <c r="BM119" s="975">
        <f t="shared" si="189"/>
        <v>14279361.98969342</v>
      </c>
      <c r="BN119" s="926">
        <f t="shared" si="190"/>
        <v>1070952.1492270064</v>
      </c>
      <c r="BO119" s="926">
        <f t="shared" si="191"/>
        <v>356984.04974233551</v>
      </c>
      <c r="BP119" s="926">
        <f t="shared" si="192"/>
        <v>1713523.4387632103</v>
      </c>
      <c r="BQ119" s="926">
        <f t="shared" si="193"/>
        <v>17420821.627425972</v>
      </c>
      <c r="BR119" s="926">
        <f t="shared" si="194"/>
        <v>235511.98631101762</v>
      </c>
      <c r="BS119" s="963">
        <v>0.15</v>
      </c>
      <c r="BT119" s="954">
        <f t="shared" si="198"/>
        <v>2613123.2441138956</v>
      </c>
      <c r="BU119" s="926">
        <f t="shared" si="199"/>
        <v>50000</v>
      </c>
      <c r="BV119" s="954">
        <f t="shared" si="166"/>
        <v>366160.4634448422</v>
      </c>
      <c r="BW119" s="869">
        <f t="shared" si="155"/>
        <v>7</v>
      </c>
      <c r="BX119" s="954">
        <f t="shared" si="167"/>
        <v>14807698.383312076</v>
      </c>
      <c r="BZ119" s="959">
        <v>46082</v>
      </c>
      <c r="CA119" s="960">
        <f t="shared" si="156"/>
        <v>7</v>
      </c>
      <c r="CB119" s="960">
        <f t="shared" si="151"/>
        <v>8</v>
      </c>
      <c r="GI119" s="912"/>
    </row>
    <row r="120" spans="1:191" x14ac:dyDescent="0.2">
      <c r="A120" s="952">
        <f t="shared" si="157"/>
        <v>107</v>
      </c>
      <c r="B120" s="952">
        <f t="shared" si="157"/>
        <v>9</v>
      </c>
      <c r="C120" s="952" t="s">
        <v>558</v>
      </c>
      <c r="D120" s="952"/>
      <c r="E120" s="952" t="s">
        <v>208</v>
      </c>
      <c r="F120" s="869" t="s">
        <v>222</v>
      </c>
      <c r="G120" s="869" t="s">
        <v>127</v>
      </c>
      <c r="H120" s="869" t="s">
        <v>231</v>
      </c>
      <c r="I120" s="869" t="s">
        <v>109</v>
      </c>
      <c r="J120" s="926">
        <v>69.36</v>
      </c>
      <c r="K120" s="962">
        <v>4.79</v>
      </c>
      <c r="L120" s="962">
        <v>0</v>
      </c>
      <c r="M120" s="926">
        <f t="shared" si="200"/>
        <v>74.150000000000006</v>
      </c>
      <c r="N120" s="926"/>
      <c r="O120" s="926"/>
      <c r="P120" s="965"/>
      <c r="Q120" s="926">
        <f t="shared" si="168"/>
        <v>9155520</v>
      </c>
      <c r="R120" s="926">
        <f t="shared" si="169"/>
        <v>316140</v>
      </c>
      <c r="S120" s="926">
        <f t="shared" si="153"/>
        <v>9471660</v>
      </c>
      <c r="T120" s="926"/>
      <c r="U120" s="869">
        <v>8</v>
      </c>
      <c r="V120" s="926">
        <f t="shared" si="170"/>
        <v>296600</v>
      </c>
      <c r="W120" s="926"/>
      <c r="X120" s="954">
        <f t="shared" si="171"/>
        <v>47358.3</v>
      </c>
      <c r="Y120" s="961"/>
      <c r="Z120" s="926"/>
      <c r="AA120" s="961" t="str">
        <f t="shared" si="197"/>
        <v>INNER</v>
      </c>
      <c r="AB120" s="961"/>
      <c r="AC120" s="926">
        <f t="shared" si="114"/>
        <v>343958.3</v>
      </c>
      <c r="AD120" s="926"/>
      <c r="AE120" s="956">
        <f t="shared" si="154"/>
        <v>9815618.3000000007</v>
      </c>
      <c r="AF120" s="956">
        <f t="shared" si="160"/>
        <v>302321.04364000005</v>
      </c>
      <c r="AG120" s="957">
        <f t="shared" si="165"/>
        <v>10117939.343640001</v>
      </c>
      <c r="AH120" s="919">
        <f t="shared" si="161"/>
        <v>229677.22310062803</v>
      </c>
      <c r="AI120" s="957">
        <f t="shared" si="158"/>
        <v>10347616.56674063</v>
      </c>
      <c r="AJ120" s="919">
        <f t="shared" si="159"/>
        <v>258690.41416851577</v>
      </c>
      <c r="AK120" s="920">
        <f t="shared" si="162"/>
        <v>10606306.980909146</v>
      </c>
      <c r="AL120" s="919">
        <f t="shared" si="123"/>
        <v>265157.67452272866</v>
      </c>
      <c r="AM120" s="920">
        <f t="shared" si="144"/>
        <v>10871464.655431874</v>
      </c>
      <c r="AN120" s="919">
        <f t="shared" si="124"/>
        <v>271786.61638579686</v>
      </c>
      <c r="AO120" s="920">
        <f t="shared" si="145"/>
        <v>11143251.271817671</v>
      </c>
      <c r="AP120" s="919">
        <f t="shared" si="176"/>
        <v>278581.28179544181</v>
      </c>
      <c r="AQ120" s="920">
        <f t="shared" si="177"/>
        <v>11421832.553613113</v>
      </c>
      <c r="AR120" s="919">
        <f t="shared" si="178"/>
        <v>342654.97660839336</v>
      </c>
      <c r="AS120" s="920">
        <f t="shared" si="179"/>
        <v>11764487.530221507</v>
      </c>
      <c r="AT120" s="920">
        <f t="shared" si="146"/>
        <v>352934.6259066452</v>
      </c>
      <c r="AU120" s="919">
        <f t="shared" si="180"/>
        <v>470579.50120886031</v>
      </c>
      <c r="AV120" s="919"/>
      <c r="AW120" s="920">
        <f t="shared" si="181"/>
        <v>12235067.031430367</v>
      </c>
      <c r="AX120" s="920">
        <f t="shared" si="147"/>
        <v>367052.01094291103</v>
      </c>
      <c r="AY120" s="919">
        <f t="shared" si="182"/>
        <v>489402.68125721469</v>
      </c>
      <c r="AZ120" s="919">
        <f>AY120-AX120</f>
        <v>122350.67031430366</v>
      </c>
      <c r="BA120" s="920">
        <f t="shared" si="183"/>
        <v>12724469.712687582</v>
      </c>
      <c r="BB120" s="920">
        <f t="shared" si="148"/>
        <v>381734.09138062742</v>
      </c>
      <c r="BC120" s="919">
        <f t="shared" si="184"/>
        <v>508978.78850750328</v>
      </c>
      <c r="BD120" s="919"/>
      <c r="BE120" s="975">
        <f t="shared" si="185"/>
        <v>13233448.501195084</v>
      </c>
      <c r="BF120" s="975">
        <f t="shared" si="149"/>
        <v>397003.4550358525</v>
      </c>
      <c r="BG120" s="919">
        <f t="shared" si="186"/>
        <v>529337.94004780333</v>
      </c>
      <c r="BH120" s="975"/>
      <c r="BI120" s="975">
        <f t="shared" si="187"/>
        <v>13762786.441242889</v>
      </c>
      <c r="BJ120" s="975">
        <f t="shared" si="150"/>
        <v>412883.59323728667</v>
      </c>
      <c r="BK120" s="919">
        <f t="shared" si="188"/>
        <v>550511.45764971559</v>
      </c>
      <c r="BL120" s="975"/>
      <c r="BM120" s="975">
        <f t="shared" si="189"/>
        <v>14313297.898892604</v>
      </c>
      <c r="BN120" s="926">
        <f t="shared" si="190"/>
        <v>1073497.3424169451</v>
      </c>
      <c r="BO120" s="926">
        <f t="shared" si="191"/>
        <v>357832.44747231511</v>
      </c>
      <c r="BP120" s="926">
        <f t="shared" si="192"/>
        <v>1717595.7478671123</v>
      </c>
      <c r="BQ120" s="926">
        <f t="shared" si="193"/>
        <v>17462223.436648976</v>
      </c>
      <c r="BR120" s="926">
        <f t="shared" si="194"/>
        <v>235498.63029870499</v>
      </c>
      <c r="BS120" s="963">
        <v>0.15</v>
      </c>
      <c r="BT120" s="954">
        <f t="shared" si="198"/>
        <v>2619333.5154973464</v>
      </c>
      <c r="BU120" s="926">
        <f t="shared" si="199"/>
        <v>50000</v>
      </c>
      <c r="BV120" s="954">
        <f t="shared" si="166"/>
        <v>367047.64507104951</v>
      </c>
      <c r="BW120" s="869">
        <f t="shared" si="155"/>
        <v>7</v>
      </c>
      <c r="BX120" s="954">
        <f t="shared" si="167"/>
        <v>14842889.921151631</v>
      </c>
      <c r="BZ120" s="959">
        <v>46082</v>
      </c>
      <c r="CA120" s="960">
        <f t="shared" si="156"/>
        <v>7</v>
      </c>
      <c r="CB120" s="960">
        <f t="shared" si="151"/>
        <v>8</v>
      </c>
      <c r="GI120" s="912"/>
    </row>
    <row r="121" spans="1:191" x14ac:dyDescent="0.2">
      <c r="A121" s="952">
        <f t="shared" si="157"/>
        <v>108</v>
      </c>
      <c r="B121" s="952">
        <f t="shared" si="157"/>
        <v>10</v>
      </c>
      <c r="C121" s="952" t="s">
        <v>104</v>
      </c>
      <c r="D121" s="952"/>
      <c r="E121" s="952" t="s">
        <v>208</v>
      </c>
      <c r="F121" s="869" t="s">
        <v>222</v>
      </c>
      <c r="G121" s="869" t="s">
        <v>129</v>
      </c>
      <c r="H121" s="869" t="s">
        <v>232</v>
      </c>
      <c r="I121" s="869" t="s">
        <v>113</v>
      </c>
      <c r="J121" s="926">
        <v>69.36</v>
      </c>
      <c r="K121" s="962">
        <v>4.79</v>
      </c>
      <c r="L121" s="962">
        <v>0</v>
      </c>
      <c r="M121" s="926">
        <f t="shared" si="200"/>
        <v>74.150000000000006</v>
      </c>
      <c r="N121" s="926"/>
      <c r="O121" s="926"/>
      <c r="P121" s="965"/>
      <c r="Q121" s="926">
        <f t="shared" si="168"/>
        <v>9155520</v>
      </c>
      <c r="R121" s="926">
        <f t="shared" si="169"/>
        <v>316140</v>
      </c>
      <c r="S121" s="926">
        <f t="shared" si="153"/>
        <v>9471660</v>
      </c>
      <c r="T121" s="926"/>
      <c r="U121" s="869">
        <v>8</v>
      </c>
      <c r="V121" s="926">
        <f t="shared" si="170"/>
        <v>296600</v>
      </c>
      <c r="W121" s="926"/>
      <c r="X121" s="954">
        <f t="shared" si="171"/>
        <v>47358.3</v>
      </c>
      <c r="Y121" s="961"/>
      <c r="Z121" s="926"/>
      <c r="AA121" s="961" t="str">
        <f t="shared" si="197"/>
        <v>INNER</v>
      </c>
      <c r="AB121" s="961"/>
      <c r="AC121" s="926">
        <f t="shared" ref="AC121:AC124" si="201">SUM(V121:Z121)</f>
        <v>343958.3</v>
      </c>
      <c r="AD121" s="926"/>
      <c r="AE121" s="956">
        <f t="shared" si="154"/>
        <v>9815618.3000000007</v>
      </c>
      <c r="AF121" s="956">
        <f t="shared" si="160"/>
        <v>302321.04364000005</v>
      </c>
      <c r="AG121" s="957">
        <f t="shared" si="165"/>
        <v>10117939.343640001</v>
      </c>
      <c r="AH121" s="919">
        <f t="shared" si="161"/>
        <v>229677.22310062803</v>
      </c>
      <c r="AI121" s="957">
        <f t="shared" si="158"/>
        <v>10347616.56674063</v>
      </c>
      <c r="AJ121" s="919">
        <f t="shared" si="159"/>
        <v>258690.41416851577</v>
      </c>
      <c r="AK121" s="920">
        <f t="shared" si="162"/>
        <v>10606306.980909146</v>
      </c>
      <c r="AL121" s="919">
        <f t="shared" si="123"/>
        <v>265157.67452272866</v>
      </c>
      <c r="AM121" s="920">
        <f t="shared" si="144"/>
        <v>10871464.655431874</v>
      </c>
      <c r="AN121" s="919">
        <f t="shared" si="124"/>
        <v>271786.61638579686</v>
      </c>
      <c r="AO121" s="920">
        <f t="shared" si="145"/>
        <v>11143251.271817671</v>
      </c>
      <c r="AP121" s="919">
        <f t="shared" si="176"/>
        <v>278581.28179544181</v>
      </c>
      <c r="AQ121" s="920">
        <f t="shared" si="177"/>
        <v>11421832.553613113</v>
      </c>
      <c r="AR121" s="919">
        <f t="shared" si="178"/>
        <v>342654.97660839336</v>
      </c>
      <c r="AS121" s="920">
        <f t="shared" si="179"/>
        <v>11764487.530221507</v>
      </c>
      <c r="AT121" s="920">
        <f t="shared" si="146"/>
        <v>352934.6259066452</v>
      </c>
      <c r="AU121" s="919">
        <f t="shared" si="180"/>
        <v>470579.50120886031</v>
      </c>
      <c r="AV121" s="919"/>
      <c r="AW121" s="920">
        <f t="shared" si="181"/>
        <v>12235067.031430367</v>
      </c>
      <c r="AX121" s="920">
        <f t="shared" si="147"/>
        <v>367052.01094291103</v>
      </c>
      <c r="AY121" s="919">
        <f t="shared" si="182"/>
        <v>489402.68125721469</v>
      </c>
      <c r="AZ121" s="919">
        <f>AY121-AX121</f>
        <v>122350.67031430366</v>
      </c>
      <c r="BA121" s="920">
        <f t="shared" si="183"/>
        <v>12724469.712687582</v>
      </c>
      <c r="BB121" s="920">
        <f t="shared" si="148"/>
        <v>381734.09138062742</v>
      </c>
      <c r="BC121" s="919">
        <f t="shared" si="184"/>
        <v>508978.78850750328</v>
      </c>
      <c r="BD121" s="919"/>
      <c r="BE121" s="975">
        <f t="shared" si="185"/>
        <v>13233448.501195084</v>
      </c>
      <c r="BF121" s="975">
        <f t="shared" si="149"/>
        <v>397003.4550358525</v>
      </c>
      <c r="BG121" s="919">
        <f t="shared" si="186"/>
        <v>529337.94004780333</v>
      </c>
      <c r="BH121" s="975"/>
      <c r="BI121" s="975">
        <f t="shared" si="187"/>
        <v>13762786.441242889</v>
      </c>
      <c r="BJ121" s="975">
        <f t="shared" si="150"/>
        <v>412883.59323728667</v>
      </c>
      <c r="BK121" s="919">
        <f t="shared" si="188"/>
        <v>550511.45764971559</v>
      </c>
      <c r="BL121" s="975"/>
      <c r="BM121" s="975">
        <f t="shared" si="189"/>
        <v>14313297.898892604</v>
      </c>
      <c r="BN121" s="926">
        <f t="shared" si="190"/>
        <v>1073497.3424169451</v>
      </c>
      <c r="BO121" s="926">
        <f t="shared" si="191"/>
        <v>357832.44747231511</v>
      </c>
      <c r="BP121" s="926">
        <f t="shared" si="192"/>
        <v>1717595.7478671123</v>
      </c>
      <c r="BQ121" s="926">
        <f t="shared" si="193"/>
        <v>17462223.436648976</v>
      </c>
      <c r="BR121" s="926">
        <f t="shared" si="194"/>
        <v>235498.63029870499</v>
      </c>
      <c r="BS121" s="963">
        <v>0.15</v>
      </c>
      <c r="BT121" s="954">
        <f t="shared" si="198"/>
        <v>2619333.5154973464</v>
      </c>
      <c r="BU121" s="926">
        <f t="shared" si="199"/>
        <v>50000</v>
      </c>
      <c r="BV121" s="954">
        <f t="shared" si="166"/>
        <v>367047.64507104951</v>
      </c>
      <c r="BW121" s="869">
        <f t="shared" si="155"/>
        <v>7</v>
      </c>
      <c r="BX121" s="954">
        <f t="shared" si="167"/>
        <v>14842889.921151631</v>
      </c>
      <c r="BZ121" s="959">
        <v>46082</v>
      </c>
      <c r="CA121" s="960">
        <f t="shared" si="156"/>
        <v>7</v>
      </c>
      <c r="CB121" s="960">
        <f t="shared" si="151"/>
        <v>8</v>
      </c>
      <c r="GI121" s="912"/>
    </row>
    <row r="122" spans="1:191" x14ac:dyDescent="0.2">
      <c r="A122" s="952">
        <f t="shared" si="157"/>
        <v>109</v>
      </c>
      <c r="B122" s="952">
        <f t="shared" si="157"/>
        <v>11</v>
      </c>
      <c r="C122" s="952" t="s">
        <v>558</v>
      </c>
      <c r="D122" s="952"/>
      <c r="E122" s="952" t="s">
        <v>208</v>
      </c>
      <c r="F122" s="869" t="s">
        <v>222</v>
      </c>
      <c r="G122" s="869" t="s">
        <v>131</v>
      </c>
      <c r="H122" s="869" t="s">
        <v>233</v>
      </c>
      <c r="I122" s="869" t="s">
        <v>109</v>
      </c>
      <c r="J122" s="926">
        <v>69.36</v>
      </c>
      <c r="K122" s="962">
        <v>4.79</v>
      </c>
      <c r="L122" s="962">
        <v>0</v>
      </c>
      <c r="M122" s="926">
        <f t="shared" si="200"/>
        <v>74.150000000000006</v>
      </c>
      <c r="N122" s="926"/>
      <c r="O122" s="926"/>
      <c r="P122" s="965"/>
      <c r="Q122" s="926">
        <f t="shared" si="168"/>
        <v>9155520</v>
      </c>
      <c r="R122" s="926">
        <f t="shared" si="169"/>
        <v>316140</v>
      </c>
      <c r="S122" s="926">
        <f t="shared" si="153"/>
        <v>9471660</v>
      </c>
      <c r="T122" s="926"/>
      <c r="U122" s="869">
        <v>8</v>
      </c>
      <c r="V122" s="926">
        <f t="shared" si="170"/>
        <v>296600</v>
      </c>
      <c r="W122" s="926"/>
      <c r="X122" s="954">
        <f t="shared" si="171"/>
        <v>47358.3</v>
      </c>
      <c r="Y122" s="961"/>
      <c r="Z122" s="926"/>
      <c r="AA122" s="961" t="str">
        <f t="shared" si="197"/>
        <v>INNER</v>
      </c>
      <c r="AB122" s="961"/>
      <c r="AC122" s="926">
        <f t="shared" si="201"/>
        <v>343958.3</v>
      </c>
      <c r="AD122" s="926"/>
      <c r="AE122" s="956">
        <f t="shared" si="154"/>
        <v>9815618.3000000007</v>
      </c>
      <c r="AF122" s="956">
        <f t="shared" si="160"/>
        <v>302321.04364000005</v>
      </c>
      <c r="AG122" s="957">
        <f t="shared" si="165"/>
        <v>10117939.343640001</v>
      </c>
      <c r="AH122" s="919">
        <f t="shared" si="161"/>
        <v>229677.22310062803</v>
      </c>
      <c r="AI122" s="957">
        <f t="shared" si="158"/>
        <v>10347616.56674063</v>
      </c>
      <c r="AJ122" s="919">
        <f t="shared" si="159"/>
        <v>258690.41416851577</v>
      </c>
      <c r="AK122" s="920">
        <f t="shared" si="162"/>
        <v>10606306.980909146</v>
      </c>
      <c r="AL122" s="919">
        <f t="shared" si="123"/>
        <v>265157.67452272866</v>
      </c>
      <c r="AM122" s="982">
        <f t="shared" si="144"/>
        <v>10871464.655431874</v>
      </c>
      <c r="AN122" s="919">
        <f t="shared" si="124"/>
        <v>271786.61638579686</v>
      </c>
      <c r="AO122" s="920">
        <f t="shared" si="145"/>
        <v>11143251.271817671</v>
      </c>
      <c r="AP122" s="919">
        <f t="shared" si="176"/>
        <v>278581.28179544181</v>
      </c>
      <c r="AQ122" s="920">
        <f t="shared" si="177"/>
        <v>11421832.553613113</v>
      </c>
      <c r="AR122" s="919">
        <f t="shared" si="178"/>
        <v>342654.97660839336</v>
      </c>
      <c r="AS122" s="920">
        <f t="shared" si="179"/>
        <v>11764487.530221507</v>
      </c>
      <c r="AT122" s="920">
        <f t="shared" si="146"/>
        <v>352934.6259066452</v>
      </c>
      <c r="AU122" s="919">
        <f t="shared" si="180"/>
        <v>470579.50120886031</v>
      </c>
      <c r="AV122" s="919"/>
      <c r="AW122" s="920">
        <f t="shared" si="181"/>
        <v>12235067.031430367</v>
      </c>
      <c r="AX122" s="920">
        <f t="shared" si="147"/>
        <v>367052.01094291103</v>
      </c>
      <c r="AY122" s="919">
        <f t="shared" si="182"/>
        <v>489402.68125721469</v>
      </c>
      <c r="AZ122" s="919"/>
      <c r="BA122" s="920">
        <f t="shared" si="183"/>
        <v>12724469.712687582</v>
      </c>
      <c r="BB122" s="920">
        <f t="shared" si="148"/>
        <v>381734.09138062742</v>
      </c>
      <c r="BC122" s="919">
        <f t="shared" si="184"/>
        <v>508978.78850750328</v>
      </c>
      <c r="BD122" s="919"/>
      <c r="BE122" s="975">
        <f t="shared" si="185"/>
        <v>13233448.501195084</v>
      </c>
      <c r="BF122" s="975">
        <f t="shared" si="149"/>
        <v>397003.4550358525</v>
      </c>
      <c r="BG122" s="919">
        <f t="shared" si="186"/>
        <v>529337.94004780333</v>
      </c>
      <c r="BH122" s="975"/>
      <c r="BI122" s="975">
        <f t="shared" si="187"/>
        <v>13762786.441242889</v>
      </c>
      <c r="BJ122" s="975">
        <f t="shared" si="150"/>
        <v>412883.59323728667</v>
      </c>
      <c r="BK122" s="919">
        <f t="shared" si="188"/>
        <v>550511.45764971559</v>
      </c>
      <c r="BL122" s="975"/>
      <c r="BM122" s="975">
        <f t="shared" si="189"/>
        <v>14313297.898892604</v>
      </c>
      <c r="BN122" s="926">
        <f t="shared" si="190"/>
        <v>1073497.3424169451</v>
      </c>
      <c r="BO122" s="926">
        <f t="shared" si="191"/>
        <v>357832.44747231511</v>
      </c>
      <c r="BP122" s="926">
        <f t="shared" si="192"/>
        <v>1717595.7478671123</v>
      </c>
      <c r="BQ122" s="926">
        <f t="shared" si="193"/>
        <v>17462223.436648976</v>
      </c>
      <c r="BR122" s="926">
        <f t="shared" si="194"/>
        <v>235498.63029870499</v>
      </c>
      <c r="BS122" s="963">
        <v>0.15</v>
      </c>
      <c r="BT122" s="954">
        <f t="shared" si="198"/>
        <v>2619333.5154973464</v>
      </c>
      <c r="BU122" s="926">
        <f t="shared" si="199"/>
        <v>50000</v>
      </c>
      <c r="BV122" s="954">
        <f t="shared" si="166"/>
        <v>367047.64507104951</v>
      </c>
      <c r="BW122" s="869">
        <f t="shared" si="155"/>
        <v>7</v>
      </c>
      <c r="BX122" s="954">
        <f t="shared" si="167"/>
        <v>14842889.921151631</v>
      </c>
      <c r="BZ122" s="959">
        <v>46082</v>
      </c>
      <c r="CA122" s="960">
        <f t="shared" si="156"/>
        <v>7</v>
      </c>
      <c r="CB122" s="960">
        <f t="shared" si="151"/>
        <v>8</v>
      </c>
      <c r="GI122" s="912"/>
    </row>
    <row r="123" spans="1:191" x14ac:dyDescent="0.2">
      <c r="A123" s="952">
        <f t="shared" si="157"/>
        <v>110</v>
      </c>
      <c r="B123" s="952">
        <f t="shared" si="157"/>
        <v>12</v>
      </c>
      <c r="C123" s="952" t="s">
        <v>558</v>
      </c>
      <c r="D123" s="952" t="s">
        <v>578</v>
      </c>
      <c r="E123" s="952" t="s">
        <v>208</v>
      </c>
      <c r="F123" s="869" t="s">
        <v>222</v>
      </c>
      <c r="G123" s="869" t="s">
        <v>133</v>
      </c>
      <c r="H123" s="869" t="s">
        <v>234</v>
      </c>
      <c r="I123" s="869" t="s">
        <v>109</v>
      </c>
      <c r="J123" s="926">
        <v>83.12</v>
      </c>
      <c r="K123" s="962">
        <v>13.04</v>
      </c>
      <c r="L123" s="962">
        <v>0</v>
      </c>
      <c r="M123" s="926">
        <f t="shared" si="200"/>
        <v>96.16</v>
      </c>
      <c r="N123" s="926"/>
      <c r="O123" s="926"/>
      <c r="P123" s="965"/>
      <c r="Q123" s="926">
        <f t="shared" si="168"/>
        <v>10971840</v>
      </c>
      <c r="R123" s="926">
        <f t="shared" si="169"/>
        <v>860640</v>
      </c>
      <c r="S123" s="926">
        <f t="shared" si="153"/>
        <v>11832480</v>
      </c>
      <c r="T123" s="926"/>
      <c r="U123" s="869">
        <v>8</v>
      </c>
      <c r="V123" s="926">
        <f t="shared" si="170"/>
        <v>384640</v>
      </c>
      <c r="W123" s="926"/>
      <c r="X123" s="954">
        <f t="shared" si="171"/>
        <v>59162.400000000001</v>
      </c>
      <c r="Y123" s="926">
        <f>M123*$Y$5</f>
        <v>192320</v>
      </c>
      <c r="Z123" s="926">
        <f t="shared" ref="Z123:Z129" si="202">M123*$Z$5</f>
        <v>96160</v>
      </c>
      <c r="AA123" s="961" t="str">
        <f t="shared" si="197"/>
        <v>CORNER</v>
      </c>
      <c r="AB123" s="961" t="s">
        <v>573</v>
      </c>
      <c r="AC123" s="926">
        <f t="shared" si="201"/>
        <v>732282.4</v>
      </c>
      <c r="AD123" s="926"/>
      <c r="AE123" s="956">
        <f t="shared" si="154"/>
        <v>12564762.4</v>
      </c>
      <c r="AF123" s="956">
        <f t="shared" si="160"/>
        <v>386994.68192</v>
      </c>
      <c r="AG123" s="957">
        <f t="shared" si="165"/>
        <v>12951757.08192</v>
      </c>
      <c r="AH123" s="919">
        <f t="shared" si="161"/>
        <v>294004.88575958402</v>
      </c>
      <c r="AI123" s="957">
        <f t="shared" si="158"/>
        <v>13245761.967679584</v>
      </c>
      <c r="AJ123" s="919">
        <f t="shared" si="159"/>
        <v>331144.04919198964</v>
      </c>
      <c r="AK123" s="920">
        <f t="shared" si="162"/>
        <v>13576906.016871573</v>
      </c>
      <c r="AL123" s="919">
        <f t="shared" si="123"/>
        <v>339422.65042178938</v>
      </c>
      <c r="AM123" s="982">
        <f t="shared" si="144"/>
        <v>13916328.667293362</v>
      </c>
      <c r="AN123" s="919">
        <f t="shared" si="124"/>
        <v>347908.21668233408</v>
      </c>
      <c r="AO123" s="920">
        <f t="shared" si="145"/>
        <v>14264236.883975696</v>
      </c>
      <c r="AP123" s="919">
        <f t="shared" si="176"/>
        <v>356605.9220993924</v>
      </c>
      <c r="AQ123" s="920">
        <f t="shared" si="177"/>
        <v>14620842.806075089</v>
      </c>
      <c r="AR123" s="919">
        <f t="shared" si="178"/>
        <v>438625.28418225265</v>
      </c>
      <c r="AS123" s="920">
        <f t="shared" si="179"/>
        <v>15059468.090257341</v>
      </c>
      <c r="AT123" s="920">
        <f t="shared" si="146"/>
        <v>451784.04270772019</v>
      </c>
      <c r="AU123" s="919">
        <f t="shared" si="180"/>
        <v>602378.7236102937</v>
      </c>
      <c r="AV123" s="919"/>
      <c r="AW123" s="920">
        <f t="shared" si="181"/>
        <v>15661846.813867634</v>
      </c>
      <c r="AX123" s="920">
        <f t="shared" si="147"/>
        <v>469855.40441602899</v>
      </c>
      <c r="AY123" s="919">
        <f t="shared" si="182"/>
        <v>626473.87255470536</v>
      </c>
      <c r="AZ123" s="919"/>
      <c r="BA123" s="920">
        <f t="shared" si="183"/>
        <v>16288320.686422339</v>
      </c>
      <c r="BB123" s="920">
        <f t="shared" si="148"/>
        <v>488649.62059267017</v>
      </c>
      <c r="BC123" s="919">
        <f t="shared" si="184"/>
        <v>651532.82745689352</v>
      </c>
      <c r="BD123" s="919"/>
      <c r="BE123" s="975">
        <f t="shared" si="185"/>
        <v>16939853.513879232</v>
      </c>
      <c r="BF123" s="975">
        <f t="shared" si="149"/>
        <v>508195.60541637696</v>
      </c>
      <c r="BG123" s="919">
        <f t="shared" si="186"/>
        <v>677594.14055516932</v>
      </c>
      <c r="BH123" s="975"/>
      <c r="BI123" s="975">
        <f t="shared" si="187"/>
        <v>17617447.654434402</v>
      </c>
      <c r="BJ123" s="975">
        <f t="shared" si="150"/>
        <v>528523.42963303206</v>
      </c>
      <c r="BK123" s="919">
        <f t="shared" si="188"/>
        <v>704697.90617737605</v>
      </c>
      <c r="BL123" s="975"/>
      <c r="BM123" s="975">
        <f t="shared" si="189"/>
        <v>18322145.560611777</v>
      </c>
      <c r="BN123" s="926">
        <f t="shared" si="190"/>
        <v>1374160.9170458831</v>
      </c>
      <c r="BO123" s="926">
        <f t="shared" si="191"/>
        <v>458053.63901529444</v>
      </c>
      <c r="BP123" s="926">
        <f t="shared" si="192"/>
        <v>2198657.4672734132</v>
      </c>
      <c r="BQ123" s="926">
        <f t="shared" si="193"/>
        <v>22353017.58394637</v>
      </c>
      <c r="BR123" s="926">
        <f t="shared" si="194"/>
        <v>232456.50565668024</v>
      </c>
      <c r="BS123" s="963">
        <v>0.15</v>
      </c>
      <c r="BT123" s="954">
        <f t="shared" si="198"/>
        <v>3352952.6375919553</v>
      </c>
      <c r="BU123" s="926">
        <f t="shared" si="199"/>
        <v>50000</v>
      </c>
      <c r="BV123" s="954">
        <f t="shared" si="166"/>
        <v>471850.37679885078</v>
      </c>
      <c r="BW123" s="869">
        <f t="shared" si="155"/>
        <v>7</v>
      </c>
      <c r="BX123" s="954">
        <f t="shared" si="167"/>
        <v>19000064.946354415</v>
      </c>
      <c r="BZ123" s="959">
        <v>46082</v>
      </c>
      <c r="CA123" s="960">
        <f t="shared" si="156"/>
        <v>7</v>
      </c>
      <c r="CB123" s="960">
        <f t="shared" si="151"/>
        <v>8</v>
      </c>
      <c r="GI123" s="912"/>
    </row>
    <row r="124" spans="1:191" x14ac:dyDescent="0.2">
      <c r="A124" s="952">
        <f t="shared" si="157"/>
        <v>111</v>
      </c>
      <c r="B124" s="952">
        <f t="shared" si="157"/>
        <v>13</v>
      </c>
      <c r="C124" s="952" t="s">
        <v>558</v>
      </c>
      <c r="D124" s="952" t="s">
        <v>578</v>
      </c>
      <c r="E124" s="952" t="s">
        <v>208</v>
      </c>
      <c r="F124" s="869" t="s">
        <v>222</v>
      </c>
      <c r="G124" s="869" t="s">
        <v>136</v>
      </c>
      <c r="H124" s="869" t="s">
        <v>235</v>
      </c>
      <c r="I124" s="869" t="s">
        <v>113</v>
      </c>
      <c r="J124" s="926">
        <v>52.04</v>
      </c>
      <c r="K124" s="962">
        <v>3.1</v>
      </c>
      <c r="L124" s="962">
        <v>0</v>
      </c>
      <c r="M124" s="926">
        <f t="shared" si="200"/>
        <v>55.14</v>
      </c>
      <c r="N124" s="926"/>
      <c r="O124" s="926"/>
      <c r="P124" s="965"/>
      <c r="Q124" s="926">
        <f t="shared" si="168"/>
        <v>6869280</v>
      </c>
      <c r="R124" s="926">
        <f t="shared" si="169"/>
        <v>204600</v>
      </c>
      <c r="S124" s="926">
        <f t="shared" si="153"/>
        <v>7073880</v>
      </c>
      <c r="T124" s="926"/>
      <c r="U124" s="869">
        <v>8</v>
      </c>
      <c r="V124" s="926">
        <f t="shared" si="170"/>
        <v>220560</v>
      </c>
      <c r="W124" s="926"/>
      <c r="X124" s="954">
        <f t="shared" si="171"/>
        <v>35369.4</v>
      </c>
      <c r="Y124" s="961"/>
      <c r="Z124" s="926">
        <f t="shared" si="202"/>
        <v>55140</v>
      </c>
      <c r="AA124" s="961" t="str">
        <f t="shared" si="197"/>
        <v>INNER</v>
      </c>
      <c r="AB124" s="961" t="s">
        <v>573</v>
      </c>
      <c r="AC124" s="926">
        <f t="shared" si="201"/>
        <v>311069.40000000002</v>
      </c>
      <c r="AD124" s="926"/>
      <c r="AE124" s="956">
        <f t="shared" si="154"/>
        <v>7384949.4000000004</v>
      </c>
      <c r="AF124" s="956">
        <f t="shared" si="160"/>
        <v>227456.44152000002</v>
      </c>
      <c r="AG124" s="957">
        <f t="shared" si="165"/>
        <v>7612405.8415200002</v>
      </c>
      <c r="AH124" s="919">
        <f t="shared" si="161"/>
        <v>172801.61260250403</v>
      </c>
      <c r="AI124" s="957">
        <f t="shared" si="158"/>
        <v>7785207.4541225042</v>
      </c>
      <c r="AJ124" s="919">
        <f t="shared" si="159"/>
        <v>194630.18635306263</v>
      </c>
      <c r="AK124" s="920">
        <f t="shared" si="162"/>
        <v>7979837.6404755665</v>
      </c>
      <c r="AL124" s="919">
        <f t="shared" si="123"/>
        <v>199495.94101188917</v>
      </c>
      <c r="AM124" s="982">
        <f t="shared" si="144"/>
        <v>8179333.5814874554</v>
      </c>
      <c r="AN124" s="919">
        <f t="shared" si="124"/>
        <v>204483.3395371864</v>
      </c>
      <c r="AO124" s="920">
        <f t="shared" si="145"/>
        <v>8383816.921024642</v>
      </c>
      <c r="AP124" s="919">
        <f t="shared" si="176"/>
        <v>209595.42302561607</v>
      </c>
      <c r="AQ124" s="920">
        <f t="shared" si="177"/>
        <v>8593412.3440502584</v>
      </c>
      <c r="AR124" s="919">
        <f t="shared" si="178"/>
        <v>257802.37032150774</v>
      </c>
      <c r="AS124" s="920">
        <f t="shared" si="179"/>
        <v>8851214.7143717669</v>
      </c>
      <c r="AT124" s="920">
        <f t="shared" si="146"/>
        <v>265536.44143115298</v>
      </c>
      <c r="AU124" s="919">
        <f t="shared" si="180"/>
        <v>354048.58857487066</v>
      </c>
      <c r="AV124" s="919"/>
      <c r="AW124" s="920">
        <f t="shared" si="181"/>
        <v>9205263.3029466383</v>
      </c>
      <c r="AX124" s="920">
        <f t="shared" si="147"/>
        <v>276157.89908839914</v>
      </c>
      <c r="AY124" s="919">
        <f t="shared" si="182"/>
        <v>368210.53211786551</v>
      </c>
      <c r="AZ124" s="919"/>
      <c r="BA124" s="920">
        <f t="shared" si="183"/>
        <v>9573473.8350645043</v>
      </c>
      <c r="BB124" s="920">
        <f t="shared" si="148"/>
        <v>287204.21505193511</v>
      </c>
      <c r="BC124" s="919">
        <f t="shared" si="184"/>
        <v>382938.95340258017</v>
      </c>
      <c r="BD124" s="919"/>
      <c r="BE124" s="975">
        <f t="shared" si="185"/>
        <v>9956412.788467085</v>
      </c>
      <c r="BF124" s="975">
        <f t="shared" si="149"/>
        <v>298692.38365401252</v>
      </c>
      <c r="BG124" s="919">
        <f t="shared" si="186"/>
        <v>398256.51153868344</v>
      </c>
      <c r="BH124" s="975"/>
      <c r="BI124" s="975">
        <f t="shared" si="187"/>
        <v>10354669.300005767</v>
      </c>
      <c r="BJ124" s="975">
        <f t="shared" si="150"/>
        <v>310640.07900017302</v>
      </c>
      <c r="BK124" s="919">
        <f t="shared" si="188"/>
        <v>414186.77200023073</v>
      </c>
      <c r="BL124" s="975"/>
      <c r="BM124" s="975">
        <f t="shared" si="189"/>
        <v>10768856.072005998</v>
      </c>
      <c r="BN124" s="926">
        <f t="shared" si="190"/>
        <v>807664.20540044981</v>
      </c>
      <c r="BO124" s="926">
        <f t="shared" si="191"/>
        <v>269221.40180014999</v>
      </c>
      <c r="BP124" s="926">
        <f t="shared" si="192"/>
        <v>1292262.7286407198</v>
      </c>
      <c r="BQ124" s="926">
        <f t="shared" si="193"/>
        <v>13138004.407847319</v>
      </c>
      <c r="BR124" s="926">
        <f t="shared" si="194"/>
        <v>238266.31135015088</v>
      </c>
      <c r="BS124" s="963">
        <v>0.15</v>
      </c>
      <c r="BT124" s="954">
        <f t="shared" si="198"/>
        <v>1970700.6611770978</v>
      </c>
      <c r="BU124" s="926">
        <f t="shared" si="199"/>
        <v>50000</v>
      </c>
      <c r="BV124" s="954">
        <f t="shared" si="166"/>
        <v>274385.80873958539</v>
      </c>
      <c r="BW124" s="869">
        <f t="shared" si="155"/>
        <v>7</v>
      </c>
      <c r="BX124" s="954">
        <f t="shared" si="167"/>
        <v>11167303.74667022</v>
      </c>
      <c r="BZ124" s="959">
        <v>46082</v>
      </c>
      <c r="CA124" s="960">
        <f t="shared" si="156"/>
        <v>7</v>
      </c>
      <c r="CB124" s="960">
        <f t="shared" si="151"/>
        <v>8</v>
      </c>
      <c r="GI124" s="912"/>
    </row>
    <row r="125" spans="1:191" x14ac:dyDescent="0.2">
      <c r="A125" s="952">
        <f t="shared" si="157"/>
        <v>112</v>
      </c>
      <c r="B125" s="952">
        <v>1</v>
      </c>
      <c r="C125" s="952" t="s">
        <v>558</v>
      </c>
      <c r="D125" s="952"/>
      <c r="E125" s="952" t="s">
        <v>222</v>
      </c>
      <c r="F125" s="869" t="s">
        <v>237</v>
      </c>
      <c r="G125" s="869" t="s">
        <v>107</v>
      </c>
      <c r="H125" s="869" t="s">
        <v>238</v>
      </c>
      <c r="I125" s="869" t="s">
        <v>572</v>
      </c>
      <c r="J125" s="926">
        <v>99.98</v>
      </c>
      <c r="K125" s="962">
        <v>10.29</v>
      </c>
      <c r="L125" s="962">
        <v>0</v>
      </c>
      <c r="M125" s="926">
        <f t="shared" si="200"/>
        <v>110.27000000000001</v>
      </c>
      <c r="N125" s="926"/>
      <c r="O125" s="926"/>
      <c r="P125" s="965"/>
      <c r="Q125" s="926">
        <f t="shared" si="168"/>
        <v>13197360</v>
      </c>
      <c r="R125" s="926">
        <f t="shared" si="169"/>
        <v>679140</v>
      </c>
      <c r="S125" s="926">
        <f t="shared" si="153"/>
        <v>13876500</v>
      </c>
      <c r="T125" s="926"/>
      <c r="U125" s="869">
        <v>9</v>
      </c>
      <c r="V125" s="926">
        <f t="shared" si="170"/>
        <v>496215.00000000006</v>
      </c>
      <c r="W125" s="926"/>
      <c r="X125" s="954">
        <f t="shared" si="171"/>
        <v>69382.5</v>
      </c>
      <c r="Y125" s="926">
        <f>M125*$Y$5</f>
        <v>220540.00000000003</v>
      </c>
      <c r="Z125" s="926">
        <f t="shared" si="202"/>
        <v>110270.00000000001</v>
      </c>
      <c r="AA125" s="961" t="str">
        <f t="shared" ref="AA125:AA137" si="203">AA21</f>
        <v>CORNER</v>
      </c>
      <c r="AB125" s="961" t="s">
        <v>573</v>
      </c>
      <c r="AC125" s="926">
        <f t="shared" ref="AC125:AC146" si="204">SUM(V125:Z125)</f>
        <v>896407.5</v>
      </c>
      <c r="AD125" s="926"/>
      <c r="AE125" s="956">
        <f t="shared" si="154"/>
        <v>14772907.5</v>
      </c>
      <c r="AF125" s="956">
        <f t="shared" si="160"/>
        <v>455005.55100000004</v>
      </c>
      <c r="AG125" s="957">
        <f t="shared" si="165"/>
        <v>15227913.051000001</v>
      </c>
      <c r="AH125" s="919">
        <f t="shared" si="161"/>
        <v>345673.62625770003</v>
      </c>
      <c r="AI125" s="957">
        <f t="shared" si="158"/>
        <v>15573586.677257702</v>
      </c>
      <c r="AJ125" s="919">
        <f t="shared" si="159"/>
        <v>389339.66693144257</v>
      </c>
      <c r="AK125" s="920">
        <f t="shared" si="162"/>
        <v>15962926.344189145</v>
      </c>
      <c r="AL125" s="919">
        <f t="shared" si="123"/>
        <v>399073.15860472864</v>
      </c>
      <c r="AM125" s="982">
        <f t="shared" si="144"/>
        <v>16361999.502793873</v>
      </c>
      <c r="AN125" s="919">
        <f t="shared" si="124"/>
        <v>409049.98756984685</v>
      </c>
      <c r="AO125" s="920">
        <f t="shared" si="145"/>
        <v>16771049.490363719</v>
      </c>
      <c r="AP125" s="919">
        <f t="shared" si="176"/>
        <v>419276.23725909297</v>
      </c>
      <c r="AQ125" s="920">
        <f t="shared" si="177"/>
        <v>17190325.727622811</v>
      </c>
      <c r="AR125" s="919">
        <f t="shared" si="178"/>
        <v>515709.77182868432</v>
      </c>
      <c r="AS125" s="920">
        <f t="shared" si="179"/>
        <v>17706035.499451496</v>
      </c>
      <c r="AT125" s="920">
        <f t="shared" si="146"/>
        <v>531181.06498354487</v>
      </c>
      <c r="AU125" s="919">
        <f t="shared" si="180"/>
        <v>708241.41997805983</v>
      </c>
      <c r="AV125" s="919"/>
      <c r="AW125" s="920">
        <f t="shared" si="181"/>
        <v>18414276.919429556</v>
      </c>
      <c r="AX125" s="920">
        <f t="shared" si="147"/>
        <v>552428.30758288666</v>
      </c>
      <c r="AY125" s="919">
        <f t="shared" si="182"/>
        <v>736571.07677718229</v>
      </c>
      <c r="AZ125" s="919"/>
      <c r="BA125" s="920">
        <f t="shared" si="183"/>
        <v>19150847.996206738</v>
      </c>
      <c r="BB125" s="920">
        <f t="shared" si="148"/>
        <v>574525.4398862021</v>
      </c>
      <c r="BC125" s="919">
        <f t="shared" si="184"/>
        <v>766033.91984826955</v>
      </c>
      <c r="BD125" s="919"/>
      <c r="BE125" s="975">
        <f t="shared" si="185"/>
        <v>19916881.916055009</v>
      </c>
      <c r="BF125" s="975">
        <f t="shared" si="149"/>
        <v>597506.45748165029</v>
      </c>
      <c r="BG125" s="919">
        <f t="shared" si="186"/>
        <v>796675.27664220042</v>
      </c>
      <c r="BH125" s="975"/>
      <c r="BI125" s="975">
        <f t="shared" si="187"/>
        <v>20713557.192697208</v>
      </c>
      <c r="BJ125" s="975">
        <f t="shared" si="150"/>
        <v>621406.71578091627</v>
      </c>
      <c r="BK125" s="919">
        <f t="shared" si="188"/>
        <v>828542.2877078884</v>
      </c>
      <c r="BL125" s="975"/>
      <c r="BM125" s="975">
        <f t="shared" si="189"/>
        <v>21542099.480405096</v>
      </c>
      <c r="BN125" s="926">
        <f t="shared" si="190"/>
        <v>1615657.4610303822</v>
      </c>
      <c r="BO125" s="926">
        <f t="shared" si="191"/>
        <v>538552.4870101274</v>
      </c>
      <c r="BP125" s="926">
        <f t="shared" si="192"/>
        <v>2585051.9376486116</v>
      </c>
      <c r="BQ125" s="926">
        <f t="shared" si="193"/>
        <v>26281361.36609422</v>
      </c>
      <c r="BR125" s="926">
        <f t="shared" si="194"/>
        <v>238336.45929168601</v>
      </c>
      <c r="BS125" s="963">
        <v>0.15</v>
      </c>
      <c r="BT125" s="954">
        <f t="shared" si="198"/>
        <v>3942204.2049141331</v>
      </c>
      <c r="BU125" s="926">
        <f t="shared" si="199"/>
        <v>50000</v>
      </c>
      <c r="BV125" s="954">
        <f t="shared" si="166"/>
        <v>556029.17213059042</v>
      </c>
      <c r="BW125" s="869">
        <f t="shared" si="155"/>
        <v>7</v>
      </c>
      <c r="BX125" s="954">
        <f t="shared" si="167"/>
        <v>22339157.161180086</v>
      </c>
      <c r="BZ125" s="959">
        <v>46082</v>
      </c>
      <c r="CA125" s="960">
        <f t="shared" si="156"/>
        <v>7</v>
      </c>
      <c r="CB125" s="960">
        <f t="shared" si="151"/>
        <v>8</v>
      </c>
      <c r="GI125" s="912"/>
    </row>
    <row r="126" spans="1:191" x14ac:dyDescent="0.2">
      <c r="A126" s="952">
        <f t="shared" si="157"/>
        <v>113</v>
      </c>
      <c r="B126" s="952">
        <f>B125+1</f>
        <v>2</v>
      </c>
      <c r="C126" s="952" t="s">
        <v>558</v>
      </c>
      <c r="D126" s="952"/>
      <c r="E126" s="952" t="s">
        <v>222</v>
      </c>
      <c r="F126" s="869" t="s">
        <v>237</v>
      </c>
      <c r="G126" s="869" t="s">
        <v>111</v>
      </c>
      <c r="H126" s="869" t="s">
        <v>239</v>
      </c>
      <c r="I126" s="869" t="s">
        <v>113</v>
      </c>
      <c r="J126" s="926">
        <v>52.86</v>
      </c>
      <c r="K126" s="962">
        <v>5.09</v>
      </c>
      <c r="L126" s="962">
        <v>0</v>
      </c>
      <c r="M126" s="926">
        <f t="shared" si="200"/>
        <v>57.95</v>
      </c>
      <c r="N126" s="926"/>
      <c r="O126" s="926"/>
      <c r="P126" s="965"/>
      <c r="Q126" s="926">
        <f t="shared" si="168"/>
        <v>6977520</v>
      </c>
      <c r="R126" s="926">
        <f t="shared" si="169"/>
        <v>335940</v>
      </c>
      <c r="S126" s="926">
        <f t="shared" si="153"/>
        <v>7313460</v>
      </c>
      <c r="T126" s="926"/>
      <c r="U126" s="869">
        <f t="shared" ref="U126:U137" si="205">$U$125</f>
        <v>9</v>
      </c>
      <c r="V126" s="926">
        <f t="shared" si="170"/>
        <v>260775.00000000003</v>
      </c>
      <c r="W126" s="926"/>
      <c r="X126" s="954">
        <f t="shared" si="171"/>
        <v>36567.300000000003</v>
      </c>
      <c r="Y126" s="961"/>
      <c r="Z126" s="926">
        <f t="shared" si="202"/>
        <v>57950</v>
      </c>
      <c r="AA126" s="961" t="str">
        <f t="shared" si="203"/>
        <v>INNER</v>
      </c>
      <c r="AB126" s="961" t="s">
        <v>573</v>
      </c>
      <c r="AC126" s="926">
        <f t="shared" si="204"/>
        <v>355292.30000000005</v>
      </c>
      <c r="AD126" s="926"/>
      <c r="AE126" s="956">
        <f t="shared" si="154"/>
        <v>7668752.2999999998</v>
      </c>
      <c r="AF126" s="956">
        <f t="shared" si="160"/>
        <v>236197.57084</v>
      </c>
      <c r="AG126" s="957">
        <f t="shared" si="165"/>
        <v>7904949.87084</v>
      </c>
      <c r="AH126" s="919">
        <f t="shared" si="161"/>
        <v>179442.362068068</v>
      </c>
      <c r="AI126" s="957">
        <f t="shared" si="158"/>
        <v>8084392.2329080682</v>
      </c>
      <c r="AJ126" s="919">
        <f t="shared" si="159"/>
        <v>202109.80582270172</v>
      </c>
      <c r="AK126" s="920">
        <f t="shared" si="162"/>
        <v>8286502.0387307703</v>
      </c>
      <c r="AL126" s="919">
        <f t="shared" si="123"/>
        <v>207162.55096826926</v>
      </c>
      <c r="AM126" s="982">
        <f t="shared" si="144"/>
        <v>8493664.5896990392</v>
      </c>
      <c r="AN126" s="919">
        <f t="shared" si="124"/>
        <v>212341.614742476</v>
      </c>
      <c r="AO126" s="920">
        <f t="shared" si="145"/>
        <v>8706006.2044415157</v>
      </c>
      <c r="AP126" s="919">
        <f t="shared" si="176"/>
        <v>217650.15511103789</v>
      </c>
      <c r="AQ126" s="920">
        <f t="shared" si="177"/>
        <v>8923656.3595525529</v>
      </c>
      <c r="AR126" s="919">
        <f t="shared" si="178"/>
        <v>267709.6907865766</v>
      </c>
      <c r="AS126" s="920">
        <f t="shared" si="179"/>
        <v>9191366.0503391288</v>
      </c>
      <c r="AT126" s="920">
        <f t="shared" si="146"/>
        <v>275740.98151017388</v>
      </c>
      <c r="AU126" s="919">
        <f t="shared" si="180"/>
        <v>367654.64201356517</v>
      </c>
      <c r="AV126" s="919"/>
      <c r="AW126" s="920">
        <f t="shared" si="181"/>
        <v>9559020.6923526935</v>
      </c>
      <c r="AX126" s="920">
        <f t="shared" si="147"/>
        <v>286770.62077058078</v>
      </c>
      <c r="AY126" s="919">
        <f t="shared" si="182"/>
        <v>382360.82769410772</v>
      </c>
      <c r="AZ126" s="919"/>
      <c r="BA126" s="920">
        <f t="shared" si="183"/>
        <v>9941381.5200468004</v>
      </c>
      <c r="BB126" s="920">
        <f t="shared" si="148"/>
        <v>298241.445601404</v>
      </c>
      <c r="BC126" s="919">
        <f t="shared" si="184"/>
        <v>397655.26080187201</v>
      </c>
      <c r="BD126" s="919"/>
      <c r="BE126" s="975">
        <f t="shared" si="185"/>
        <v>10339036.780848673</v>
      </c>
      <c r="BF126" s="975">
        <f t="shared" si="149"/>
        <v>310171.10342546017</v>
      </c>
      <c r="BG126" s="919">
        <f t="shared" si="186"/>
        <v>413561.47123394691</v>
      </c>
      <c r="BH126" s="975"/>
      <c r="BI126" s="975">
        <f t="shared" si="187"/>
        <v>10752598.25208262</v>
      </c>
      <c r="BJ126" s="975">
        <f t="shared" si="150"/>
        <v>322577.9475624786</v>
      </c>
      <c r="BK126" s="919">
        <f t="shared" si="188"/>
        <v>430103.93008330482</v>
      </c>
      <c r="BL126" s="975"/>
      <c r="BM126" s="975">
        <f t="shared" si="189"/>
        <v>11182702.182165924</v>
      </c>
      <c r="BN126" s="926">
        <f t="shared" si="190"/>
        <v>838702.66366244433</v>
      </c>
      <c r="BO126" s="926">
        <f t="shared" si="191"/>
        <v>279567.55455414811</v>
      </c>
      <c r="BP126" s="926">
        <f t="shared" si="192"/>
        <v>1341924.2618599108</v>
      </c>
      <c r="BQ126" s="926">
        <f t="shared" si="193"/>
        <v>13642896.662242427</v>
      </c>
      <c r="BR126" s="926">
        <f t="shared" si="194"/>
        <v>235425.30909822998</v>
      </c>
      <c r="BS126" s="963">
        <v>0.15</v>
      </c>
      <c r="BT126" s="954">
        <f t="shared" si="198"/>
        <v>2046434.499336364</v>
      </c>
      <c r="BU126" s="926">
        <f t="shared" si="199"/>
        <v>50000</v>
      </c>
      <c r="BV126" s="954">
        <f t="shared" si="166"/>
        <v>285204.92847662343</v>
      </c>
      <c r="BW126" s="869">
        <f t="shared" si="155"/>
        <v>7</v>
      </c>
      <c r="BX126" s="954">
        <f t="shared" si="167"/>
        <v>11596462.162906064</v>
      </c>
      <c r="BZ126" s="959">
        <v>46082</v>
      </c>
      <c r="CA126" s="960">
        <f t="shared" si="156"/>
        <v>7</v>
      </c>
      <c r="CB126" s="960">
        <f t="shared" si="151"/>
        <v>8</v>
      </c>
      <c r="CJ126" s="933"/>
      <c r="GI126" s="912"/>
    </row>
    <row r="127" spans="1:191" x14ac:dyDescent="0.2">
      <c r="A127" s="952">
        <f t="shared" si="157"/>
        <v>114</v>
      </c>
      <c r="B127" s="952">
        <f t="shared" si="157"/>
        <v>3</v>
      </c>
      <c r="C127" s="952" t="s">
        <v>558</v>
      </c>
      <c r="D127" s="952"/>
      <c r="E127" s="952" t="s">
        <v>222</v>
      </c>
      <c r="F127" s="869" t="s">
        <v>237</v>
      </c>
      <c r="G127" s="869" t="s">
        <v>115</v>
      </c>
      <c r="H127" s="869" t="s">
        <v>240</v>
      </c>
      <c r="I127" s="869" t="s">
        <v>109</v>
      </c>
      <c r="J127" s="926">
        <v>57.5</v>
      </c>
      <c r="K127" s="962">
        <v>5.09</v>
      </c>
      <c r="L127" s="962">
        <v>0</v>
      </c>
      <c r="M127" s="926">
        <f t="shared" si="200"/>
        <v>62.59</v>
      </c>
      <c r="N127" s="926"/>
      <c r="O127" s="926"/>
      <c r="P127" s="965"/>
      <c r="Q127" s="926">
        <f t="shared" si="168"/>
        <v>7590000</v>
      </c>
      <c r="R127" s="926">
        <f t="shared" si="169"/>
        <v>335940</v>
      </c>
      <c r="S127" s="926">
        <f t="shared" si="153"/>
        <v>7925940</v>
      </c>
      <c r="T127" s="926"/>
      <c r="U127" s="869">
        <f t="shared" si="205"/>
        <v>9</v>
      </c>
      <c r="V127" s="926">
        <f t="shared" si="170"/>
        <v>281655.00000000006</v>
      </c>
      <c r="W127" s="926"/>
      <c r="X127" s="954">
        <f t="shared" si="171"/>
        <v>39629.700000000004</v>
      </c>
      <c r="Y127" s="961"/>
      <c r="Z127" s="926">
        <f t="shared" si="202"/>
        <v>62590</v>
      </c>
      <c r="AA127" s="961" t="str">
        <f t="shared" si="203"/>
        <v>INNER</v>
      </c>
      <c r="AB127" s="961" t="s">
        <v>573</v>
      </c>
      <c r="AC127" s="926">
        <f t="shared" si="204"/>
        <v>383874.70000000007</v>
      </c>
      <c r="AD127" s="926"/>
      <c r="AE127" s="956">
        <f t="shared" si="154"/>
        <v>8309814.7000000002</v>
      </c>
      <c r="AF127" s="956">
        <f t="shared" si="160"/>
        <v>255942.29276000001</v>
      </c>
      <c r="AG127" s="957">
        <f t="shared" si="165"/>
        <v>8565756.9927600008</v>
      </c>
      <c r="AH127" s="919">
        <f t="shared" si="161"/>
        <v>194442.68373565204</v>
      </c>
      <c r="AI127" s="957">
        <f t="shared" si="158"/>
        <v>8760199.6764956526</v>
      </c>
      <c r="AJ127" s="919">
        <f t="shared" si="159"/>
        <v>219004.99191239133</v>
      </c>
      <c r="AK127" s="920">
        <f t="shared" si="162"/>
        <v>8979204.6684080437</v>
      </c>
      <c r="AL127" s="919">
        <f t="shared" si="123"/>
        <v>224480.11671020111</v>
      </c>
      <c r="AM127" s="982">
        <f t="shared" si="144"/>
        <v>9203684.7851182446</v>
      </c>
      <c r="AN127" s="919">
        <f t="shared" si="124"/>
        <v>230092.11962795613</v>
      </c>
      <c r="AO127" s="920">
        <f t="shared" si="145"/>
        <v>9433776.9047462009</v>
      </c>
      <c r="AP127" s="919">
        <f t="shared" si="176"/>
        <v>235844.42261865502</v>
      </c>
      <c r="AQ127" s="920">
        <f t="shared" si="177"/>
        <v>9669621.3273648564</v>
      </c>
      <c r="AR127" s="919">
        <f t="shared" si="178"/>
        <v>290088.63982094568</v>
      </c>
      <c r="AS127" s="920">
        <f t="shared" si="179"/>
        <v>9959709.9671858028</v>
      </c>
      <c r="AT127" s="920">
        <f t="shared" si="146"/>
        <v>298791.2990155741</v>
      </c>
      <c r="AU127" s="919">
        <f t="shared" si="180"/>
        <v>398388.39868743211</v>
      </c>
      <c r="AV127" s="919"/>
      <c r="AW127" s="920">
        <f t="shared" si="181"/>
        <v>10358098.365873234</v>
      </c>
      <c r="AX127" s="920">
        <f t="shared" si="147"/>
        <v>310742.95097619703</v>
      </c>
      <c r="AY127" s="919">
        <f t="shared" si="182"/>
        <v>414323.93463492941</v>
      </c>
      <c r="AZ127" s="919"/>
      <c r="BA127" s="920">
        <f t="shared" si="183"/>
        <v>10772422.300508164</v>
      </c>
      <c r="BB127" s="920">
        <f t="shared" si="148"/>
        <v>323172.66901524493</v>
      </c>
      <c r="BC127" s="919">
        <f t="shared" si="184"/>
        <v>430896.89202032657</v>
      </c>
      <c r="BD127" s="919"/>
      <c r="BE127" s="975">
        <f t="shared" si="185"/>
        <v>11203319.19252849</v>
      </c>
      <c r="BF127" s="975">
        <f t="shared" si="149"/>
        <v>336099.5757758547</v>
      </c>
      <c r="BG127" s="919">
        <f t="shared" si="186"/>
        <v>448132.76770113962</v>
      </c>
      <c r="BH127" s="975"/>
      <c r="BI127" s="975">
        <f t="shared" si="187"/>
        <v>11651451.96022963</v>
      </c>
      <c r="BJ127" s="975">
        <f t="shared" si="150"/>
        <v>349543.55880688888</v>
      </c>
      <c r="BK127" s="919">
        <f t="shared" si="188"/>
        <v>466058.07840918517</v>
      </c>
      <c r="BL127" s="975"/>
      <c r="BM127" s="975">
        <f t="shared" si="189"/>
        <v>12117510.038638815</v>
      </c>
      <c r="BN127" s="926">
        <f t="shared" si="190"/>
        <v>908813.25289791112</v>
      </c>
      <c r="BO127" s="926">
        <f t="shared" si="191"/>
        <v>302937.75096597039</v>
      </c>
      <c r="BP127" s="926">
        <f t="shared" si="192"/>
        <v>1454101.2046366578</v>
      </c>
      <c r="BQ127" s="926">
        <f t="shared" si="193"/>
        <v>14783362.247139353</v>
      </c>
      <c r="BR127" s="926">
        <f t="shared" si="194"/>
        <v>236193.6770592643</v>
      </c>
      <c r="BS127" s="963">
        <v>0.15</v>
      </c>
      <c r="BT127" s="954">
        <f t="shared" si="198"/>
        <v>2217504.3370709028</v>
      </c>
      <c r="BU127" s="926">
        <f t="shared" si="199"/>
        <v>50000</v>
      </c>
      <c r="BV127" s="954">
        <f t="shared" si="166"/>
        <v>309643.47672441468</v>
      </c>
      <c r="BW127" s="869">
        <f t="shared" si="155"/>
        <v>7</v>
      </c>
      <c r="BX127" s="954">
        <f t="shared" si="167"/>
        <v>12565857.91006845</v>
      </c>
      <c r="BZ127" s="959">
        <v>46082</v>
      </c>
      <c r="CA127" s="960">
        <f t="shared" si="156"/>
        <v>7</v>
      </c>
      <c r="CB127" s="960">
        <f t="shared" si="151"/>
        <v>8</v>
      </c>
      <c r="CJ127" s="933"/>
      <c r="GI127" s="912"/>
    </row>
    <row r="128" spans="1:191" x14ac:dyDescent="0.2">
      <c r="A128" s="952">
        <f t="shared" si="157"/>
        <v>115</v>
      </c>
      <c r="B128" s="952">
        <f t="shared" si="157"/>
        <v>4</v>
      </c>
      <c r="C128" s="952" t="s">
        <v>558</v>
      </c>
      <c r="D128" s="952"/>
      <c r="E128" s="952" t="s">
        <v>222</v>
      </c>
      <c r="F128" s="869" t="s">
        <v>237</v>
      </c>
      <c r="G128" s="869" t="s">
        <v>117</v>
      </c>
      <c r="H128" s="869" t="s">
        <v>241</v>
      </c>
      <c r="I128" s="869" t="s">
        <v>109</v>
      </c>
      <c r="J128" s="926">
        <v>62.11</v>
      </c>
      <c r="K128" s="962">
        <v>5.19</v>
      </c>
      <c r="L128" s="962">
        <v>0</v>
      </c>
      <c r="M128" s="926">
        <f t="shared" si="200"/>
        <v>67.3</v>
      </c>
      <c r="N128" s="926"/>
      <c r="O128" s="926"/>
      <c r="P128" s="965"/>
      <c r="Q128" s="926">
        <f t="shared" si="168"/>
        <v>8198520</v>
      </c>
      <c r="R128" s="926">
        <f t="shared" si="169"/>
        <v>342540</v>
      </c>
      <c r="S128" s="926">
        <f t="shared" si="153"/>
        <v>8541060</v>
      </c>
      <c r="T128" s="926"/>
      <c r="U128" s="869">
        <f t="shared" si="205"/>
        <v>9</v>
      </c>
      <c r="V128" s="926">
        <f t="shared" si="170"/>
        <v>302849.99999999994</v>
      </c>
      <c r="W128" s="926"/>
      <c r="X128" s="954">
        <f t="shared" si="171"/>
        <v>42705.3</v>
      </c>
      <c r="Y128" s="961"/>
      <c r="Z128" s="926">
        <f t="shared" si="202"/>
        <v>67300</v>
      </c>
      <c r="AA128" s="961" t="str">
        <f t="shared" si="203"/>
        <v>INNER</v>
      </c>
      <c r="AB128" s="961" t="s">
        <v>573</v>
      </c>
      <c r="AC128" s="926">
        <f t="shared" si="204"/>
        <v>412855.29999999993</v>
      </c>
      <c r="AD128" s="926"/>
      <c r="AE128" s="956">
        <f t="shared" si="154"/>
        <v>8953915.3000000007</v>
      </c>
      <c r="AF128" s="956">
        <f t="shared" si="160"/>
        <v>275780.59124000004</v>
      </c>
      <c r="AG128" s="957">
        <f t="shared" si="165"/>
        <v>9229695.8912400007</v>
      </c>
      <c r="AH128" s="919">
        <f t="shared" si="161"/>
        <v>209514.09673114802</v>
      </c>
      <c r="AI128" s="957">
        <f t="shared" si="158"/>
        <v>9439209.9879711494</v>
      </c>
      <c r="AJ128" s="919">
        <f t="shared" si="159"/>
        <v>235980.24969927873</v>
      </c>
      <c r="AK128" s="920">
        <f t="shared" si="162"/>
        <v>9675190.2376704291</v>
      </c>
      <c r="AL128" s="919">
        <f t="shared" si="123"/>
        <v>241879.75594176073</v>
      </c>
      <c r="AM128" s="982">
        <f t="shared" si="144"/>
        <v>9917069.9936121888</v>
      </c>
      <c r="AN128" s="919">
        <f t="shared" si="124"/>
        <v>247926.74984030472</v>
      </c>
      <c r="AO128" s="920">
        <f t="shared" si="145"/>
        <v>10164996.743452493</v>
      </c>
      <c r="AP128" s="919">
        <f t="shared" si="176"/>
        <v>254124.91858631233</v>
      </c>
      <c r="AQ128" s="920">
        <f t="shared" si="177"/>
        <v>10419121.662038805</v>
      </c>
      <c r="AR128" s="919">
        <f t="shared" si="178"/>
        <v>312573.64986116416</v>
      </c>
      <c r="AS128" s="920">
        <f t="shared" si="179"/>
        <v>10731695.311899969</v>
      </c>
      <c r="AT128" s="920">
        <f t="shared" si="146"/>
        <v>321950.85935699905</v>
      </c>
      <c r="AU128" s="919">
        <f t="shared" si="180"/>
        <v>429267.81247599877</v>
      </c>
      <c r="AV128" s="919"/>
      <c r="AW128" s="920">
        <f t="shared" si="181"/>
        <v>11160963.124375967</v>
      </c>
      <c r="AX128" s="920">
        <f t="shared" si="147"/>
        <v>334828.89373127901</v>
      </c>
      <c r="AY128" s="919">
        <f t="shared" si="182"/>
        <v>446438.52497503872</v>
      </c>
      <c r="AZ128" s="919"/>
      <c r="BA128" s="920">
        <f t="shared" si="183"/>
        <v>11607401.649351006</v>
      </c>
      <c r="BB128" s="920">
        <f t="shared" si="148"/>
        <v>348222.0494805302</v>
      </c>
      <c r="BC128" s="919">
        <f t="shared" si="184"/>
        <v>464296.06597404025</v>
      </c>
      <c r="BD128" s="919"/>
      <c r="BE128" s="975">
        <f t="shared" si="185"/>
        <v>12071697.715325046</v>
      </c>
      <c r="BF128" s="975">
        <f t="shared" si="149"/>
        <v>362150.93145975139</v>
      </c>
      <c r="BG128" s="919">
        <f t="shared" si="186"/>
        <v>482867.90861300187</v>
      </c>
      <c r="BH128" s="975"/>
      <c r="BI128" s="975">
        <f t="shared" si="187"/>
        <v>12554565.623938048</v>
      </c>
      <c r="BJ128" s="975">
        <f t="shared" si="150"/>
        <v>376636.96871814143</v>
      </c>
      <c r="BK128" s="919">
        <f t="shared" si="188"/>
        <v>502182.62495752191</v>
      </c>
      <c r="BL128" s="975"/>
      <c r="BM128" s="975">
        <f t="shared" si="189"/>
        <v>13056748.248895571</v>
      </c>
      <c r="BN128" s="926">
        <f t="shared" si="190"/>
        <v>979256.11866716773</v>
      </c>
      <c r="BO128" s="926">
        <f t="shared" si="191"/>
        <v>326418.7062223893</v>
      </c>
      <c r="BP128" s="926">
        <f t="shared" si="192"/>
        <v>1566809.7898674684</v>
      </c>
      <c r="BQ128" s="926">
        <f t="shared" si="193"/>
        <v>15929232.863652596</v>
      </c>
      <c r="BR128" s="926">
        <f t="shared" si="194"/>
        <v>236689.93853867159</v>
      </c>
      <c r="BS128" s="963">
        <v>0.15</v>
      </c>
      <c r="BT128" s="954">
        <f t="shared" si="198"/>
        <v>2389384.9295478892</v>
      </c>
      <c r="BU128" s="926">
        <f t="shared" si="199"/>
        <v>50000</v>
      </c>
      <c r="BV128" s="954">
        <f t="shared" si="166"/>
        <v>334197.84707826987</v>
      </c>
      <c r="BW128" s="869">
        <f t="shared" si="155"/>
        <v>7</v>
      </c>
      <c r="BX128" s="954">
        <f t="shared" si="167"/>
        <v>13539847.934104707</v>
      </c>
      <c r="BZ128" s="959">
        <v>46082</v>
      </c>
      <c r="CA128" s="960">
        <f t="shared" si="156"/>
        <v>7</v>
      </c>
      <c r="CB128" s="960">
        <f t="shared" si="151"/>
        <v>8</v>
      </c>
      <c r="CJ128" s="933"/>
      <c r="GI128" s="912"/>
    </row>
    <row r="129" spans="1:191" x14ac:dyDescent="0.2">
      <c r="A129" s="952">
        <f t="shared" si="157"/>
        <v>116</v>
      </c>
      <c r="B129" s="952">
        <f t="shared" si="157"/>
        <v>5</v>
      </c>
      <c r="C129" s="952" t="s">
        <v>558</v>
      </c>
      <c r="D129" s="952"/>
      <c r="E129" s="952" t="s">
        <v>222</v>
      </c>
      <c r="F129" s="869" t="s">
        <v>237</v>
      </c>
      <c r="G129" s="869" t="s">
        <v>119</v>
      </c>
      <c r="H129" s="869" t="s">
        <v>242</v>
      </c>
      <c r="I129" s="869" t="s">
        <v>109</v>
      </c>
      <c r="J129" s="926">
        <v>80.900000000000006</v>
      </c>
      <c r="K129" s="962">
        <v>15.65</v>
      </c>
      <c r="L129" s="962">
        <v>0</v>
      </c>
      <c r="M129" s="926">
        <f t="shared" si="200"/>
        <v>96.550000000000011</v>
      </c>
      <c r="N129" s="926"/>
      <c r="O129" s="926"/>
      <c r="P129" s="965"/>
      <c r="Q129" s="926">
        <f t="shared" si="168"/>
        <v>10678800</v>
      </c>
      <c r="R129" s="926">
        <f t="shared" si="169"/>
        <v>1032900</v>
      </c>
      <c r="S129" s="926">
        <f t="shared" si="153"/>
        <v>11711700</v>
      </c>
      <c r="T129" s="926"/>
      <c r="U129" s="869">
        <f t="shared" si="205"/>
        <v>9</v>
      </c>
      <c r="V129" s="926">
        <f t="shared" si="170"/>
        <v>434475</v>
      </c>
      <c r="W129" s="926"/>
      <c r="X129" s="954">
        <f t="shared" si="171"/>
        <v>58558.5</v>
      </c>
      <c r="Y129" s="926">
        <f>M129*$Y$5</f>
        <v>193100.00000000003</v>
      </c>
      <c r="Z129" s="926">
        <f t="shared" si="202"/>
        <v>96550.000000000015</v>
      </c>
      <c r="AA129" s="961" t="str">
        <f t="shared" si="203"/>
        <v>CORNER</v>
      </c>
      <c r="AB129" s="961" t="s">
        <v>573</v>
      </c>
      <c r="AC129" s="926">
        <f t="shared" si="204"/>
        <v>782683.5</v>
      </c>
      <c r="AD129" s="926"/>
      <c r="AE129" s="956">
        <f t="shared" si="154"/>
        <v>12494383.5</v>
      </c>
      <c r="AF129" s="956">
        <f t="shared" si="160"/>
        <v>384827.01180000004</v>
      </c>
      <c r="AG129" s="957">
        <f t="shared" si="165"/>
        <v>12879210.5118</v>
      </c>
      <c r="AH129" s="919">
        <f t="shared" si="161"/>
        <v>292358.07861786004</v>
      </c>
      <c r="AI129" s="957">
        <f t="shared" si="158"/>
        <v>13171568.59041786</v>
      </c>
      <c r="AJ129" s="919">
        <f t="shared" si="159"/>
        <v>329289.21476044651</v>
      </c>
      <c r="AK129" s="920">
        <f t="shared" si="162"/>
        <v>13500857.805178307</v>
      </c>
      <c r="AL129" s="919">
        <f t="shared" si="123"/>
        <v>337521.44512945769</v>
      </c>
      <c r="AM129" s="982">
        <f t="shared" si="144"/>
        <v>13838379.250307765</v>
      </c>
      <c r="AN129" s="919">
        <f t="shared" si="124"/>
        <v>345959.48125769413</v>
      </c>
      <c r="AO129" s="920">
        <f t="shared" si="145"/>
        <v>14184338.731565459</v>
      </c>
      <c r="AP129" s="919">
        <f t="shared" si="176"/>
        <v>354608.46828913648</v>
      </c>
      <c r="AQ129" s="920">
        <f t="shared" si="177"/>
        <v>14538947.199854596</v>
      </c>
      <c r="AR129" s="919">
        <f t="shared" si="178"/>
        <v>436168.41599563783</v>
      </c>
      <c r="AS129" s="920">
        <f t="shared" si="179"/>
        <v>14975115.615850233</v>
      </c>
      <c r="AT129" s="920">
        <f t="shared" si="146"/>
        <v>449253.46847550693</v>
      </c>
      <c r="AU129" s="919">
        <f t="shared" si="180"/>
        <v>599004.62463400932</v>
      </c>
      <c r="AV129" s="919"/>
      <c r="AW129" s="920">
        <f t="shared" si="181"/>
        <v>15574120.240484241</v>
      </c>
      <c r="AX129" s="920">
        <f t="shared" si="147"/>
        <v>467223.6072145272</v>
      </c>
      <c r="AY129" s="919">
        <f t="shared" si="182"/>
        <v>622964.80961936968</v>
      </c>
      <c r="AZ129" s="919"/>
      <c r="BA129" s="920">
        <f t="shared" si="183"/>
        <v>16197085.05010361</v>
      </c>
      <c r="BB129" s="920">
        <f t="shared" si="148"/>
        <v>485912.55150310829</v>
      </c>
      <c r="BC129" s="919">
        <f t="shared" si="184"/>
        <v>647883.40200414439</v>
      </c>
      <c r="BD129" s="919"/>
      <c r="BE129" s="975">
        <f t="shared" si="185"/>
        <v>16844968.452107754</v>
      </c>
      <c r="BF129" s="975">
        <f t="shared" si="149"/>
        <v>505349.05356323259</v>
      </c>
      <c r="BG129" s="919">
        <f t="shared" si="186"/>
        <v>673798.7380843102</v>
      </c>
      <c r="BH129" s="975"/>
      <c r="BI129" s="975">
        <f t="shared" si="187"/>
        <v>17518767.190192062</v>
      </c>
      <c r="BJ129" s="975">
        <f t="shared" si="150"/>
        <v>525563.01570576185</v>
      </c>
      <c r="BK129" s="919">
        <f t="shared" si="188"/>
        <v>700750.68760768254</v>
      </c>
      <c r="BL129" s="975"/>
      <c r="BM129" s="975">
        <f t="shared" si="189"/>
        <v>18219517.877799746</v>
      </c>
      <c r="BN129" s="926">
        <f t="shared" si="190"/>
        <v>1366463.8408349808</v>
      </c>
      <c r="BO129" s="926">
        <f t="shared" si="191"/>
        <v>455487.94694499369</v>
      </c>
      <c r="BP129" s="926">
        <f t="shared" si="192"/>
        <v>2186342.1453359695</v>
      </c>
      <c r="BQ129" s="926">
        <f t="shared" si="193"/>
        <v>22227811.810915686</v>
      </c>
      <c r="BR129" s="926">
        <f t="shared" si="194"/>
        <v>230220.73341186621</v>
      </c>
      <c r="BS129" s="963">
        <v>0.15</v>
      </c>
      <c r="BT129" s="954">
        <f t="shared" si="198"/>
        <v>3334171.7716373526</v>
      </c>
      <c r="BU129" s="926">
        <f t="shared" si="199"/>
        <v>50000</v>
      </c>
      <c r="BV129" s="954">
        <f t="shared" si="166"/>
        <v>469167.39594819321</v>
      </c>
      <c r="BW129" s="869">
        <f t="shared" si="155"/>
        <v>7</v>
      </c>
      <c r="BX129" s="954">
        <f t="shared" si="167"/>
        <v>18893640.039278332</v>
      </c>
      <c r="BZ129" s="959">
        <v>46082</v>
      </c>
      <c r="CA129" s="960">
        <f t="shared" si="156"/>
        <v>7</v>
      </c>
      <c r="CB129" s="960">
        <f t="shared" si="151"/>
        <v>8</v>
      </c>
      <c r="CJ129" s="933"/>
      <c r="GI129" s="912"/>
    </row>
    <row r="130" spans="1:191" x14ac:dyDescent="0.2">
      <c r="A130" s="952">
        <f t="shared" si="157"/>
        <v>117</v>
      </c>
      <c r="B130" s="952">
        <f t="shared" si="157"/>
        <v>6</v>
      </c>
      <c r="C130" s="952" t="s">
        <v>558</v>
      </c>
      <c r="D130" s="952"/>
      <c r="E130" s="952" t="s">
        <v>222</v>
      </c>
      <c r="F130" s="869" t="s">
        <v>237</v>
      </c>
      <c r="G130" s="869" t="s">
        <v>121</v>
      </c>
      <c r="H130" s="869" t="s">
        <v>243</v>
      </c>
      <c r="I130" s="869" t="s">
        <v>109</v>
      </c>
      <c r="J130" s="926">
        <v>61.56</v>
      </c>
      <c r="K130" s="962">
        <v>4.0999999999999996</v>
      </c>
      <c r="L130" s="962">
        <v>0</v>
      </c>
      <c r="M130" s="926">
        <f t="shared" si="200"/>
        <v>65.66</v>
      </c>
      <c r="N130" s="926"/>
      <c r="O130" s="926"/>
      <c r="P130" s="965"/>
      <c r="Q130" s="926">
        <f t="shared" si="168"/>
        <v>8125920</v>
      </c>
      <c r="R130" s="926">
        <f t="shared" si="169"/>
        <v>270600</v>
      </c>
      <c r="S130" s="926">
        <f t="shared" si="153"/>
        <v>8396520</v>
      </c>
      <c r="T130" s="926"/>
      <c r="U130" s="869">
        <f t="shared" si="205"/>
        <v>9</v>
      </c>
      <c r="V130" s="926">
        <f t="shared" si="170"/>
        <v>295469.99999999994</v>
      </c>
      <c r="W130" s="926"/>
      <c r="X130" s="954">
        <f t="shared" si="171"/>
        <v>41982.6</v>
      </c>
      <c r="Y130" s="961"/>
      <c r="Z130" s="926"/>
      <c r="AA130" s="961" t="str">
        <f t="shared" si="203"/>
        <v>INNER</v>
      </c>
      <c r="AB130" s="961"/>
      <c r="AC130" s="926">
        <f t="shared" si="204"/>
        <v>337452.59999999992</v>
      </c>
      <c r="AD130" s="926"/>
      <c r="AE130" s="956">
        <f t="shared" si="154"/>
        <v>8733972.5999999996</v>
      </c>
      <c r="AF130" s="956">
        <f t="shared" si="160"/>
        <v>269006.35608</v>
      </c>
      <c r="AG130" s="957">
        <f t="shared" si="165"/>
        <v>9002978.956079999</v>
      </c>
      <c r="AH130" s="919">
        <f t="shared" si="161"/>
        <v>204367.62230301599</v>
      </c>
      <c r="AI130" s="957">
        <f t="shared" si="158"/>
        <v>9207346.5783830155</v>
      </c>
      <c r="AJ130" s="919">
        <f t="shared" si="159"/>
        <v>230183.6644595754</v>
      </c>
      <c r="AK130" s="920">
        <f t="shared" si="162"/>
        <v>9437530.2428425904</v>
      </c>
      <c r="AL130" s="919">
        <f t="shared" si="123"/>
        <v>235938.25607106477</v>
      </c>
      <c r="AM130" s="982">
        <f t="shared" si="144"/>
        <v>9673468.4989136551</v>
      </c>
      <c r="AN130" s="919">
        <f t="shared" si="124"/>
        <v>241836.71247284138</v>
      </c>
      <c r="AO130" s="920">
        <f t="shared" si="145"/>
        <v>9915305.2113864962</v>
      </c>
      <c r="AP130" s="919">
        <f t="shared" si="176"/>
        <v>247882.63028466242</v>
      </c>
      <c r="AQ130" s="920">
        <f t="shared" si="177"/>
        <v>10163187.841671159</v>
      </c>
      <c r="AR130" s="919">
        <f t="shared" si="178"/>
        <v>304895.6352501348</v>
      </c>
      <c r="AS130" s="920">
        <f t="shared" si="179"/>
        <v>10468083.476921294</v>
      </c>
      <c r="AT130" s="920">
        <f t="shared" si="146"/>
        <v>314042.5043076388</v>
      </c>
      <c r="AU130" s="919">
        <f t="shared" si="180"/>
        <v>418723.33907685179</v>
      </c>
      <c r="AV130" s="919"/>
      <c r="AW130" s="920">
        <f t="shared" si="181"/>
        <v>10886806.815998146</v>
      </c>
      <c r="AX130" s="920">
        <f t="shared" si="147"/>
        <v>326604.20447994437</v>
      </c>
      <c r="AY130" s="919">
        <f t="shared" si="182"/>
        <v>435472.27263992588</v>
      </c>
      <c r="AZ130" s="919"/>
      <c r="BA130" s="920">
        <f t="shared" si="183"/>
        <v>11322279.088638073</v>
      </c>
      <c r="BB130" s="920">
        <f t="shared" si="148"/>
        <v>339668.37265914219</v>
      </c>
      <c r="BC130" s="919">
        <f t="shared" si="184"/>
        <v>452891.1635455229</v>
      </c>
      <c r="BD130" s="919"/>
      <c r="BE130" s="975">
        <f t="shared" si="185"/>
        <v>11775170.252183596</v>
      </c>
      <c r="BF130" s="975">
        <f t="shared" si="149"/>
        <v>353255.10756550787</v>
      </c>
      <c r="BG130" s="919">
        <f t="shared" si="186"/>
        <v>471006.81008734385</v>
      </c>
      <c r="BH130" s="975"/>
      <c r="BI130" s="975">
        <f t="shared" si="187"/>
        <v>12246177.062270939</v>
      </c>
      <c r="BJ130" s="975">
        <f t="shared" si="150"/>
        <v>367385.31186812819</v>
      </c>
      <c r="BK130" s="919">
        <f t="shared" si="188"/>
        <v>489847.08249083761</v>
      </c>
      <c r="BL130" s="975"/>
      <c r="BM130" s="975">
        <f t="shared" si="189"/>
        <v>12736024.144761777</v>
      </c>
      <c r="BN130" s="926">
        <f t="shared" si="190"/>
        <v>955201.81085713324</v>
      </c>
      <c r="BO130" s="926">
        <f t="shared" si="191"/>
        <v>318400.60361904441</v>
      </c>
      <c r="BP130" s="926">
        <f t="shared" si="192"/>
        <v>1528322.8973714132</v>
      </c>
      <c r="BQ130" s="926">
        <f t="shared" si="193"/>
        <v>15537949.456609368</v>
      </c>
      <c r="BR130" s="926">
        <f t="shared" si="194"/>
        <v>236642.54426758102</v>
      </c>
      <c r="BS130" s="963">
        <v>0.15</v>
      </c>
      <c r="BT130" s="954">
        <f t="shared" si="198"/>
        <v>2330692.418491405</v>
      </c>
      <c r="BU130" s="926">
        <f t="shared" si="199"/>
        <v>50000</v>
      </c>
      <c r="BV130" s="954">
        <f t="shared" si="166"/>
        <v>325813.20264162926</v>
      </c>
      <c r="BW130" s="869">
        <f t="shared" si="155"/>
        <v>7</v>
      </c>
      <c r="BX130" s="954">
        <f t="shared" si="167"/>
        <v>13207257.038117964</v>
      </c>
      <c r="BZ130" s="959">
        <v>46082</v>
      </c>
      <c r="CA130" s="960">
        <f t="shared" si="156"/>
        <v>7</v>
      </c>
      <c r="CB130" s="960">
        <f t="shared" si="151"/>
        <v>8</v>
      </c>
      <c r="CJ130" s="933"/>
      <c r="GI130" s="912"/>
    </row>
    <row r="131" spans="1:191" x14ac:dyDescent="0.2">
      <c r="A131" s="952">
        <f t="shared" si="157"/>
        <v>118</v>
      </c>
      <c r="B131" s="952">
        <f t="shared" si="157"/>
        <v>7</v>
      </c>
      <c r="C131" s="952" t="s">
        <v>558</v>
      </c>
      <c r="D131" s="952"/>
      <c r="E131" s="952" t="s">
        <v>222</v>
      </c>
      <c r="F131" s="869" t="s">
        <v>237</v>
      </c>
      <c r="G131" s="869" t="s">
        <v>123</v>
      </c>
      <c r="H131" s="869" t="s">
        <v>244</v>
      </c>
      <c r="I131" s="869" t="s">
        <v>109</v>
      </c>
      <c r="J131" s="926">
        <v>95.44</v>
      </c>
      <c r="K131" s="962">
        <v>13.34</v>
      </c>
      <c r="L131" s="962">
        <v>0</v>
      </c>
      <c r="M131" s="926">
        <f t="shared" si="200"/>
        <v>108.78</v>
      </c>
      <c r="N131" s="926"/>
      <c r="O131" s="926"/>
      <c r="P131" s="965"/>
      <c r="Q131" s="926">
        <f t="shared" si="168"/>
        <v>12598080</v>
      </c>
      <c r="R131" s="926">
        <f t="shared" si="169"/>
        <v>880440</v>
      </c>
      <c r="S131" s="926">
        <f t="shared" si="153"/>
        <v>13478520</v>
      </c>
      <c r="T131" s="926"/>
      <c r="U131" s="869">
        <f t="shared" si="205"/>
        <v>9</v>
      </c>
      <c r="V131" s="926">
        <f t="shared" si="170"/>
        <v>489510</v>
      </c>
      <c r="W131" s="926"/>
      <c r="X131" s="954">
        <f t="shared" si="171"/>
        <v>67392.600000000006</v>
      </c>
      <c r="Y131" s="926">
        <f>M131*$Y$5</f>
        <v>217560</v>
      </c>
      <c r="Z131" s="926"/>
      <c r="AA131" s="961" t="str">
        <f t="shared" si="203"/>
        <v>CORNER</v>
      </c>
      <c r="AB131" s="961"/>
      <c r="AC131" s="926">
        <f t="shared" si="204"/>
        <v>774462.6</v>
      </c>
      <c r="AD131" s="926"/>
      <c r="AE131" s="956">
        <f t="shared" si="154"/>
        <v>14252982.6</v>
      </c>
      <c r="AF131" s="956">
        <f t="shared" si="160"/>
        <v>438991.86408000003</v>
      </c>
      <c r="AG131" s="957">
        <f t="shared" si="165"/>
        <v>14691974.46408</v>
      </c>
      <c r="AH131" s="919">
        <f t="shared" si="161"/>
        <v>333507.820334616</v>
      </c>
      <c r="AI131" s="957">
        <f t="shared" si="158"/>
        <v>15025482.284414615</v>
      </c>
      <c r="AJ131" s="919">
        <f t="shared" si="159"/>
        <v>375637.05711036542</v>
      </c>
      <c r="AK131" s="920">
        <f t="shared" si="162"/>
        <v>15401119.341524981</v>
      </c>
      <c r="AL131" s="919">
        <f t="shared" si="123"/>
        <v>385027.98353812454</v>
      </c>
      <c r="AM131" s="982">
        <f t="shared" si="144"/>
        <v>15786147.325063106</v>
      </c>
      <c r="AN131" s="919">
        <f t="shared" si="124"/>
        <v>394653.68312657764</v>
      </c>
      <c r="AO131" s="920">
        <f t="shared" si="145"/>
        <v>16180801.008189684</v>
      </c>
      <c r="AP131" s="919">
        <f t="shared" si="176"/>
        <v>404520.02520474209</v>
      </c>
      <c r="AQ131" s="920">
        <f t="shared" si="177"/>
        <v>16585321.033394426</v>
      </c>
      <c r="AR131" s="919">
        <f t="shared" si="178"/>
        <v>497559.63100183278</v>
      </c>
      <c r="AS131" s="920">
        <f t="shared" si="179"/>
        <v>17082880.66439626</v>
      </c>
      <c r="AT131" s="920">
        <f t="shared" si="146"/>
        <v>512486.41993188777</v>
      </c>
      <c r="AU131" s="919">
        <f t="shared" si="180"/>
        <v>683315.22657585039</v>
      </c>
      <c r="AV131" s="919"/>
      <c r="AW131" s="920">
        <f t="shared" si="181"/>
        <v>17766195.890972111</v>
      </c>
      <c r="AX131" s="920">
        <f t="shared" si="147"/>
        <v>532985.87672916334</v>
      </c>
      <c r="AY131" s="919">
        <f t="shared" si="182"/>
        <v>710647.83563888445</v>
      </c>
      <c r="AZ131" s="919"/>
      <c r="BA131" s="920">
        <f t="shared" si="183"/>
        <v>18476843.726610996</v>
      </c>
      <c r="BB131" s="920">
        <f t="shared" si="148"/>
        <v>554305.31179832981</v>
      </c>
      <c r="BC131" s="919">
        <f t="shared" si="184"/>
        <v>739073.74906443979</v>
      </c>
      <c r="BD131" s="919"/>
      <c r="BE131" s="975">
        <f t="shared" si="185"/>
        <v>19215917.475675434</v>
      </c>
      <c r="BF131" s="975">
        <f t="shared" si="149"/>
        <v>576477.52427026303</v>
      </c>
      <c r="BG131" s="919">
        <f t="shared" si="186"/>
        <v>768636.69902701734</v>
      </c>
      <c r="BH131" s="975"/>
      <c r="BI131" s="975">
        <f t="shared" si="187"/>
        <v>19984554.174702451</v>
      </c>
      <c r="BJ131" s="975">
        <f t="shared" si="150"/>
        <v>599536.62524107355</v>
      </c>
      <c r="BK131" s="919">
        <f t="shared" si="188"/>
        <v>799382.16698809806</v>
      </c>
      <c r="BL131" s="975"/>
      <c r="BM131" s="975">
        <f t="shared" si="189"/>
        <v>20783936.341690548</v>
      </c>
      <c r="BN131" s="926">
        <f t="shared" si="190"/>
        <v>1558795.2256267911</v>
      </c>
      <c r="BO131" s="926">
        <f t="shared" si="191"/>
        <v>519598.40854226373</v>
      </c>
      <c r="BP131" s="926">
        <f t="shared" si="192"/>
        <v>2494072.3610028657</v>
      </c>
      <c r="BQ131" s="926">
        <f t="shared" si="193"/>
        <v>25356402.336862471</v>
      </c>
      <c r="BR131" s="926">
        <f t="shared" si="194"/>
        <v>233098.01743760315</v>
      </c>
      <c r="BS131" s="963">
        <v>0.15</v>
      </c>
      <c r="BT131" s="954">
        <f t="shared" si="198"/>
        <v>3803460.3505293704</v>
      </c>
      <c r="BU131" s="926">
        <f t="shared" si="199"/>
        <v>50000</v>
      </c>
      <c r="BV131" s="954">
        <f t="shared" si="166"/>
        <v>536208.62150419573</v>
      </c>
      <c r="BW131" s="869">
        <f t="shared" si="155"/>
        <v>7</v>
      </c>
      <c r="BX131" s="954">
        <f t="shared" si="167"/>
        <v>21552941.986333102</v>
      </c>
      <c r="BZ131" s="959">
        <v>46082</v>
      </c>
      <c r="CA131" s="960">
        <f t="shared" si="156"/>
        <v>7</v>
      </c>
      <c r="CB131" s="960">
        <f t="shared" si="151"/>
        <v>8</v>
      </c>
      <c r="GI131" s="912"/>
    </row>
    <row r="132" spans="1:191" x14ac:dyDescent="0.2">
      <c r="A132" s="952">
        <f t="shared" si="157"/>
        <v>119</v>
      </c>
      <c r="B132" s="952">
        <f t="shared" si="157"/>
        <v>8</v>
      </c>
      <c r="C132" s="952" t="s">
        <v>558</v>
      </c>
      <c r="D132" s="952"/>
      <c r="E132" s="952" t="s">
        <v>222</v>
      </c>
      <c r="F132" s="869" t="s">
        <v>237</v>
      </c>
      <c r="G132" s="869" t="s">
        <v>125</v>
      </c>
      <c r="H132" s="869" t="s">
        <v>245</v>
      </c>
      <c r="I132" s="869" t="s">
        <v>109</v>
      </c>
      <c r="J132" s="926">
        <v>69.2</v>
      </c>
      <c r="K132" s="962">
        <v>4.7699999999999996</v>
      </c>
      <c r="L132" s="962">
        <v>0</v>
      </c>
      <c r="M132" s="926">
        <f t="shared" si="200"/>
        <v>73.97</v>
      </c>
      <c r="N132" s="926"/>
      <c r="O132" s="926"/>
      <c r="P132" s="965"/>
      <c r="Q132" s="926">
        <f t="shared" si="168"/>
        <v>9134400</v>
      </c>
      <c r="R132" s="926">
        <f t="shared" si="169"/>
        <v>314820</v>
      </c>
      <c r="S132" s="926">
        <f t="shared" si="153"/>
        <v>9449220</v>
      </c>
      <c r="T132" s="926"/>
      <c r="U132" s="869">
        <f t="shared" si="205"/>
        <v>9</v>
      </c>
      <c r="V132" s="926">
        <f t="shared" si="170"/>
        <v>332865</v>
      </c>
      <c r="W132" s="926"/>
      <c r="X132" s="954">
        <f t="shared" si="171"/>
        <v>47246.1</v>
      </c>
      <c r="Y132" s="961"/>
      <c r="Z132" s="926"/>
      <c r="AA132" s="961" t="str">
        <f t="shared" si="203"/>
        <v>INNER</v>
      </c>
      <c r="AB132" s="961"/>
      <c r="AC132" s="926">
        <f t="shared" si="204"/>
        <v>380111.1</v>
      </c>
      <c r="AD132" s="926"/>
      <c r="AE132" s="956">
        <f t="shared" si="154"/>
        <v>9829331.0999999996</v>
      </c>
      <c r="AF132" s="956">
        <f t="shared" si="160"/>
        <v>302743.39788</v>
      </c>
      <c r="AG132" s="957">
        <f t="shared" si="165"/>
        <v>10132074.497879999</v>
      </c>
      <c r="AH132" s="919">
        <f t="shared" si="161"/>
        <v>229998.09110187599</v>
      </c>
      <c r="AI132" s="957">
        <f t="shared" si="158"/>
        <v>10362072.588981874</v>
      </c>
      <c r="AJ132" s="919">
        <f t="shared" si="159"/>
        <v>259051.81472454686</v>
      </c>
      <c r="AK132" s="920">
        <f t="shared" si="162"/>
        <v>10621124.40370642</v>
      </c>
      <c r="AL132" s="919">
        <f t="shared" si="123"/>
        <v>265528.11009266053</v>
      </c>
      <c r="AM132" s="920">
        <f t="shared" si="144"/>
        <v>10886652.513799081</v>
      </c>
      <c r="AN132" s="919">
        <f t="shared" si="124"/>
        <v>272166.31284497702</v>
      </c>
      <c r="AO132" s="920">
        <f t="shared" si="145"/>
        <v>11158818.826644057</v>
      </c>
      <c r="AP132" s="919">
        <f t="shared" si="176"/>
        <v>278970.47066610144</v>
      </c>
      <c r="AQ132" s="920">
        <f t="shared" si="177"/>
        <v>11437789.297310159</v>
      </c>
      <c r="AR132" s="919">
        <f t="shared" si="178"/>
        <v>343133.67891930474</v>
      </c>
      <c r="AS132" s="920">
        <f t="shared" si="179"/>
        <v>11780922.976229463</v>
      </c>
      <c r="AT132" s="920">
        <f t="shared" si="146"/>
        <v>353427.68928688386</v>
      </c>
      <c r="AU132" s="919">
        <f t="shared" si="180"/>
        <v>471236.91904917854</v>
      </c>
      <c r="AV132" s="919">
        <f>AU132-AT132</f>
        <v>117809.22976229468</v>
      </c>
      <c r="AW132" s="920">
        <f t="shared" si="181"/>
        <v>12252159.895278642</v>
      </c>
      <c r="AX132" s="920">
        <f t="shared" si="147"/>
        <v>367564.79685835924</v>
      </c>
      <c r="AY132" s="919">
        <f t="shared" si="182"/>
        <v>490086.39581114566</v>
      </c>
      <c r="AZ132" s="919"/>
      <c r="BA132" s="920">
        <f t="shared" si="183"/>
        <v>12742246.291089788</v>
      </c>
      <c r="BB132" s="920">
        <f t="shared" si="148"/>
        <v>382267.38873269362</v>
      </c>
      <c r="BC132" s="919">
        <f t="shared" si="184"/>
        <v>509689.85164359154</v>
      </c>
      <c r="BD132" s="919"/>
      <c r="BE132" s="975">
        <f t="shared" si="185"/>
        <v>13251936.14273338</v>
      </c>
      <c r="BF132" s="975">
        <f t="shared" si="149"/>
        <v>397558.08428200136</v>
      </c>
      <c r="BG132" s="919">
        <f t="shared" si="186"/>
        <v>530077.44570933527</v>
      </c>
      <c r="BH132" s="975"/>
      <c r="BI132" s="975">
        <f t="shared" si="187"/>
        <v>13782013.588442715</v>
      </c>
      <c r="BJ132" s="975">
        <f t="shared" si="150"/>
        <v>413460.40765328141</v>
      </c>
      <c r="BK132" s="919">
        <f t="shared" si="188"/>
        <v>551280.54353770858</v>
      </c>
      <c r="BL132" s="975"/>
      <c r="BM132" s="975">
        <f t="shared" si="189"/>
        <v>14333294.131980423</v>
      </c>
      <c r="BN132" s="926">
        <f t="shared" si="190"/>
        <v>1074997.0598985318</v>
      </c>
      <c r="BO132" s="926">
        <f t="shared" si="191"/>
        <v>358332.35329951061</v>
      </c>
      <c r="BP132" s="926">
        <f t="shared" si="192"/>
        <v>1719995.2958376508</v>
      </c>
      <c r="BQ132" s="926">
        <f t="shared" si="193"/>
        <v>17486618.841016114</v>
      </c>
      <c r="BR132" s="926">
        <f t="shared" si="194"/>
        <v>236401.4984590525</v>
      </c>
      <c r="BS132" s="963">
        <v>0.15</v>
      </c>
      <c r="BT132" s="954">
        <f t="shared" si="198"/>
        <v>2622992.8261524169</v>
      </c>
      <c r="BU132" s="926">
        <f t="shared" si="199"/>
        <v>50000</v>
      </c>
      <c r="BV132" s="954">
        <f t="shared" si="166"/>
        <v>367570.40373605955</v>
      </c>
      <c r="BW132" s="869">
        <f t="shared" si="155"/>
        <v>7</v>
      </c>
      <c r="BX132" s="954">
        <f t="shared" si="167"/>
        <v>14863626.014863696</v>
      </c>
      <c r="BZ132" s="959">
        <v>46082</v>
      </c>
      <c r="CA132" s="960">
        <f t="shared" si="156"/>
        <v>7</v>
      </c>
      <c r="CB132" s="960">
        <f t="shared" si="151"/>
        <v>8</v>
      </c>
      <c r="GI132" s="912"/>
    </row>
    <row r="133" spans="1:191" x14ac:dyDescent="0.2">
      <c r="A133" s="952">
        <f t="shared" si="157"/>
        <v>120</v>
      </c>
      <c r="B133" s="952">
        <f t="shared" si="157"/>
        <v>9</v>
      </c>
      <c r="C133" s="952" t="s">
        <v>558</v>
      </c>
      <c r="D133" s="952"/>
      <c r="E133" s="952" t="s">
        <v>222</v>
      </c>
      <c r="F133" s="869" t="s">
        <v>237</v>
      </c>
      <c r="G133" s="869" t="s">
        <v>127</v>
      </c>
      <c r="H133" s="869" t="s">
        <v>246</v>
      </c>
      <c r="I133" s="869" t="s">
        <v>109</v>
      </c>
      <c r="J133" s="926">
        <v>69.36</v>
      </c>
      <c r="K133" s="962">
        <v>4.79</v>
      </c>
      <c r="L133" s="962">
        <v>0</v>
      </c>
      <c r="M133" s="926">
        <f t="shared" si="200"/>
        <v>74.150000000000006</v>
      </c>
      <c r="N133" s="926"/>
      <c r="O133" s="926"/>
      <c r="P133" s="965"/>
      <c r="Q133" s="926">
        <f t="shared" si="168"/>
        <v>9155520</v>
      </c>
      <c r="R133" s="926">
        <f t="shared" si="169"/>
        <v>316140</v>
      </c>
      <c r="S133" s="926">
        <f t="shared" si="153"/>
        <v>9471660</v>
      </c>
      <c r="T133" s="926"/>
      <c r="U133" s="869">
        <f t="shared" si="205"/>
        <v>9</v>
      </c>
      <c r="V133" s="926">
        <f t="shared" si="170"/>
        <v>333675</v>
      </c>
      <c r="W133" s="926"/>
      <c r="X133" s="954">
        <f t="shared" si="171"/>
        <v>47358.3</v>
      </c>
      <c r="Y133" s="961"/>
      <c r="Z133" s="926"/>
      <c r="AA133" s="961" t="str">
        <f t="shared" si="203"/>
        <v>INNER</v>
      </c>
      <c r="AB133" s="961"/>
      <c r="AC133" s="926">
        <f t="shared" si="204"/>
        <v>381033.3</v>
      </c>
      <c r="AD133" s="926"/>
      <c r="AE133" s="956">
        <f t="shared" si="154"/>
        <v>9852693.3000000007</v>
      </c>
      <c r="AF133" s="956">
        <f t="shared" si="160"/>
        <v>303462.95364000002</v>
      </c>
      <c r="AG133" s="957">
        <f t="shared" si="165"/>
        <v>10156156.253640002</v>
      </c>
      <c r="AH133" s="919">
        <f t="shared" si="161"/>
        <v>230544.74695762806</v>
      </c>
      <c r="AI133" s="957">
        <f t="shared" si="158"/>
        <v>10386701.00059763</v>
      </c>
      <c r="AJ133" s="919">
        <f t="shared" si="159"/>
        <v>259667.52501494077</v>
      </c>
      <c r="AK133" s="920">
        <f t="shared" si="162"/>
        <v>10646368.52561257</v>
      </c>
      <c r="AL133" s="919">
        <f t="shared" si="123"/>
        <v>266159.21314031427</v>
      </c>
      <c r="AM133" s="920">
        <f t="shared" si="144"/>
        <v>10912527.738752885</v>
      </c>
      <c r="AN133" s="919">
        <f t="shared" si="124"/>
        <v>272813.19346882211</v>
      </c>
      <c r="AO133" s="920">
        <f t="shared" si="145"/>
        <v>11185340.932221707</v>
      </c>
      <c r="AP133" s="919">
        <f t="shared" si="176"/>
        <v>279633.52330554271</v>
      </c>
      <c r="AQ133" s="920">
        <f t="shared" si="177"/>
        <v>11464974.45552725</v>
      </c>
      <c r="AR133" s="919">
        <f t="shared" si="178"/>
        <v>343949.23366581748</v>
      </c>
      <c r="AS133" s="920">
        <f t="shared" si="179"/>
        <v>11808923.689193068</v>
      </c>
      <c r="AT133" s="920">
        <f t="shared" si="146"/>
        <v>354267.71067579201</v>
      </c>
      <c r="AU133" s="919">
        <f t="shared" si="180"/>
        <v>472356.94756772276</v>
      </c>
      <c r="AV133" s="919">
        <f>AU133-AT133</f>
        <v>118089.23689193075</v>
      </c>
      <c r="AW133" s="920">
        <f t="shared" si="181"/>
        <v>12281280.63676079</v>
      </c>
      <c r="AX133" s="920">
        <f t="shared" si="147"/>
        <v>368438.41910282371</v>
      </c>
      <c r="AY133" s="919">
        <f t="shared" si="182"/>
        <v>491251.22547043161</v>
      </c>
      <c r="AZ133" s="919"/>
      <c r="BA133" s="920">
        <f t="shared" si="183"/>
        <v>12772531.862231221</v>
      </c>
      <c r="BB133" s="920">
        <f t="shared" si="148"/>
        <v>383175.95586693659</v>
      </c>
      <c r="BC133" s="919">
        <f t="shared" si="184"/>
        <v>510901.27448924887</v>
      </c>
      <c r="BD133" s="919"/>
      <c r="BE133" s="975">
        <f t="shared" si="185"/>
        <v>13283433.136720469</v>
      </c>
      <c r="BF133" s="975">
        <f t="shared" si="149"/>
        <v>398502.99410161405</v>
      </c>
      <c r="BG133" s="919">
        <f t="shared" si="186"/>
        <v>531337.32546881877</v>
      </c>
      <c r="BH133" s="975"/>
      <c r="BI133" s="975">
        <f t="shared" si="187"/>
        <v>13814770.462189289</v>
      </c>
      <c r="BJ133" s="975">
        <f t="shared" si="150"/>
        <v>414443.11386567866</v>
      </c>
      <c r="BK133" s="919">
        <f t="shared" si="188"/>
        <v>552590.81848757155</v>
      </c>
      <c r="BL133" s="975"/>
      <c r="BM133" s="975">
        <f t="shared" si="189"/>
        <v>14367361.28067686</v>
      </c>
      <c r="BN133" s="926">
        <f t="shared" si="190"/>
        <v>1077552.0960507644</v>
      </c>
      <c r="BO133" s="926">
        <f t="shared" si="191"/>
        <v>359184.03201692156</v>
      </c>
      <c r="BP133" s="926">
        <f t="shared" si="192"/>
        <v>1724083.3536812232</v>
      </c>
      <c r="BQ133" s="926">
        <f t="shared" si="193"/>
        <v>17528180.762425769</v>
      </c>
      <c r="BR133" s="926">
        <f t="shared" si="194"/>
        <v>236388.14244673995</v>
      </c>
      <c r="BS133" s="963">
        <v>0.15</v>
      </c>
      <c r="BT133" s="954">
        <f t="shared" si="198"/>
        <v>2629227.1143638655</v>
      </c>
      <c r="BU133" s="926">
        <f t="shared" si="199"/>
        <v>50000</v>
      </c>
      <c r="BV133" s="954">
        <f t="shared" si="166"/>
        <v>368461.01633769507</v>
      </c>
      <c r="BW133" s="869">
        <f t="shared" si="155"/>
        <v>7</v>
      </c>
      <c r="BX133" s="954">
        <f t="shared" si="167"/>
        <v>14898953.648061903</v>
      </c>
      <c r="BZ133" s="959">
        <v>46082</v>
      </c>
      <c r="CA133" s="960">
        <f t="shared" si="156"/>
        <v>7</v>
      </c>
      <c r="CB133" s="960">
        <f t="shared" si="151"/>
        <v>8</v>
      </c>
      <c r="GI133" s="912"/>
    </row>
    <row r="134" spans="1:191" x14ac:dyDescent="0.2">
      <c r="A134" s="952">
        <f t="shared" si="157"/>
        <v>121</v>
      </c>
      <c r="B134" s="952">
        <f t="shared" si="157"/>
        <v>10</v>
      </c>
      <c r="C134" s="952" t="s">
        <v>104</v>
      </c>
      <c r="D134" s="952"/>
      <c r="E134" s="952" t="s">
        <v>222</v>
      </c>
      <c r="F134" s="869" t="s">
        <v>237</v>
      </c>
      <c r="G134" s="869" t="s">
        <v>129</v>
      </c>
      <c r="H134" s="869" t="s">
        <v>247</v>
      </c>
      <c r="I134" s="869" t="s">
        <v>579</v>
      </c>
      <c r="J134" s="926">
        <v>69.36</v>
      </c>
      <c r="K134" s="962">
        <v>4.79</v>
      </c>
      <c r="L134" s="962">
        <v>0</v>
      </c>
      <c r="M134" s="926">
        <f t="shared" si="200"/>
        <v>74.150000000000006</v>
      </c>
      <c r="N134" s="926"/>
      <c r="O134" s="926"/>
      <c r="P134" s="965"/>
      <c r="Q134" s="926">
        <f t="shared" si="168"/>
        <v>9155520</v>
      </c>
      <c r="R134" s="926">
        <f t="shared" si="169"/>
        <v>316140</v>
      </c>
      <c r="S134" s="926">
        <f t="shared" si="153"/>
        <v>9471660</v>
      </c>
      <c r="T134" s="926"/>
      <c r="U134" s="869">
        <f t="shared" si="205"/>
        <v>9</v>
      </c>
      <c r="V134" s="926">
        <f t="shared" si="170"/>
        <v>333675</v>
      </c>
      <c r="W134" s="926"/>
      <c r="X134" s="954">
        <f t="shared" si="171"/>
        <v>47358.3</v>
      </c>
      <c r="Y134" s="961"/>
      <c r="Z134" s="926"/>
      <c r="AA134" s="961" t="str">
        <f t="shared" si="203"/>
        <v>INNER</v>
      </c>
      <c r="AB134" s="961"/>
      <c r="AC134" s="926">
        <f t="shared" ref="AC134:AC137" si="206">SUM(V134:Z134)</f>
        <v>381033.3</v>
      </c>
      <c r="AD134" s="926"/>
      <c r="AE134" s="956">
        <f t="shared" si="154"/>
        <v>9852693.3000000007</v>
      </c>
      <c r="AF134" s="956">
        <f t="shared" si="160"/>
        <v>303462.95364000002</v>
      </c>
      <c r="AG134" s="957">
        <f t="shared" si="165"/>
        <v>10156156.253640002</v>
      </c>
      <c r="AH134" s="919">
        <f t="shared" si="161"/>
        <v>230544.74695762806</v>
      </c>
      <c r="AI134" s="957">
        <f t="shared" si="158"/>
        <v>10386701.00059763</v>
      </c>
      <c r="AJ134" s="919">
        <f t="shared" si="159"/>
        <v>259667.52501494077</v>
      </c>
      <c r="AK134" s="920">
        <f t="shared" si="162"/>
        <v>10646368.52561257</v>
      </c>
      <c r="AL134" s="919">
        <f t="shared" si="123"/>
        <v>266159.21314031427</v>
      </c>
      <c r="AM134" s="920">
        <f t="shared" si="144"/>
        <v>10912527.738752885</v>
      </c>
      <c r="AN134" s="919">
        <f t="shared" si="124"/>
        <v>272813.19346882211</v>
      </c>
      <c r="AO134" s="920">
        <f t="shared" si="145"/>
        <v>11185340.932221707</v>
      </c>
      <c r="AP134" s="919">
        <f t="shared" si="176"/>
        <v>279633.52330554271</v>
      </c>
      <c r="AQ134" s="920">
        <f t="shared" si="177"/>
        <v>11464974.45552725</v>
      </c>
      <c r="AR134" s="919">
        <f t="shared" si="178"/>
        <v>343949.23366581748</v>
      </c>
      <c r="AS134" s="920">
        <f t="shared" si="179"/>
        <v>11808923.689193068</v>
      </c>
      <c r="AT134" s="920">
        <f t="shared" si="146"/>
        <v>354267.71067579201</v>
      </c>
      <c r="AU134" s="919">
        <f t="shared" si="180"/>
        <v>472356.94756772276</v>
      </c>
      <c r="AV134" s="919">
        <f>AU134-AT134</f>
        <v>118089.23689193075</v>
      </c>
      <c r="AW134" s="920">
        <f t="shared" si="181"/>
        <v>12281280.63676079</v>
      </c>
      <c r="AX134" s="920">
        <f t="shared" si="147"/>
        <v>368438.41910282371</v>
      </c>
      <c r="AY134" s="919">
        <f t="shared" si="182"/>
        <v>491251.22547043161</v>
      </c>
      <c r="AZ134" s="919"/>
      <c r="BA134" s="920">
        <f t="shared" si="183"/>
        <v>12772531.862231221</v>
      </c>
      <c r="BB134" s="920">
        <f t="shared" si="148"/>
        <v>383175.95586693659</v>
      </c>
      <c r="BC134" s="919">
        <f t="shared" si="184"/>
        <v>510901.27448924887</v>
      </c>
      <c r="BD134" s="919"/>
      <c r="BE134" s="975">
        <f t="shared" si="185"/>
        <v>13283433.136720469</v>
      </c>
      <c r="BF134" s="975">
        <f t="shared" si="149"/>
        <v>398502.99410161405</v>
      </c>
      <c r="BG134" s="919">
        <f t="shared" si="186"/>
        <v>531337.32546881877</v>
      </c>
      <c r="BH134" s="975"/>
      <c r="BI134" s="975">
        <f t="shared" si="187"/>
        <v>13814770.462189289</v>
      </c>
      <c r="BJ134" s="975">
        <f t="shared" si="150"/>
        <v>414443.11386567866</v>
      </c>
      <c r="BK134" s="919">
        <f t="shared" si="188"/>
        <v>552590.81848757155</v>
      </c>
      <c r="BL134" s="975"/>
      <c r="BM134" s="975">
        <f t="shared" si="189"/>
        <v>14367361.28067686</v>
      </c>
      <c r="BN134" s="926">
        <f t="shared" si="190"/>
        <v>1077552.0960507644</v>
      </c>
      <c r="BO134" s="926">
        <f t="shared" si="191"/>
        <v>359184.03201692156</v>
      </c>
      <c r="BP134" s="926">
        <f t="shared" si="192"/>
        <v>1724083.3536812232</v>
      </c>
      <c r="BQ134" s="926">
        <f t="shared" si="193"/>
        <v>17528180.762425769</v>
      </c>
      <c r="BR134" s="926">
        <f t="shared" si="194"/>
        <v>236388.14244673995</v>
      </c>
      <c r="BS134" s="963">
        <v>0.15</v>
      </c>
      <c r="BT134" s="954">
        <f t="shared" si="198"/>
        <v>2629227.1143638655</v>
      </c>
      <c r="BU134" s="926">
        <f t="shared" si="199"/>
        <v>50000</v>
      </c>
      <c r="BV134" s="954">
        <f t="shared" si="166"/>
        <v>368461.01633769507</v>
      </c>
      <c r="BW134" s="869">
        <f t="shared" si="155"/>
        <v>7</v>
      </c>
      <c r="BX134" s="954">
        <f t="shared" si="167"/>
        <v>14898953.648061903</v>
      </c>
      <c r="BZ134" s="959">
        <v>46082</v>
      </c>
      <c r="CA134" s="960">
        <f t="shared" si="156"/>
        <v>7</v>
      </c>
      <c r="CB134" s="960">
        <f t="shared" si="151"/>
        <v>8</v>
      </c>
      <c r="GI134" s="912"/>
    </row>
    <row r="135" spans="1:191" x14ac:dyDescent="0.2">
      <c r="A135" s="952">
        <f t="shared" si="157"/>
        <v>122</v>
      </c>
      <c r="B135" s="952">
        <f t="shared" si="157"/>
        <v>11</v>
      </c>
      <c r="C135" s="952" t="s">
        <v>558</v>
      </c>
      <c r="D135" s="952"/>
      <c r="E135" s="952" t="s">
        <v>222</v>
      </c>
      <c r="F135" s="869" t="s">
        <v>237</v>
      </c>
      <c r="G135" s="869" t="s">
        <v>131</v>
      </c>
      <c r="H135" s="869" t="s">
        <v>248</v>
      </c>
      <c r="I135" s="869" t="s">
        <v>109</v>
      </c>
      <c r="J135" s="926">
        <v>69.36</v>
      </c>
      <c r="K135" s="962">
        <v>4.79</v>
      </c>
      <c r="L135" s="962">
        <v>0</v>
      </c>
      <c r="M135" s="926">
        <f t="shared" si="200"/>
        <v>74.150000000000006</v>
      </c>
      <c r="N135" s="926"/>
      <c r="O135" s="926"/>
      <c r="P135" s="965"/>
      <c r="Q135" s="926">
        <f t="shared" si="168"/>
        <v>9155520</v>
      </c>
      <c r="R135" s="926">
        <f t="shared" si="169"/>
        <v>316140</v>
      </c>
      <c r="S135" s="926">
        <f t="shared" si="153"/>
        <v>9471660</v>
      </c>
      <c r="T135" s="926"/>
      <c r="U135" s="869">
        <f t="shared" si="205"/>
        <v>9</v>
      </c>
      <c r="V135" s="926">
        <f t="shared" si="170"/>
        <v>333675</v>
      </c>
      <c r="W135" s="926"/>
      <c r="X135" s="954">
        <f t="shared" si="171"/>
        <v>47358.3</v>
      </c>
      <c r="Y135" s="961"/>
      <c r="Z135" s="926"/>
      <c r="AA135" s="961" t="str">
        <f t="shared" si="203"/>
        <v>INNER</v>
      </c>
      <c r="AB135" s="961"/>
      <c r="AC135" s="926">
        <f t="shared" si="206"/>
        <v>381033.3</v>
      </c>
      <c r="AD135" s="926"/>
      <c r="AE135" s="956">
        <f t="shared" si="154"/>
        <v>9852693.3000000007</v>
      </c>
      <c r="AF135" s="956">
        <f t="shared" si="160"/>
        <v>303462.95364000002</v>
      </c>
      <c r="AG135" s="957">
        <f t="shared" si="165"/>
        <v>10156156.253640002</v>
      </c>
      <c r="AH135" s="919">
        <f t="shared" si="161"/>
        <v>230544.74695762806</v>
      </c>
      <c r="AI135" s="957">
        <f t="shared" si="158"/>
        <v>10386701.00059763</v>
      </c>
      <c r="AJ135" s="919">
        <f t="shared" si="159"/>
        <v>259667.52501494077</v>
      </c>
      <c r="AK135" s="920">
        <f t="shared" si="162"/>
        <v>10646368.52561257</v>
      </c>
      <c r="AL135" s="919">
        <f t="shared" ref="AL135:AL150" si="207">AK135*$AJ$5</f>
        <v>266159.21314031427</v>
      </c>
      <c r="AM135" s="920">
        <f t="shared" si="144"/>
        <v>10912527.738752885</v>
      </c>
      <c r="AN135" s="919">
        <f t="shared" ref="AN135:AN152" si="208">AM135*$AJ$5</f>
        <v>272813.19346882211</v>
      </c>
      <c r="AO135" s="920">
        <f t="shared" si="145"/>
        <v>11185340.932221707</v>
      </c>
      <c r="AP135" s="919">
        <f t="shared" ref="AP135:AP152" si="209">AO135*$AP$5</f>
        <v>279633.52330554271</v>
      </c>
      <c r="AQ135" s="920">
        <f t="shared" ref="AQ135:AQ150" si="210">AO135+AP135</f>
        <v>11464974.45552725</v>
      </c>
      <c r="AR135" s="919">
        <f t="shared" ref="AR135:AR150" si="211">AQ135*$AR$5</f>
        <v>343949.23366581748</v>
      </c>
      <c r="AS135" s="920">
        <f t="shared" ref="AS135:AS150" si="212">AQ135+AR135</f>
        <v>11808923.689193068</v>
      </c>
      <c r="AT135" s="920">
        <f t="shared" si="146"/>
        <v>354267.71067579201</v>
      </c>
      <c r="AU135" s="919">
        <f t="shared" ref="AU135:AU150" si="213">AS135*$AU$5</f>
        <v>472356.94756772276</v>
      </c>
      <c r="AV135" s="919"/>
      <c r="AW135" s="920">
        <f t="shared" ref="AW135:AW150" si="214">AS135+AU135</f>
        <v>12281280.63676079</v>
      </c>
      <c r="AX135" s="920">
        <f t="shared" si="147"/>
        <v>368438.41910282371</v>
      </c>
      <c r="AY135" s="919">
        <f t="shared" ref="AY135:AY150" si="215">AW135*$AY$5</f>
        <v>491251.22547043161</v>
      </c>
      <c r="AZ135" s="919"/>
      <c r="BA135" s="920">
        <f t="shared" ref="BA135:BA150" si="216">AW135+AY135</f>
        <v>12772531.862231221</v>
      </c>
      <c r="BB135" s="920">
        <f t="shared" si="148"/>
        <v>383175.95586693659</v>
      </c>
      <c r="BC135" s="919">
        <f t="shared" ref="BC135:BC150" si="217">BA135*$BC$5</f>
        <v>510901.27448924887</v>
      </c>
      <c r="BD135" s="919"/>
      <c r="BE135" s="975">
        <f t="shared" ref="BE135:BE150" si="218">BA135+BC135</f>
        <v>13283433.136720469</v>
      </c>
      <c r="BF135" s="975">
        <f t="shared" si="149"/>
        <v>398502.99410161405</v>
      </c>
      <c r="BG135" s="919">
        <f t="shared" ref="BG135:BG150" si="219">BE135*$BC$5</f>
        <v>531337.32546881877</v>
      </c>
      <c r="BH135" s="975"/>
      <c r="BI135" s="975">
        <f t="shared" ref="BI135:BI150" si="220">BE135+BG135</f>
        <v>13814770.462189289</v>
      </c>
      <c r="BJ135" s="975">
        <f t="shared" si="150"/>
        <v>414443.11386567866</v>
      </c>
      <c r="BK135" s="919">
        <f t="shared" ref="BK135:BK150" si="221">BI135*$BC$5</f>
        <v>552590.81848757155</v>
      </c>
      <c r="BL135" s="975"/>
      <c r="BM135" s="975">
        <f t="shared" ref="BM135:BM150" si="222">BI135+BK135</f>
        <v>14367361.28067686</v>
      </c>
      <c r="BN135" s="926">
        <f t="shared" ref="BN135:BN151" si="223">BM135*$BN$5</f>
        <v>1077552.0960507644</v>
      </c>
      <c r="BO135" s="926">
        <f t="shared" ref="BO135:BO151" si="224">BM135*$BO$5</f>
        <v>359184.03201692156</v>
      </c>
      <c r="BP135" s="926">
        <f t="shared" ref="BP135:BP151" si="225">BM135*$BP$5</f>
        <v>1724083.3536812232</v>
      </c>
      <c r="BQ135" s="926">
        <f t="shared" ref="BQ135:BQ151" si="226">BM135+BN135+BO135+BP135</f>
        <v>17528180.762425769</v>
      </c>
      <c r="BR135" s="926">
        <f t="shared" ref="BR135:BR150" si="227">BQ135/M135</f>
        <v>236388.14244673995</v>
      </c>
      <c r="BS135" s="963">
        <v>0.15</v>
      </c>
      <c r="BT135" s="954">
        <f t="shared" si="198"/>
        <v>2629227.1143638655</v>
      </c>
      <c r="BU135" s="926">
        <f t="shared" si="199"/>
        <v>50000</v>
      </c>
      <c r="BV135" s="954">
        <f t="shared" si="166"/>
        <v>368461.01633769507</v>
      </c>
      <c r="BW135" s="869">
        <f t="shared" si="155"/>
        <v>7</v>
      </c>
      <c r="BX135" s="954">
        <f t="shared" si="167"/>
        <v>14898953.648061903</v>
      </c>
      <c r="BZ135" s="959">
        <v>46082</v>
      </c>
      <c r="CA135" s="960">
        <f t="shared" si="156"/>
        <v>7</v>
      </c>
      <c r="CB135" s="960">
        <f t="shared" si="151"/>
        <v>8</v>
      </c>
      <c r="GI135" s="912"/>
    </row>
    <row r="136" spans="1:191" x14ac:dyDescent="0.2">
      <c r="A136" s="952">
        <f t="shared" si="157"/>
        <v>123</v>
      </c>
      <c r="B136" s="952">
        <f t="shared" si="157"/>
        <v>12</v>
      </c>
      <c r="C136" s="952" t="s">
        <v>558</v>
      </c>
      <c r="D136" s="952" t="s">
        <v>578</v>
      </c>
      <c r="E136" s="952" t="s">
        <v>222</v>
      </c>
      <c r="F136" s="869" t="s">
        <v>237</v>
      </c>
      <c r="G136" s="869" t="s">
        <v>133</v>
      </c>
      <c r="H136" s="869" t="s">
        <v>249</v>
      </c>
      <c r="I136" s="869" t="s">
        <v>109</v>
      </c>
      <c r="J136" s="926">
        <v>83.12</v>
      </c>
      <c r="K136" s="962">
        <v>13.04</v>
      </c>
      <c r="L136" s="962">
        <v>0</v>
      </c>
      <c r="M136" s="926">
        <f t="shared" si="200"/>
        <v>96.16</v>
      </c>
      <c r="N136" s="926"/>
      <c r="O136" s="926"/>
      <c r="P136" s="965"/>
      <c r="Q136" s="926">
        <f t="shared" si="168"/>
        <v>10971840</v>
      </c>
      <c r="R136" s="926">
        <f t="shared" si="169"/>
        <v>860640</v>
      </c>
      <c r="S136" s="926">
        <f t="shared" si="153"/>
        <v>11832480</v>
      </c>
      <c r="T136" s="926"/>
      <c r="U136" s="869">
        <f t="shared" si="205"/>
        <v>9</v>
      </c>
      <c r="V136" s="926">
        <f t="shared" si="170"/>
        <v>432719.99999999994</v>
      </c>
      <c r="W136" s="926"/>
      <c r="X136" s="954">
        <f t="shared" si="171"/>
        <v>59162.400000000001</v>
      </c>
      <c r="Y136" s="926">
        <f>M136*$Y$5</f>
        <v>192320</v>
      </c>
      <c r="Z136" s="926"/>
      <c r="AA136" s="961" t="str">
        <f t="shared" si="203"/>
        <v>CORNER</v>
      </c>
      <c r="AB136" s="961"/>
      <c r="AC136" s="926">
        <f t="shared" si="206"/>
        <v>684202.39999999991</v>
      </c>
      <c r="AD136" s="926"/>
      <c r="AE136" s="956">
        <f t="shared" si="154"/>
        <v>12516682.4</v>
      </c>
      <c r="AF136" s="956">
        <f t="shared" si="160"/>
        <v>385513.81792</v>
      </c>
      <c r="AG136" s="957">
        <f t="shared" si="165"/>
        <v>12902196.21792</v>
      </c>
      <c r="AH136" s="919">
        <f t="shared" si="161"/>
        <v>292879.854146784</v>
      </c>
      <c r="AI136" s="957">
        <f t="shared" si="158"/>
        <v>13195076.072066784</v>
      </c>
      <c r="AJ136" s="919">
        <f t="shared" si="159"/>
        <v>329876.90180166962</v>
      </c>
      <c r="AK136" s="920">
        <f t="shared" si="162"/>
        <v>13524952.973868454</v>
      </c>
      <c r="AL136" s="919">
        <f t="shared" si="207"/>
        <v>338123.82434671139</v>
      </c>
      <c r="AM136" s="982">
        <f t="shared" ref="AM136:AM150" si="228">AK136+AL136</f>
        <v>13863076.798215166</v>
      </c>
      <c r="AN136" s="919">
        <f t="shared" si="208"/>
        <v>346576.91995537915</v>
      </c>
      <c r="AO136" s="920">
        <f t="shared" ref="AO136:AO152" si="229">AM136+AN136</f>
        <v>14209653.718170544</v>
      </c>
      <c r="AP136" s="919">
        <f t="shared" si="209"/>
        <v>355241.34295426361</v>
      </c>
      <c r="AQ136" s="920">
        <f t="shared" si="210"/>
        <v>14564895.061124807</v>
      </c>
      <c r="AR136" s="919">
        <f t="shared" si="211"/>
        <v>436946.85183374421</v>
      </c>
      <c r="AS136" s="920">
        <f t="shared" si="212"/>
        <v>15001841.912958551</v>
      </c>
      <c r="AT136" s="920">
        <f t="shared" ref="AT136:AT150" si="230">AS136*$AT$5</f>
        <v>450055.25738875649</v>
      </c>
      <c r="AU136" s="919">
        <f t="shared" si="213"/>
        <v>600073.67651834211</v>
      </c>
      <c r="AV136" s="919"/>
      <c r="AW136" s="920">
        <f t="shared" si="214"/>
        <v>15601915.589476893</v>
      </c>
      <c r="AX136" s="920">
        <f t="shared" ref="AX136:AX150" si="231">AW136*$AX$5</f>
        <v>468057.46768430679</v>
      </c>
      <c r="AY136" s="919">
        <f t="shared" si="215"/>
        <v>624076.62357907568</v>
      </c>
      <c r="AZ136" s="919"/>
      <c r="BA136" s="920">
        <f t="shared" si="216"/>
        <v>16225992.213055968</v>
      </c>
      <c r="BB136" s="920">
        <f t="shared" ref="BB136:BB150" si="232">BA136*$BB$5</f>
        <v>486779.766391679</v>
      </c>
      <c r="BC136" s="919">
        <f t="shared" si="217"/>
        <v>649039.68852223875</v>
      </c>
      <c r="BD136" s="919"/>
      <c r="BE136" s="975">
        <f t="shared" si="218"/>
        <v>16875031.901578207</v>
      </c>
      <c r="BF136" s="975">
        <f t="shared" ref="BF136:BF150" si="233">BE136*$BF$5</f>
        <v>506250.95704734616</v>
      </c>
      <c r="BG136" s="919">
        <f t="shared" si="219"/>
        <v>675001.27606312826</v>
      </c>
      <c r="BH136" s="975"/>
      <c r="BI136" s="975">
        <f t="shared" si="220"/>
        <v>17550033.177641336</v>
      </c>
      <c r="BJ136" s="975">
        <f t="shared" ref="BJ136:BJ150" si="234">BI136*$BJ$5</f>
        <v>526500.9953292401</v>
      </c>
      <c r="BK136" s="919">
        <f t="shared" si="221"/>
        <v>702001.32710565347</v>
      </c>
      <c r="BL136" s="975"/>
      <c r="BM136" s="975">
        <f t="shared" si="222"/>
        <v>18252034.504746988</v>
      </c>
      <c r="BN136" s="926">
        <f t="shared" si="223"/>
        <v>1368902.587856024</v>
      </c>
      <c r="BO136" s="926">
        <f t="shared" si="224"/>
        <v>456300.86261867476</v>
      </c>
      <c r="BP136" s="926">
        <f t="shared" si="225"/>
        <v>2190244.1405696385</v>
      </c>
      <c r="BQ136" s="926">
        <f t="shared" si="226"/>
        <v>22267482.095791325</v>
      </c>
      <c r="BR136" s="926">
        <f t="shared" si="227"/>
        <v>231566.99350864525</v>
      </c>
      <c r="BS136" s="963">
        <v>0.15</v>
      </c>
      <c r="BT136" s="954">
        <f t="shared" si="198"/>
        <v>3340122.3143686987</v>
      </c>
      <c r="BU136" s="926">
        <f t="shared" si="199"/>
        <v>50000</v>
      </c>
      <c r="BV136" s="954">
        <f t="shared" si="166"/>
        <v>470017.47348124266</v>
      </c>
      <c r="BW136" s="869">
        <f t="shared" si="155"/>
        <v>7</v>
      </c>
      <c r="BX136" s="954">
        <f t="shared" si="167"/>
        <v>18927359.781422626</v>
      </c>
      <c r="BZ136" s="959">
        <v>46082</v>
      </c>
      <c r="CA136" s="960">
        <f t="shared" si="156"/>
        <v>7</v>
      </c>
      <c r="CB136" s="960">
        <f t="shared" ref="CB136:CB150" si="235">CA136+1</f>
        <v>8</v>
      </c>
      <c r="GI136" s="912"/>
    </row>
    <row r="137" spans="1:191" x14ac:dyDescent="0.2">
      <c r="A137" s="952">
        <f t="shared" si="157"/>
        <v>124</v>
      </c>
      <c r="B137" s="952">
        <f t="shared" si="157"/>
        <v>13</v>
      </c>
      <c r="C137" s="952" t="s">
        <v>104</v>
      </c>
      <c r="D137" s="952"/>
      <c r="E137" s="952" t="s">
        <v>222</v>
      </c>
      <c r="F137" s="869" t="s">
        <v>237</v>
      </c>
      <c r="G137" s="869" t="s">
        <v>136</v>
      </c>
      <c r="H137" s="869" t="s">
        <v>250</v>
      </c>
      <c r="I137" s="869" t="s">
        <v>113</v>
      </c>
      <c r="J137" s="926">
        <v>52.04</v>
      </c>
      <c r="K137" s="962">
        <v>3.1</v>
      </c>
      <c r="L137" s="962">
        <v>0</v>
      </c>
      <c r="M137" s="926">
        <f t="shared" si="200"/>
        <v>55.14</v>
      </c>
      <c r="N137" s="926"/>
      <c r="O137" s="926"/>
      <c r="P137" s="965"/>
      <c r="Q137" s="926">
        <f t="shared" si="168"/>
        <v>6869280</v>
      </c>
      <c r="R137" s="926">
        <f t="shared" si="169"/>
        <v>204600</v>
      </c>
      <c r="S137" s="926">
        <f t="shared" si="153"/>
        <v>7073880</v>
      </c>
      <c r="T137" s="926"/>
      <c r="U137" s="869">
        <f t="shared" si="205"/>
        <v>9</v>
      </c>
      <c r="V137" s="926">
        <f t="shared" si="170"/>
        <v>248130</v>
      </c>
      <c r="W137" s="926"/>
      <c r="X137" s="954">
        <f t="shared" si="171"/>
        <v>35369.4</v>
      </c>
      <c r="Y137" s="961"/>
      <c r="Z137" s="926"/>
      <c r="AA137" s="961" t="str">
        <f t="shared" si="203"/>
        <v>INNER</v>
      </c>
      <c r="AB137" s="961"/>
      <c r="AC137" s="926">
        <f t="shared" si="206"/>
        <v>283499.40000000002</v>
      </c>
      <c r="AD137" s="926"/>
      <c r="AE137" s="956">
        <f t="shared" si="154"/>
        <v>7357379.4000000004</v>
      </c>
      <c r="AF137" s="956">
        <f t="shared" si="160"/>
        <v>226607.28552</v>
      </c>
      <c r="AG137" s="957">
        <f t="shared" si="165"/>
        <v>7583986.6855200008</v>
      </c>
      <c r="AH137" s="919">
        <f t="shared" si="161"/>
        <v>172156.49776130402</v>
      </c>
      <c r="AI137" s="957">
        <f t="shared" si="158"/>
        <v>7756143.1832813043</v>
      </c>
      <c r="AJ137" s="919">
        <f t="shared" si="159"/>
        <v>193903.57958203263</v>
      </c>
      <c r="AK137" s="920">
        <f t="shared" si="162"/>
        <v>7950046.7628633371</v>
      </c>
      <c r="AL137" s="919">
        <f t="shared" si="207"/>
        <v>198751.16907158343</v>
      </c>
      <c r="AM137" s="982">
        <f t="shared" si="228"/>
        <v>8148797.9319349201</v>
      </c>
      <c r="AN137" s="919">
        <f t="shared" si="208"/>
        <v>203719.94829837303</v>
      </c>
      <c r="AO137" s="920">
        <f t="shared" si="229"/>
        <v>8352517.8802332934</v>
      </c>
      <c r="AP137" s="919">
        <f t="shared" si="209"/>
        <v>208812.94700583233</v>
      </c>
      <c r="AQ137" s="920">
        <f t="shared" si="210"/>
        <v>8561330.827239126</v>
      </c>
      <c r="AR137" s="919">
        <f t="shared" si="211"/>
        <v>256839.92481717377</v>
      </c>
      <c r="AS137" s="920">
        <f t="shared" si="212"/>
        <v>8818170.7520563006</v>
      </c>
      <c r="AT137" s="920">
        <f t="shared" si="230"/>
        <v>264545.122561689</v>
      </c>
      <c r="AU137" s="919">
        <f t="shared" si="213"/>
        <v>352726.83008225204</v>
      </c>
      <c r="AV137" s="919"/>
      <c r="AW137" s="920">
        <f t="shared" si="214"/>
        <v>9170897.5821385533</v>
      </c>
      <c r="AX137" s="920">
        <f t="shared" si="231"/>
        <v>275126.92746415659</v>
      </c>
      <c r="AY137" s="919">
        <f t="shared" si="215"/>
        <v>366835.90328554215</v>
      </c>
      <c r="AZ137" s="919"/>
      <c r="BA137" s="920">
        <f t="shared" si="216"/>
        <v>9537733.4854240958</v>
      </c>
      <c r="BB137" s="920">
        <f t="shared" si="232"/>
        <v>286132.00456272287</v>
      </c>
      <c r="BC137" s="919">
        <f t="shared" si="217"/>
        <v>381509.33941696386</v>
      </c>
      <c r="BD137" s="919"/>
      <c r="BE137" s="975">
        <f t="shared" si="218"/>
        <v>9919242.8248410597</v>
      </c>
      <c r="BF137" s="975">
        <f t="shared" si="233"/>
        <v>297577.28474523179</v>
      </c>
      <c r="BG137" s="919">
        <f t="shared" si="219"/>
        <v>396769.71299364237</v>
      </c>
      <c r="BH137" s="975"/>
      <c r="BI137" s="975">
        <f t="shared" si="220"/>
        <v>10316012.537834702</v>
      </c>
      <c r="BJ137" s="975">
        <f t="shared" si="234"/>
        <v>309480.37613504106</v>
      </c>
      <c r="BK137" s="919">
        <f t="shared" si="221"/>
        <v>412640.50151338807</v>
      </c>
      <c r="BL137" s="975"/>
      <c r="BM137" s="975">
        <f t="shared" si="222"/>
        <v>10728653.03934809</v>
      </c>
      <c r="BN137" s="926">
        <f t="shared" si="223"/>
        <v>804648.97795110673</v>
      </c>
      <c r="BO137" s="926">
        <f t="shared" si="224"/>
        <v>268216.32598370226</v>
      </c>
      <c r="BP137" s="926">
        <f t="shared" si="225"/>
        <v>1287438.3647217709</v>
      </c>
      <c r="BQ137" s="926">
        <f t="shared" si="226"/>
        <v>13088956.708004672</v>
      </c>
      <c r="BR137" s="926">
        <f t="shared" si="227"/>
        <v>237376.79920211592</v>
      </c>
      <c r="BS137" s="963">
        <v>0.15</v>
      </c>
      <c r="BT137" s="954">
        <f t="shared" si="198"/>
        <v>1963343.5062007008</v>
      </c>
      <c r="BU137" s="926">
        <f t="shared" si="199"/>
        <v>50000</v>
      </c>
      <c r="BV137" s="954">
        <f t="shared" si="166"/>
        <v>273334.78660010011</v>
      </c>
      <c r="BW137" s="869">
        <f t="shared" si="155"/>
        <v>7</v>
      </c>
      <c r="BX137" s="954">
        <f t="shared" si="167"/>
        <v>11125613.201803971</v>
      </c>
      <c r="BZ137" s="959">
        <v>46082</v>
      </c>
      <c r="CA137" s="960">
        <f t="shared" si="156"/>
        <v>7</v>
      </c>
      <c r="CB137" s="960">
        <f t="shared" si="235"/>
        <v>8</v>
      </c>
      <c r="GI137" s="912"/>
    </row>
    <row r="138" spans="1:191" x14ac:dyDescent="0.2">
      <c r="A138" s="952">
        <f t="shared" si="157"/>
        <v>125</v>
      </c>
      <c r="B138" s="952">
        <v>1</v>
      </c>
      <c r="C138" s="952" t="s">
        <v>558</v>
      </c>
      <c r="D138" s="952"/>
      <c r="E138" s="952" t="s">
        <v>251</v>
      </c>
      <c r="F138" s="869" t="s">
        <v>252</v>
      </c>
      <c r="G138" s="869" t="s">
        <v>107</v>
      </c>
      <c r="H138" s="869" t="s">
        <v>253</v>
      </c>
      <c r="I138" s="869" t="s">
        <v>572</v>
      </c>
      <c r="J138" s="926">
        <v>99.98</v>
      </c>
      <c r="K138" s="962">
        <v>10.29</v>
      </c>
      <c r="L138" s="962">
        <v>0</v>
      </c>
      <c r="M138" s="926">
        <f t="shared" si="200"/>
        <v>110.27000000000001</v>
      </c>
      <c r="N138" s="926"/>
      <c r="O138" s="926"/>
      <c r="P138" s="965"/>
      <c r="Q138" s="926">
        <f t="shared" si="168"/>
        <v>13197360</v>
      </c>
      <c r="R138" s="926">
        <f t="shared" si="169"/>
        <v>679140</v>
      </c>
      <c r="S138" s="926">
        <f t="shared" si="153"/>
        <v>13876500</v>
      </c>
      <c r="T138" s="926"/>
      <c r="U138" s="869">
        <v>10</v>
      </c>
      <c r="V138" s="926">
        <f t="shared" si="170"/>
        <v>551350</v>
      </c>
      <c r="W138" s="926"/>
      <c r="X138" s="954">
        <f t="shared" si="171"/>
        <v>69382.5</v>
      </c>
      <c r="Y138" s="926">
        <f>M138*$Y$5</f>
        <v>220540.00000000003</v>
      </c>
      <c r="Z138" s="926">
        <f t="shared" ref="Z138:Z142" si="236">M138*$Z$5</f>
        <v>110270.00000000001</v>
      </c>
      <c r="AA138" s="961" t="str">
        <f t="shared" ref="AA138:AA150" si="237">AA21</f>
        <v>CORNER</v>
      </c>
      <c r="AB138" s="961" t="s">
        <v>573</v>
      </c>
      <c r="AC138" s="926">
        <f t="shared" si="204"/>
        <v>951542.5</v>
      </c>
      <c r="AD138" s="926"/>
      <c r="AE138" s="956">
        <f t="shared" si="154"/>
        <v>14828042.5</v>
      </c>
      <c r="AF138" s="956">
        <f t="shared" si="160"/>
        <v>456703.70900000003</v>
      </c>
      <c r="AG138" s="957">
        <f t="shared" si="165"/>
        <v>15284746.209000001</v>
      </c>
      <c r="AH138" s="919">
        <f t="shared" si="161"/>
        <v>346963.73894430004</v>
      </c>
      <c r="AI138" s="957">
        <f t="shared" si="158"/>
        <v>15631709.9479443</v>
      </c>
      <c r="AJ138" s="919">
        <f t="shared" si="159"/>
        <v>390792.74869860755</v>
      </c>
      <c r="AK138" s="920">
        <f t="shared" si="162"/>
        <v>16022502.696642907</v>
      </c>
      <c r="AL138" s="919">
        <f t="shared" si="207"/>
        <v>400562.56741607271</v>
      </c>
      <c r="AM138" s="982">
        <f t="shared" si="228"/>
        <v>16423065.264058979</v>
      </c>
      <c r="AN138" s="919">
        <f t="shared" si="208"/>
        <v>410576.63160147448</v>
      </c>
      <c r="AO138" s="920">
        <f t="shared" si="229"/>
        <v>16833641.895660453</v>
      </c>
      <c r="AP138" s="919">
        <f t="shared" si="209"/>
        <v>420841.04739151133</v>
      </c>
      <c r="AQ138" s="920">
        <f t="shared" si="210"/>
        <v>17254482.943051964</v>
      </c>
      <c r="AR138" s="919">
        <f t="shared" si="211"/>
        <v>517634.48829155893</v>
      </c>
      <c r="AS138" s="920">
        <f t="shared" si="212"/>
        <v>17772117.431343522</v>
      </c>
      <c r="AT138" s="920">
        <f t="shared" si="230"/>
        <v>533163.52294030564</v>
      </c>
      <c r="AU138" s="919">
        <f t="shared" si="213"/>
        <v>710884.69725374086</v>
      </c>
      <c r="AV138" s="919"/>
      <c r="AW138" s="920">
        <f t="shared" si="214"/>
        <v>18483002.128597263</v>
      </c>
      <c r="AX138" s="920">
        <f t="shared" si="231"/>
        <v>554490.06385791791</v>
      </c>
      <c r="AY138" s="919">
        <f t="shared" si="215"/>
        <v>739320.08514389058</v>
      </c>
      <c r="AZ138" s="919"/>
      <c r="BA138" s="920">
        <f t="shared" si="216"/>
        <v>19222322.213741153</v>
      </c>
      <c r="BB138" s="920">
        <f t="shared" si="232"/>
        <v>576669.66641223454</v>
      </c>
      <c r="BC138" s="919">
        <f t="shared" si="217"/>
        <v>768892.88854964613</v>
      </c>
      <c r="BD138" s="919"/>
      <c r="BE138" s="975">
        <f t="shared" si="218"/>
        <v>19991215.102290798</v>
      </c>
      <c r="BF138" s="975">
        <f t="shared" si="233"/>
        <v>599736.4530687239</v>
      </c>
      <c r="BG138" s="919">
        <f t="shared" si="219"/>
        <v>799648.60409163195</v>
      </c>
      <c r="BH138" s="975"/>
      <c r="BI138" s="975">
        <f t="shared" si="220"/>
        <v>20790863.706382431</v>
      </c>
      <c r="BJ138" s="975">
        <f t="shared" si="234"/>
        <v>623725.9111914729</v>
      </c>
      <c r="BK138" s="919">
        <f t="shared" si="221"/>
        <v>831634.54825529724</v>
      </c>
      <c r="BL138" s="975"/>
      <c r="BM138" s="975">
        <f t="shared" si="222"/>
        <v>21622498.254637729</v>
      </c>
      <c r="BN138" s="926">
        <f t="shared" si="223"/>
        <v>1621687.3690978296</v>
      </c>
      <c r="BO138" s="926">
        <f t="shared" si="224"/>
        <v>540562.4563659433</v>
      </c>
      <c r="BP138" s="926">
        <f t="shared" si="225"/>
        <v>2594699.7905565272</v>
      </c>
      <c r="BQ138" s="926">
        <f t="shared" si="226"/>
        <v>26379447.870658029</v>
      </c>
      <c r="BR138" s="926">
        <f t="shared" si="227"/>
        <v>239225.97143972092</v>
      </c>
      <c r="BS138" s="963">
        <v>0.15</v>
      </c>
      <c r="BT138" s="954">
        <f t="shared" si="198"/>
        <v>3956917.1805987041</v>
      </c>
      <c r="BU138" s="926">
        <f t="shared" si="199"/>
        <v>50000</v>
      </c>
      <c r="BV138" s="954">
        <f t="shared" si="166"/>
        <v>558131.02579981484</v>
      </c>
      <c r="BW138" s="869">
        <f t="shared" si="155"/>
        <v>7</v>
      </c>
      <c r="BX138" s="954">
        <f t="shared" si="167"/>
        <v>22422530.690059327</v>
      </c>
      <c r="BZ138" s="959">
        <v>46082</v>
      </c>
      <c r="CA138" s="960">
        <f t="shared" si="156"/>
        <v>7</v>
      </c>
      <c r="CB138" s="960">
        <f t="shared" si="235"/>
        <v>8</v>
      </c>
      <c r="GI138" s="912"/>
    </row>
    <row r="139" spans="1:191" x14ac:dyDescent="0.2">
      <c r="A139" s="952">
        <f t="shared" si="157"/>
        <v>126</v>
      </c>
      <c r="B139" s="952">
        <f>B138+1</f>
        <v>2</v>
      </c>
      <c r="C139" s="952" t="s">
        <v>558</v>
      </c>
      <c r="D139" s="952"/>
      <c r="E139" s="952" t="s">
        <v>251</v>
      </c>
      <c r="F139" s="869" t="s">
        <v>252</v>
      </c>
      <c r="G139" s="869" t="s">
        <v>111</v>
      </c>
      <c r="H139" s="869" t="s">
        <v>254</v>
      </c>
      <c r="I139" s="869" t="s">
        <v>113</v>
      </c>
      <c r="J139" s="926">
        <v>52.86</v>
      </c>
      <c r="K139" s="962">
        <v>5.09</v>
      </c>
      <c r="L139" s="962">
        <v>0</v>
      </c>
      <c r="M139" s="926">
        <f t="shared" si="200"/>
        <v>57.95</v>
      </c>
      <c r="N139" s="926"/>
      <c r="O139" s="926"/>
      <c r="P139" s="965"/>
      <c r="Q139" s="926">
        <f t="shared" si="168"/>
        <v>6977520</v>
      </c>
      <c r="R139" s="926">
        <f t="shared" si="169"/>
        <v>335940</v>
      </c>
      <c r="S139" s="926">
        <f t="shared" si="153"/>
        <v>7313460</v>
      </c>
      <c r="T139" s="926"/>
      <c r="U139" s="869">
        <f t="shared" ref="U139:U150" si="238">$U$138</f>
        <v>10</v>
      </c>
      <c r="V139" s="926">
        <f t="shared" si="170"/>
        <v>289750</v>
      </c>
      <c r="W139" s="926"/>
      <c r="X139" s="954">
        <f t="shared" si="171"/>
        <v>36567.300000000003</v>
      </c>
      <c r="Y139" s="961"/>
      <c r="Z139" s="926">
        <f t="shared" si="236"/>
        <v>57950</v>
      </c>
      <c r="AA139" s="961" t="str">
        <f t="shared" si="237"/>
        <v>INNER</v>
      </c>
      <c r="AB139" s="961" t="s">
        <v>573</v>
      </c>
      <c r="AC139" s="926">
        <f t="shared" si="204"/>
        <v>384267.3</v>
      </c>
      <c r="AD139" s="926"/>
      <c r="AE139" s="956">
        <f t="shared" si="154"/>
        <v>7697727.2999999998</v>
      </c>
      <c r="AF139" s="956">
        <f t="shared" si="160"/>
        <v>237090.00083999999</v>
      </c>
      <c r="AG139" s="957">
        <f t="shared" si="165"/>
        <v>7934817.3008399997</v>
      </c>
      <c r="AH139" s="919">
        <f t="shared" si="161"/>
        <v>180120.35272906799</v>
      </c>
      <c r="AI139" s="957">
        <f t="shared" si="158"/>
        <v>8114937.6535690678</v>
      </c>
      <c r="AJ139" s="919">
        <f t="shared" si="159"/>
        <v>202873.4413392267</v>
      </c>
      <c r="AK139" s="920">
        <f t="shared" si="162"/>
        <v>8317811.0949082943</v>
      </c>
      <c r="AL139" s="919">
        <f t="shared" si="207"/>
        <v>207945.27737270738</v>
      </c>
      <c r="AM139" s="982">
        <f t="shared" si="228"/>
        <v>8525756.3722810019</v>
      </c>
      <c r="AN139" s="919">
        <f t="shared" si="208"/>
        <v>213143.90930702505</v>
      </c>
      <c r="AO139" s="920">
        <f t="shared" si="229"/>
        <v>8738900.2815880273</v>
      </c>
      <c r="AP139" s="919">
        <f t="shared" si="209"/>
        <v>218472.50703970069</v>
      </c>
      <c r="AQ139" s="920">
        <f t="shared" si="210"/>
        <v>8957372.7886277288</v>
      </c>
      <c r="AR139" s="919">
        <f t="shared" si="211"/>
        <v>268721.18365883187</v>
      </c>
      <c r="AS139" s="920">
        <f t="shared" si="212"/>
        <v>9226093.9722865615</v>
      </c>
      <c r="AT139" s="920">
        <f t="shared" si="230"/>
        <v>276782.81916859682</v>
      </c>
      <c r="AU139" s="919">
        <f t="shared" si="213"/>
        <v>369043.75889146246</v>
      </c>
      <c r="AV139" s="919"/>
      <c r="AW139" s="920">
        <f t="shared" si="214"/>
        <v>9595137.7311780248</v>
      </c>
      <c r="AX139" s="920">
        <f t="shared" si="231"/>
        <v>287854.13193534076</v>
      </c>
      <c r="AY139" s="919">
        <f t="shared" si="215"/>
        <v>383805.50924712099</v>
      </c>
      <c r="AZ139" s="919"/>
      <c r="BA139" s="920">
        <f t="shared" si="216"/>
        <v>9978943.2404251453</v>
      </c>
      <c r="BB139" s="920">
        <f t="shared" si="232"/>
        <v>299368.29721275432</v>
      </c>
      <c r="BC139" s="919">
        <f t="shared" si="217"/>
        <v>399157.7296170058</v>
      </c>
      <c r="BD139" s="919"/>
      <c r="BE139" s="975">
        <f t="shared" si="218"/>
        <v>10378100.97004215</v>
      </c>
      <c r="BF139" s="975">
        <f t="shared" si="233"/>
        <v>311343.02910126449</v>
      </c>
      <c r="BG139" s="919">
        <f t="shared" si="219"/>
        <v>415124.03880168602</v>
      </c>
      <c r="BH139" s="975"/>
      <c r="BI139" s="975">
        <f t="shared" si="220"/>
        <v>10793225.008843837</v>
      </c>
      <c r="BJ139" s="975">
        <f t="shared" si="234"/>
        <v>323796.75026531512</v>
      </c>
      <c r="BK139" s="919">
        <f t="shared" si="221"/>
        <v>431729.00035375351</v>
      </c>
      <c r="BL139" s="975"/>
      <c r="BM139" s="975">
        <f t="shared" si="222"/>
        <v>11224954.009197591</v>
      </c>
      <c r="BN139" s="926">
        <f t="shared" si="223"/>
        <v>841871.55068981927</v>
      </c>
      <c r="BO139" s="926">
        <f t="shared" si="224"/>
        <v>280623.8502299398</v>
      </c>
      <c r="BP139" s="926">
        <f t="shared" si="225"/>
        <v>1346994.4811037108</v>
      </c>
      <c r="BQ139" s="926">
        <f t="shared" si="226"/>
        <v>13694443.891221059</v>
      </c>
      <c r="BR139" s="926">
        <f t="shared" si="227"/>
        <v>236314.82124626503</v>
      </c>
      <c r="BS139" s="963">
        <v>0.15</v>
      </c>
      <c r="BT139" s="954">
        <f t="shared" si="198"/>
        <v>2054166.5836831587</v>
      </c>
      <c r="BU139" s="926">
        <f t="shared" si="199"/>
        <v>50000</v>
      </c>
      <c r="BV139" s="954">
        <f t="shared" si="166"/>
        <v>286309.51195473695</v>
      </c>
      <c r="BW139" s="869">
        <f t="shared" si="155"/>
        <v>7</v>
      </c>
      <c r="BX139" s="954">
        <f t="shared" si="167"/>
        <v>11640277.3075379</v>
      </c>
      <c r="BZ139" s="959">
        <v>46082</v>
      </c>
      <c r="CA139" s="960">
        <f t="shared" si="156"/>
        <v>7</v>
      </c>
      <c r="CB139" s="960">
        <f t="shared" si="235"/>
        <v>8</v>
      </c>
      <c r="CK139" s="933"/>
      <c r="GI139" s="912"/>
    </row>
    <row r="140" spans="1:191" x14ac:dyDescent="0.2">
      <c r="A140" s="952">
        <f t="shared" si="157"/>
        <v>127</v>
      </c>
      <c r="B140" s="952">
        <f t="shared" si="157"/>
        <v>3</v>
      </c>
      <c r="C140" s="952" t="s">
        <v>558</v>
      </c>
      <c r="D140" s="952"/>
      <c r="E140" s="952" t="s">
        <v>251</v>
      </c>
      <c r="F140" s="869" t="s">
        <v>252</v>
      </c>
      <c r="G140" s="869" t="s">
        <v>115</v>
      </c>
      <c r="H140" s="869" t="s">
        <v>255</v>
      </c>
      <c r="I140" s="869" t="s">
        <v>109</v>
      </c>
      <c r="J140" s="926">
        <v>57.5</v>
      </c>
      <c r="K140" s="962">
        <v>5.09</v>
      </c>
      <c r="L140" s="962">
        <v>0</v>
      </c>
      <c r="M140" s="926">
        <f t="shared" si="200"/>
        <v>62.59</v>
      </c>
      <c r="N140" s="926"/>
      <c r="O140" s="926"/>
      <c r="P140" s="965"/>
      <c r="Q140" s="926">
        <f t="shared" si="168"/>
        <v>7590000</v>
      </c>
      <c r="R140" s="926">
        <f t="shared" si="169"/>
        <v>335940</v>
      </c>
      <c r="S140" s="926">
        <f t="shared" si="153"/>
        <v>7925940</v>
      </c>
      <c r="T140" s="926"/>
      <c r="U140" s="869">
        <f t="shared" si="238"/>
        <v>10</v>
      </c>
      <c r="V140" s="926">
        <f t="shared" si="170"/>
        <v>312950.00000000006</v>
      </c>
      <c r="W140" s="926"/>
      <c r="X140" s="954">
        <f t="shared" si="171"/>
        <v>39629.700000000004</v>
      </c>
      <c r="Y140" s="961"/>
      <c r="Z140" s="926">
        <f t="shared" si="236"/>
        <v>62590</v>
      </c>
      <c r="AA140" s="961" t="str">
        <f t="shared" si="237"/>
        <v>INNER</v>
      </c>
      <c r="AB140" s="961" t="s">
        <v>573</v>
      </c>
      <c r="AC140" s="926">
        <f t="shared" si="204"/>
        <v>415169.70000000007</v>
      </c>
      <c r="AD140" s="926"/>
      <c r="AE140" s="956">
        <f t="shared" si="154"/>
        <v>8341109.7000000002</v>
      </c>
      <c r="AF140" s="956">
        <f t="shared" si="160"/>
        <v>256906.17876000001</v>
      </c>
      <c r="AG140" s="957">
        <f t="shared" si="165"/>
        <v>8598015.8787600007</v>
      </c>
      <c r="AH140" s="919">
        <f t="shared" si="161"/>
        <v>195174.96044785203</v>
      </c>
      <c r="AI140" s="957">
        <f t="shared" si="158"/>
        <v>8793190.8392078523</v>
      </c>
      <c r="AJ140" s="919">
        <f t="shared" si="159"/>
        <v>219829.77098019631</v>
      </c>
      <c r="AK140" s="920">
        <f t="shared" si="162"/>
        <v>9013020.6101880483</v>
      </c>
      <c r="AL140" s="919">
        <f t="shared" si="207"/>
        <v>225325.51525470123</v>
      </c>
      <c r="AM140" s="982">
        <f t="shared" si="228"/>
        <v>9238346.1254427489</v>
      </c>
      <c r="AN140" s="919">
        <f t="shared" si="208"/>
        <v>230958.65313606872</v>
      </c>
      <c r="AO140" s="920">
        <f t="shared" si="229"/>
        <v>9469304.7785788178</v>
      </c>
      <c r="AP140" s="919">
        <f t="shared" si="209"/>
        <v>236732.61946447045</v>
      </c>
      <c r="AQ140" s="920">
        <f t="shared" si="210"/>
        <v>9706037.3980432879</v>
      </c>
      <c r="AR140" s="919">
        <f t="shared" si="211"/>
        <v>291181.12194129865</v>
      </c>
      <c r="AS140" s="920">
        <f t="shared" si="212"/>
        <v>9997218.5199845862</v>
      </c>
      <c r="AT140" s="920">
        <f t="shared" si="230"/>
        <v>299916.55559953756</v>
      </c>
      <c r="AU140" s="919">
        <f t="shared" si="213"/>
        <v>399888.74079938343</v>
      </c>
      <c r="AV140" s="919"/>
      <c r="AW140" s="920">
        <f t="shared" si="214"/>
        <v>10397107.26078397</v>
      </c>
      <c r="AX140" s="920">
        <f t="shared" si="231"/>
        <v>311913.21782351908</v>
      </c>
      <c r="AY140" s="919">
        <f t="shared" si="215"/>
        <v>415884.29043135885</v>
      </c>
      <c r="AZ140" s="919"/>
      <c r="BA140" s="920">
        <f t="shared" si="216"/>
        <v>10812991.551215328</v>
      </c>
      <c r="BB140" s="920">
        <f t="shared" si="232"/>
        <v>324389.74653645983</v>
      </c>
      <c r="BC140" s="919">
        <f t="shared" si="217"/>
        <v>432519.66204861313</v>
      </c>
      <c r="BD140" s="919"/>
      <c r="BE140" s="975">
        <f t="shared" si="218"/>
        <v>11245511.213263942</v>
      </c>
      <c r="BF140" s="975">
        <f t="shared" si="233"/>
        <v>337365.33639791823</v>
      </c>
      <c r="BG140" s="919">
        <f t="shared" si="219"/>
        <v>449820.44853055768</v>
      </c>
      <c r="BH140" s="975"/>
      <c r="BI140" s="975">
        <f t="shared" si="220"/>
        <v>11695331.6617945</v>
      </c>
      <c r="BJ140" s="975">
        <f t="shared" si="234"/>
        <v>350859.94985383499</v>
      </c>
      <c r="BK140" s="919">
        <f t="shared" si="221"/>
        <v>467813.26647178002</v>
      </c>
      <c r="BL140" s="975"/>
      <c r="BM140" s="975">
        <f t="shared" si="222"/>
        <v>12163144.928266281</v>
      </c>
      <c r="BN140" s="926">
        <f t="shared" si="223"/>
        <v>912235.86961997102</v>
      </c>
      <c r="BO140" s="926">
        <f t="shared" si="224"/>
        <v>304078.62320665707</v>
      </c>
      <c r="BP140" s="926">
        <f t="shared" si="225"/>
        <v>1459577.3913919537</v>
      </c>
      <c r="BQ140" s="926">
        <f t="shared" si="226"/>
        <v>14839036.812484862</v>
      </c>
      <c r="BR140" s="926">
        <f t="shared" si="227"/>
        <v>237083.18920729926</v>
      </c>
      <c r="BS140" s="963">
        <v>0.15</v>
      </c>
      <c r="BT140" s="954">
        <f t="shared" si="198"/>
        <v>2225855.5218727291</v>
      </c>
      <c r="BU140" s="926">
        <f t="shared" si="199"/>
        <v>50000</v>
      </c>
      <c r="BV140" s="954">
        <f t="shared" si="166"/>
        <v>310836.5031246756</v>
      </c>
      <c r="BW140" s="869">
        <f t="shared" si="155"/>
        <v>7</v>
      </c>
      <c r="BX140" s="954">
        <f t="shared" si="167"/>
        <v>12613181.290612133</v>
      </c>
      <c r="BZ140" s="959">
        <v>46082</v>
      </c>
      <c r="CA140" s="960">
        <f t="shared" si="156"/>
        <v>7</v>
      </c>
      <c r="CB140" s="960">
        <f t="shared" si="235"/>
        <v>8</v>
      </c>
      <c r="CK140" s="933"/>
      <c r="GI140" s="912"/>
    </row>
    <row r="141" spans="1:191" x14ac:dyDescent="0.2">
      <c r="A141" s="952">
        <f t="shared" si="157"/>
        <v>128</v>
      </c>
      <c r="B141" s="952">
        <f t="shared" si="157"/>
        <v>4</v>
      </c>
      <c r="C141" s="952" t="s">
        <v>558</v>
      </c>
      <c r="D141" s="952"/>
      <c r="E141" s="952" t="s">
        <v>251</v>
      </c>
      <c r="F141" s="869" t="s">
        <v>252</v>
      </c>
      <c r="G141" s="869" t="s">
        <v>117</v>
      </c>
      <c r="H141" s="869" t="s">
        <v>256</v>
      </c>
      <c r="I141" s="869" t="s">
        <v>109</v>
      </c>
      <c r="J141" s="926">
        <v>62.11</v>
      </c>
      <c r="K141" s="962">
        <v>5.19</v>
      </c>
      <c r="L141" s="962">
        <v>0</v>
      </c>
      <c r="M141" s="926">
        <f t="shared" si="200"/>
        <v>67.3</v>
      </c>
      <c r="N141" s="926"/>
      <c r="O141" s="926"/>
      <c r="P141" s="965"/>
      <c r="Q141" s="926">
        <f t="shared" si="168"/>
        <v>8198520</v>
      </c>
      <c r="R141" s="926">
        <f t="shared" si="169"/>
        <v>342540</v>
      </c>
      <c r="S141" s="926">
        <f t="shared" si="153"/>
        <v>8541060</v>
      </c>
      <c r="T141" s="926"/>
      <c r="U141" s="869">
        <f t="shared" si="238"/>
        <v>10</v>
      </c>
      <c r="V141" s="926">
        <f t="shared" si="170"/>
        <v>336500</v>
      </c>
      <c r="W141" s="926"/>
      <c r="X141" s="954">
        <f t="shared" si="171"/>
        <v>42705.3</v>
      </c>
      <c r="Y141" s="961"/>
      <c r="Z141" s="926">
        <f t="shared" si="236"/>
        <v>67300</v>
      </c>
      <c r="AA141" s="961" t="str">
        <f t="shared" si="237"/>
        <v>INNER</v>
      </c>
      <c r="AB141" s="961" t="s">
        <v>573</v>
      </c>
      <c r="AC141" s="926">
        <f t="shared" si="204"/>
        <v>446505.3</v>
      </c>
      <c r="AD141" s="926"/>
      <c r="AE141" s="956">
        <f t="shared" si="154"/>
        <v>8987565.3000000007</v>
      </c>
      <c r="AF141" s="956">
        <f t="shared" si="160"/>
        <v>276817.01124000002</v>
      </c>
      <c r="AG141" s="957">
        <f t="shared" si="165"/>
        <v>9264382.3112400007</v>
      </c>
      <c r="AH141" s="919">
        <f t="shared" si="161"/>
        <v>210301.47846514801</v>
      </c>
      <c r="AI141" s="957">
        <f t="shared" si="158"/>
        <v>9474683.789705148</v>
      </c>
      <c r="AJ141" s="919">
        <f t="shared" si="159"/>
        <v>236867.09474262872</v>
      </c>
      <c r="AK141" s="920">
        <f t="shared" si="162"/>
        <v>9711550.8844477758</v>
      </c>
      <c r="AL141" s="919">
        <f t="shared" si="207"/>
        <v>242788.77211119441</v>
      </c>
      <c r="AM141" s="982">
        <f t="shared" si="228"/>
        <v>9954339.65655897</v>
      </c>
      <c r="AN141" s="919">
        <f t="shared" si="208"/>
        <v>248858.49141397426</v>
      </c>
      <c r="AO141" s="920">
        <f t="shared" si="229"/>
        <v>10203198.147972945</v>
      </c>
      <c r="AP141" s="919">
        <f t="shared" si="209"/>
        <v>255079.95369932364</v>
      </c>
      <c r="AQ141" s="920">
        <f t="shared" si="210"/>
        <v>10458278.101672269</v>
      </c>
      <c r="AR141" s="919">
        <f t="shared" si="211"/>
        <v>313748.34305016807</v>
      </c>
      <c r="AS141" s="920">
        <f t="shared" si="212"/>
        <v>10772026.444722438</v>
      </c>
      <c r="AT141" s="920">
        <f t="shared" si="230"/>
        <v>323160.79334167315</v>
      </c>
      <c r="AU141" s="919">
        <f t="shared" si="213"/>
        <v>430881.05778889754</v>
      </c>
      <c r="AV141" s="919"/>
      <c r="AW141" s="920">
        <f t="shared" si="214"/>
        <v>11202907.502511336</v>
      </c>
      <c r="AX141" s="920">
        <f t="shared" si="231"/>
        <v>336087.22507534007</v>
      </c>
      <c r="AY141" s="919">
        <f t="shared" si="215"/>
        <v>448116.30010045343</v>
      </c>
      <c r="AZ141" s="919"/>
      <c r="BA141" s="920">
        <f t="shared" si="216"/>
        <v>11651023.802611789</v>
      </c>
      <c r="BB141" s="920">
        <f t="shared" si="232"/>
        <v>349530.71407835366</v>
      </c>
      <c r="BC141" s="919">
        <f t="shared" si="217"/>
        <v>466040.95210447157</v>
      </c>
      <c r="BD141" s="919"/>
      <c r="BE141" s="975">
        <f t="shared" si="218"/>
        <v>12117064.75471626</v>
      </c>
      <c r="BF141" s="975">
        <f t="shared" si="233"/>
        <v>363511.94264148781</v>
      </c>
      <c r="BG141" s="919">
        <f t="shared" si="219"/>
        <v>484682.59018865041</v>
      </c>
      <c r="BH141" s="975"/>
      <c r="BI141" s="975">
        <f t="shared" si="220"/>
        <v>12601747.344904911</v>
      </c>
      <c r="BJ141" s="975">
        <f t="shared" si="234"/>
        <v>378052.42034714733</v>
      </c>
      <c r="BK141" s="919">
        <f t="shared" si="221"/>
        <v>504069.89379619644</v>
      </c>
      <c r="BL141" s="975"/>
      <c r="BM141" s="975">
        <f t="shared" si="222"/>
        <v>13105817.238701107</v>
      </c>
      <c r="BN141" s="926">
        <f t="shared" si="223"/>
        <v>982936.29290258302</v>
      </c>
      <c r="BO141" s="926">
        <f t="shared" si="224"/>
        <v>327645.43096752767</v>
      </c>
      <c r="BP141" s="926">
        <f t="shared" si="225"/>
        <v>1572698.0686441327</v>
      </c>
      <c r="BQ141" s="926">
        <f t="shared" si="226"/>
        <v>15989097.031215351</v>
      </c>
      <c r="BR141" s="926">
        <f t="shared" si="227"/>
        <v>237579.45068670655</v>
      </c>
      <c r="BS141" s="963">
        <v>0.15</v>
      </c>
      <c r="BT141" s="954">
        <f t="shared" si="198"/>
        <v>2398364.5546823028</v>
      </c>
      <c r="BU141" s="926">
        <f t="shared" si="199"/>
        <v>50000</v>
      </c>
      <c r="BV141" s="954">
        <f t="shared" si="166"/>
        <v>335480.6506689004</v>
      </c>
      <c r="BW141" s="869">
        <f t="shared" si="155"/>
        <v>7</v>
      </c>
      <c r="BX141" s="954">
        <f t="shared" si="167"/>
        <v>13590732.476533048</v>
      </c>
      <c r="BZ141" s="959">
        <v>46082</v>
      </c>
      <c r="CA141" s="960">
        <f t="shared" si="156"/>
        <v>7</v>
      </c>
      <c r="CB141" s="960">
        <f t="shared" si="235"/>
        <v>8</v>
      </c>
      <c r="CK141" s="933"/>
      <c r="GI141" s="912"/>
    </row>
    <row r="142" spans="1:191" x14ac:dyDescent="0.2">
      <c r="A142" s="952">
        <f t="shared" si="157"/>
        <v>129</v>
      </c>
      <c r="B142" s="952">
        <f t="shared" si="157"/>
        <v>5</v>
      </c>
      <c r="C142" s="952" t="s">
        <v>558</v>
      </c>
      <c r="D142" s="952"/>
      <c r="E142" s="952" t="s">
        <v>251</v>
      </c>
      <c r="F142" s="869" t="s">
        <v>252</v>
      </c>
      <c r="G142" s="869" t="s">
        <v>119</v>
      </c>
      <c r="H142" s="869" t="s">
        <v>257</v>
      </c>
      <c r="I142" s="869" t="s">
        <v>109</v>
      </c>
      <c r="J142" s="926">
        <v>80.900000000000006</v>
      </c>
      <c r="K142" s="962">
        <v>15.65</v>
      </c>
      <c r="L142" s="962">
        <v>0</v>
      </c>
      <c r="M142" s="926">
        <f t="shared" si="200"/>
        <v>96.550000000000011</v>
      </c>
      <c r="N142" s="926"/>
      <c r="O142" s="926"/>
      <c r="P142" s="965"/>
      <c r="Q142" s="926">
        <f t="shared" si="168"/>
        <v>10678800</v>
      </c>
      <c r="R142" s="926">
        <f t="shared" si="169"/>
        <v>1032900</v>
      </c>
      <c r="S142" s="926">
        <f t="shared" ref="S142:S150" si="239">SUM(P142:R142)</f>
        <v>11711700</v>
      </c>
      <c r="T142" s="926"/>
      <c r="U142" s="869">
        <f t="shared" si="238"/>
        <v>10</v>
      </c>
      <c r="V142" s="926">
        <f t="shared" si="170"/>
        <v>482750.00000000006</v>
      </c>
      <c r="W142" s="926"/>
      <c r="X142" s="954">
        <f t="shared" si="171"/>
        <v>58558.5</v>
      </c>
      <c r="Y142" s="926">
        <f>M142*$Y$5</f>
        <v>193100.00000000003</v>
      </c>
      <c r="Z142" s="926">
        <f t="shared" si="236"/>
        <v>96550.000000000015</v>
      </c>
      <c r="AA142" s="961" t="str">
        <f t="shared" si="237"/>
        <v>CORNER</v>
      </c>
      <c r="AB142" s="961" t="s">
        <v>573</v>
      </c>
      <c r="AC142" s="926">
        <f t="shared" si="204"/>
        <v>830958.5</v>
      </c>
      <c r="AD142" s="926"/>
      <c r="AE142" s="956">
        <f t="shared" ref="AE142:AE150" si="240">S142+AC142</f>
        <v>12542658.5</v>
      </c>
      <c r="AF142" s="956">
        <f t="shared" si="160"/>
        <v>386313.88180000003</v>
      </c>
      <c r="AG142" s="957">
        <f t="shared" si="165"/>
        <v>12928972.3818</v>
      </c>
      <c r="AH142" s="919">
        <f t="shared" si="161"/>
        <v>293487.67306686001</v>
      </c>
      <c r="AI142" s="957">
        <f t="shared" si="158"/>
        <v>13222460.05486686</v>
      </c>
      <c r="AJ142" s="919">
        <f t="shared" si="159"/>
        <v>330561.5013716715</v>
      </c>
      <c r="AK142" s="920">
        <f t="shared" si="162"/>
        <v>13553021.556238532</v>
      </c>
      <c r="AL142" s="919">
        <f t="shared" si="207"/>
        <v>338825.5389059633</v>
      </c>
      <c r="AM142" s="982">
        <f t="shared" si="228"/>
        <v>13891847.095144495</v>
      </c>
      <c r="AN142" s="919">
        <f t="shared" si="208"/>
        <v>347296.1773786124</v>
      </c>
      <c r="AO142" s="920">
        <f t="shared" si="229"/>
        <v>14239143.272523107</v>
      </c>
      <c r="AP142" s="919">
        <f t="shared" si="209"/>
        <v>355978.58181307768</v>
      </c>
      <c r="AQ142" s="920">
        <f t="shared" si="210"/>
        <v>14595121.854336185</v>
      </c>
      <c r="AR142" s="919">
        <f t="shared" si="211"/>
        <v>437853.65563008556</v>
      </c>
      <c r="AS142" s="920">
        <f t="shared" si="212"/>
        <v>15032975.509966271</v>
      </c>
      <c r="AT142" s="920">
        <f t="shared" si="230"/>
        <v>450989.26529898809</v>
      </c>
      <c r="AU142" s="919">
        <f t="shared" si="213"/>
        <v>601319.0203986509</v>
      </c>
      <c r="AV142" s="919"/>
      <c r="AW142" s="920">
        <f t="shared" si="214"/>
        <v>15634294.530364921</v>
      </c>
      <c r="AX142" s="920">
        <f t="shared" si="231"/>
        <v>469028.83591094764</v>
      </c>
      <c r="AY142" s="919">
        <f t="shared" si="215"/>
        <v>625371.78121459682</v>
      </c>
      <c r="AZ142" s="919"/>
      <c r="BA142" s="920">
        <f t="shared" si="216"/>
        <v>16259666.311579518</v>
      </c>
      <c r="BB142" s="920">
        <f t="shared" si="232"/>
        <v>487789.98934738553</v>
      </c>
      <c r="BC142" s="919">
        <f t="shared" si="217"/>
        <v>650386.65246318071</v>
      </c>
      <c r="BD142" s="919"/>
      <c r="BE142" s="975">
        <f t="shared" si="218"/>
        <v>16910052.964042697</v>
      </c>
      <c r="BF142" s="975">
        <f t="shared" si="233"/>
        <v>507301.58892128087</v>
      </c>
      <c r="BG142" s="919">
        <f t="shared" si="219"/>
        <v>676402.1185617079</v>
      </c>
      <c r="BH142" s="975"/>
      <c r="BI142" s="975">
        <f t="shared" si="220"/>
        <v>17586455.082604405</v>
      </c>
      <c r="BJ142" s="975">
        <f t="shared" si="234"/>
        <v>527593.65247813216</v>
      </c>
      <c r="BK142" s="919">
        <f t="shared" si="221"/>
        <v>703458.20330417622</v>
      </c>
      <c r="BL142" s="975"/>
      <c r="BM142" s="975">
        <f t="shared" si="222"/>
        <v>18289913.28590858</v>
      </c>
      <c r="BN142" s="926">
        <f t="shared" si="223"/>
        <v>1371743.4964431433</v>
      </c>
      <c r="BO142" s="926">
        <f t="shared" si="224"/>
        <v>457247.83214771451</v>
      </c>
      <c r="BP142" s="926">
        <f t="shared" si="225"/>
        <v>2194789.5943090296</v>
      </c>
      <c r="BQ142" s="926">
        <f t="shared" si="226"/>
        <v>22313694.208808467</v>
      </c>
      <c r="BR142" s="926">
        <f t="shared" si="227"/>
        <v>231110.24555990123</v>
      </c>
      <c r="BS142" s="963">
        <v>0.15</v>
      </c>
      <c r="BT142" s="954">
        <f t="shared" si="198"/>
        <v>3347054.13132127</v>
      </c>
      <c r="BU142" s="926">
        <f t="shared" si="199"/>
        <v>50000</v>
      </c>
      <c r="BV142" s="954">
        <f t="shared" si="166"/>
        <v>471007.7330458957</v>
      </c>
      <c r="BW142" s="869">
        <f t="shared" ref="BW142:BW150" si="241">CA142</f>
        <v>7</v>
      </c>
      <c r="BX142" s="954">
        <f t="shared" si="167"/>
        <v>18966640.077487197</v>
      </c>
      <c r="BZ142" s="959">
        <v>46082</v>
      </c>
      <c r="CA142" s="960">
        <f t="shared" ref="CA142:CA150" si="242">(YEAR(BZ142)-YEAR($CA$5))*12+MONTH(BZ142)-MONTH($CA$5)</f>
        <v>7</v>
      </c>
      <c r="CB142" s="960">
        <f t="shared" si="235"/>
        <v>8</v>
      </c>
      <c r="CK142" s="933"/>
      <c r="GI142" s="912"/>
    </row>
    <row r="143" spans="1:191" x14ac:dyDescent="0.2">
      <c r="A143" s="952">
        <f t="shared" ref="A143:B150" si="243">A142+1</f>
        <v>130</v>
      </c>
      <c r="B143" s="952">
        <f t="shared" si="243"/>
        <v>6</v>
      </c>
      <c r="C143" s="952" t="s">
        <v>558</v>
      </c>
      <c r="D143" s="952"/>
      <c r="E143" s="952" t="s">
        <v>251</v>
      </c>
      <c r="F143" s="869" t="s">
        <v>252</v>
      </c>
      <c r="G143" s="869" t="s">
        <v>121</v>
      </c>
      <c r="H143" s="869" t="s">
        <v>258</v>
      </c>
      <c r="I143" s="869" t="s">
        <v>109</v>
      </c>
      <c r="J143" s="926">
        <v>61.56</v>
      </c>
      <c r="K143" s="962">
        <v>4.0999999999999996</v>
      </c>
      <c r="L143" s="962">
        <v>0</v>
      </c>
      <c r="M143" s="926">
        <f t="shared" si="200"/>
        <v>65.66</v>
      </c>
      <c r="N143" s="926"/>
      <c r="O143" s="926"/>
      <c r="P143" s="965"/>
      <c r="Q143" s="926">
        <f t="shared" si="168"/>
        <v>8125920</v>
      </c>
      <c r="R143" s="926">
        <f t="shared" si="169"/>
        <v>270600</v>
      </c>
      <c r="S143" s="926">
        <f t="shared" si="239"/>
        <v>8396520</v>
      </c>
      <c r="T143" s="926"/>
      <c r="U143" s="869">
        <f t="shared" si="238"/>
        <v>10</v>
      </c>
      <c r="V143" s="926">
        <f t="shared" si="170"/>
        <v>328299.99999999994</v>
      </c>
      <c r="W143" s="926"/>
      <c r="X143" s="954">
        <f t="shared" si="171"/>
        <v>41982.6</v>
      </c>
      <c r="Y143" s="961"/>
      <c r="Z143" s="926"/>
      <c r="AA143" s="961" t="str">
        <f t="shared" si="237"/>
        <v>INNER</v>
      </c>
      <c r="AB143" s="961"/>
      <c r="AC143" s="926">
        <f t="shared" si="204"/>
        <v>370282.59999999992</v>
      </c>
      <c r="AD143" s="926"/>
      <c r="AE143" s="956">
        <f t="shared" si="240"/>
        <v>8766802.5999999996</v>
      </c>
      <c r="AF143" s="956">
        <f t="shared" si="160"/>
        <v>270017.52007999999</v>
      </c>
      <c r="AG143" s="957">
        <f t="shared" si="165"/>
        <v>9036820.1200799998</v>
      </c>
      <c r="AH143" s="919">
        <f t="shared" si="161"/>
        <v>205135.816725816</v>
      </c>
      <c r="AI143" s="957">
        <f t="shared" ref="AI143:AI151" si="244">AG143+AH143</f>
        <v>9241955.9368058164</v>
      </c>
      <c r="AJ143" s="919">
        <f t="shared" ref="AJ143:AJ150" si="245">AI143*$AJ$5</f>
        <v>231048.89842014542</v>
      </c>
      <c r="AK143" s="920">
        <f t="shared" si="162"/>
        <v>9473004.8352259621</v>
      </c>
      <c r="AL143" s="919">
        <f t="shared" si="207"/>
        <v>236825.12088064908</v>
      </c>
      <c r="AM143" s="982">
        <f t="shared" si="228"/>
        <v>9709829.9561066106</v>
      </c>
      <c r="AN143" s="919">
        <f t="shared" si="208"/>
        <v>242745.74890266528</v>
      </c>
      <c r="AO143" s="920">
        <f t="shared" si="229"/>
        <v>9952575.705009276</v>
      </c>
      <c r="AP143" s="919">
        <f t="shared" si="209"/>
        <v>248814.39262523191</v>
      </c>
      <c r="AQ143" s="920">
        <f t="shared" si="210"/>
        <v>10201390.097634507</v>
      </c>
      <c r="AR143" s="919">
        <f t="shared" si="211"/>
        <v>306041.70292903524</v>
      </c>
      <c r="AS143" s="920">
        <f t="shared" si="212"/>
        <v>10507431.800563542</v>
      </c>
      <c r="AT143" s="920">
        <f t="shared" si="230"/>
        <v>315222.95401690627</v>
      </c>
      <c r="AU143" s="919">
        <f t="shared" si="213"/>
        <v>420297.27202254167</v>
      </c>
      <c r="AV143" s="919"/>
      <c r="AW143" s="920">
        <f t="shared" si="214"/>
        <v>10927729.072586084</v>
      </c>
      <c r="AX143" s="920">
        <f t="shared" si="231"/>
        <v>327831.87217758253</v>
      </c>
      <c r="AY143" s="919">
        <f t="shared" si="215"/>
        <v>437109.16290344339</v>
      </c>
      <c r="AZ143" s="919"/>
      <c r="BA143" s="920">
        <f t="shared" si="216"/>
        <v>11364838.235489527</v>
      </c>
      <c r="BB143" s="920">
        <f t="shared" si="232"/>
        <v>340945.14706468576</v>
      </c>
      <c r="BC143" s="919">
        <f t="shared" si="217"/>
        <v>454593.52941958106</v>
      </c>
      <c r="BD143" s="919"/>
      <c r="BE143" s="975">
        <f t="shared" si="218"/>
        <v>11819431.764909107</v>
      </c>
      <c r="BF143" s="975">
        <f t="shared" si="233"/>
        <v>354582.95294727321</v>
      </c>
      <c r="BG143" s="919">
        <f t="shared" si="219"/>
        <v>472777.27059636428</v>
      </c>
      <c r="BH143" s="975"/>
      <c r="BI143" s="975">
        <f t="shared" si="220"/>
        <v>12292209.035505472</v>
      </c>
      <c r="BJ143" s="975">
        <f t="shared" si="234"/>
        <v>368766.27106516412</v>
      </c>
      <c r="BK143" s="919">
        <f t="shared" si="221"/>
        <v>491688.36142021889</v>
      </c>
      <c r="BL143" s="975"/>
      <c r="BM143" s="975">
        <f t="shared" si="222"/>
        <v>12783897.396925692</v>
      </c>
      <c r="BN143" s="926">
        <f t="shared" si="223"/>
        <v>958792.30476942682</v>
      </c>
      <c r="BO143" s="926">
        <f t="shared" si="224"/>
        <v>319597.43492314231</v>
      </c>
      <c r="BP143" s="926">
        <f t="shared" si="225"/>
        <v>1534067.687631083</v>
      </c>
      <c r="BQ143" s="926">
        <f t="shared" si="226"/>
        <v>15596354.824249344</v>
      </c>
      <c r="BR143" s="926">
        <f t="shared" si="227"/>
        <v>237532.05641561598</v>
      </c>
      <c r="BS143" s="963">
        <v>0.15</v>
      </c>
      <c r="BT143" s="954">
        <f t="shared" si="198"/>
        <v>2339453.2236374016</v>
      </c>
      <c r="BU143" s="926">
        <f t="shared" si="199"/>
        <v>50000</v>
      </c>
      <c r="BV143" s="954">
        <f t="shared" si="166"/>
        <v>327064.74623391451</v>
      </c>
      <c r="BW143" s="869">
        <f t="shared" si="241"/>
        <v>7</v>
      </c>
      <c r="BX143" s="954">
        <f t="shared" si="167"/>
        <v>13256901.600611942</v>
      </c>
      <c r="BZ143" s="959">
        <v>46082</v>
      </c>
      <c r="CA143" s="960">
        <f t="shared" si="242"/>
        <v>7</v>
      </c>
      <c r="CB143" s="960">
        <f t="shared" si="235"/>
        <v>8</v>
      </c>
      <c r="CK143" s="933"/>
      <c r="GI143" s="912"/>
    </row>
    <row r="144" spans="1:191" x14ac:dyDescent="0.2">
      <c r="A144" s="952">
        <f t="shared" si="243"/>
        <v>131</v>
      </c>
      <c r="B144" s="952">
        <f t="shared" si="243"/>
        <v>7</v>
      </c>
      <c r="C144" s="952" t="s">
        <v>558</v>
      </c>
      <c r="D144" s="952"/>
      <c r="E144" s="952" t="s">
        <v>251</v>
      </c>
      <c r="F144" s="869" t="s">
        <v>252</v>
      </c>
      <c r="G144" s="869" t="s">
        <v>123</v>
      </c>
      <c r="H144" s="869" t="s">
        <v>259</v>
      </c>
      <c r="I144" s="869" t="s">
        <v>109</v>
      </c>
      <c r="J144" s="926">
        <v>95.44</v>
      </c>
      <c r="K144" s="962">
        <v>13.34</v>
      </c>
      <c r="L144" s="962">
        <v>0</v>
      </c>
      <c r="M144" s="926">
        <f t="shared" si="200"/>
        <v>108.78</v>
      </c>
      <c r="N144" s="926"/>
      <c r="O144" s="926"/>
      <c r="P144" s="965"/>
      <c r="Q144" s="926">
        <f t="shared" si="168"/>
        <v>12598080</v>
      </c>
      <c r="R144" s="926">
        <f t="shared" si="169"/>
        <v>880440</v>
      </c>
      <c r="S144" s="926">
        <f t="shared" si="239"/>
        <v>13478520</v>
      </c>
      <c r="T144" s="926"/>
      <c r="U144" s="869">
        <f t="shared" si="238"/>
        <v>10</v>
      </c>
      <c r="V144" s="926">
        <f t="shared" si="170"/>
        <v>543900</v>
      </c>
      <c r="W144" s="926"/>
      <c r="X144" s="954">
        <f t="shared" si="171"/>
        <v>67392.600000000006</v>
      </c>
      <c r="Y144" s="926">
        <f>M144*$Y$5</f>
        <v>217560</v>
      </c>
      <c r="Z144" s="926"/>
      <c r="AA144" s="961" t="str">
        <f t="shared" si="237"/>
        <v>CORNER</v>
      </c>
      <c r="AB144" s="961"/>
      <c r="AC144" s="926">
        <f t="shared" si="204"/>
        <v>828852.6</v>
      </c>
      <c r="AD144" s="926"/>
      <c r="AE144" s="956">
        <f t="shared" si="240"/>
        <v>14307372.6</v>
      </c>
      <c r="AF144" s="956">
        <f t="shared" ref="AF144:AF150" si="246">AE144*$AF$5</f>
        <v>440667.07608000003</v>
      </c>
      <c r="AG144" s="957">
        <f t="shared" si="165"/>
        <v>14748039.67608</v>
      </c>
      <c r="AH144" s="919">
        <f t="shared" ref="AH144:AH150" si="247">AG144*$AH$5</f>
        <v>334780.50064701599</v>
      </c>
      <c r="AI144" s="957">
        <f t="shared" si="244"/>
        <v>15082820.176727016</v>
      </c>
      <c r="AJ144" s="919">
        <f t="shared" si="245"/>
        <v>377070.50441817543</v>
      </c>
      <c r="AK144" s="920">
        <f t="shared" ref="AK144:AK151" si="248">AI144+AJ144</f>
        <v>15459890.681145191</v>
      </c>
      <c r="AL144" s="919">
        <f t="shared" si="207"/>
        <v>386497.26702862978</v>
      </c>
      <c r="AM144" s="982">
        <f t="shared" si="228"/>
        <v>15846387.948173821</v>
      </c>
      <c r="AN144" s="919">
        <f t="shared" si="208"/>
        <v>396159.69870434556</v>
      </c>
      <c r="AO144" s="920">
        <f t="shared" si="229"/>
        <v>16242547.646878166</v>
      </c>
      <c r="AP144" s="919">
        <f t="shared" si="209"/>
        <v>406063.69117195415</v>
      </c>
      <c r="AQ144" s="920">
        <f t="shared" si="210"/>
        <v>16648611.33805012</v>
      </c>
      <c r="AR144" s="919">
        <f t="shared" si="211"/>
        <v>499458.34014150355</v>
      </c>
      <c r="AS144" s="920">
        <f t="shared" si="212"/>
        <v>17148069.678191625</v>
      </c>
      <c r="AT144" s="920">
        <f t="shared" si="230"/>
        <v>514442.0903457487</v>
      </c>
      <c r="AU144" s="919">
        <f t="shared" si="213"/>
        <v>685922.78712766501</v>
      </c>
      <c r="AV144" s="919"/>
      <c r="AW144" s="920">
        <f t="shared" si="214"/>
        <v>17833992.465319291</v>
      </c>
      <c r="AX144" s="920">
        <f t="shared" si="231"/>
        <v>535019.77395957871</v>
      </c>
      <c r="AY144" s="919">
        <f t="shared" si="215"/>
        <v>713359.6986127717</v>
      </c>
      <c r="AZ144" s="919"/>
      <c r="BA144" s="920">
        <f t="shared" si="216"/>
        <v>18547352.163932063</v>
      </c>
      <c r="BB144" s="920">
        <f t="shared" si="232"/>
        <v>556420.56491796183</v>
      </c>
      <c r="BC144" s="919">
        <f t="shared" si="217"/>
        <v>741894.08655728248</v>
      </c>
      <c r="BD144" s="919"/>
      <c r="BE144" s="975">
        <f t="shared" si="218"/>
        <v>19289246.250489347</v>
      </c>
      <c r="BF144" s="975">
        <f t="shared" si="233"/>
        <v>578677.38751468039</v>
      </c>
      <c r="BG144" s="919">
        <f t="shared" si="219"/>
        <v>771569.85001957393</v>
      </c>
      <c r="BH144" s="975"/>
      <c r="BI144" s="975">
        <f t="shared" si="220"/>
        <v>20060816.100508921</v>
      </c>
      <c r="BJ144" s="975">
        <f t="shared" si="234"/>
        <v>601824.48301526764</v>
      </c>
      <c r="BK144" s="919">
        <f t="shared" si="221"/>
        <v>802432.64402035682</v>
      </c>
      <c r="BL144" s="975"/>
      <c r="BM144" s="975">
        <f t="shared" si="222"/>
        <v>20863248.744529277</v>
      </c>
      <c r="BN144" s="926">
        <f t="shared" si="223"/>
        <v>1564743.6558396958</v>
      </c>
      <c r="BO144" s="926">
        <f t="shared" si="224"/>
        <v>521581.21861323196</v>
      </c>
      <c r="BP144" s="926">
        <f t="shared" si="225"/>
        <v>2503589.8493435131</v>
      </c>
      <c r="BQ144" s="926">
        <f t="shared" si="226"/>
        <v>25453163.468325719</v>
      </c>
      <c r="BR144" s="926">
        <f t="shared" si="227"/>
        <v>233987.52958563817</v>
      </c>
      <c r="BS144" s="963">
        <v>0.15</v>
      </c>
      <c r="BT144" s="954">
        <f t="shared" si="198"/>
        <v>3817974.5202488578</v>
      </c>
      <c r="BU144" s="926">
        <f t="shared" si="199"/>
        <v>50000</v>
      </c>
      <c r="BV144" s="954">
        <f t="shared" si="166"/>
        <v>538282.07432126545</v>
      </c>
      <c r="BW144" s="869">
        <f t="shared" si="241"/>
        <v>7</v>
      </c>
      <c r="BX144" s="954">
        <f t="shared" si="167"/>
        <v>21635188.948076863</v>
      </c>
      <c r="BZ144" s="959">
        <v>46082</v>
      </c>
      <c r="CA144" s="960">
        <f t="shared" si="242"/>
        <v>7</v>
      </c>
      <c r="CB144" s="960">
        <f t="shared" si="235"/>
        <v>8</v>
      </c>
      <c r="CK144" s="933"/>
      <c r="GI144" s="912"/>
    </row>
    <row r="145" spans="1:191" x14ac:dyDescent="0.2">
      <c r="A145" s="952">
        <f t="shared" si="243"/>
        <v>132</v>
      </c>
      <c r="B145" s="952">
        <f t="shared" si="243"/>
        <v>8</v>
      </c>
      <c r="C145" s="952" t="s">
        <v>558</v>
      </c>
      <c r="D145" s="952"/>
      <c r="E145" s="952" t="s">
        <v>251</v>
      </c>
      <c r="F145" s="869" t="s">
        <v>252</v>
      </c>
      <c r="G145" s="869" t="s">
        <v>125</v>
      </c>
      <c r="H145" s="869" t="s">
        <v>260</v>
      </c>
      <c r="I145" s="869" t="s">
        <v>109</v>
      </c>
      <c r="J145" s="926">
        <v>69.2</v>
      </c>
      <c r="K145" s="962">
        <v>4.7699999999999996</v>
      </c>
      <c r="L145" s="962">
        <v>0</v>
      </c>
      <c r="M145" s="926">
        <f t="shared" si="200"/>
        <v>73.97</v>
      </c>
      <c r="N145" s="926"/>
      <c r="O145" s="926"/>
      <c r="P145" s="965"/>
      <c r="Q145" s="926">
        <f t="shared" si="168"/>
        <v>9134400</v>
      </c>
      <c r="R145" s="926">
        <f t="shared" si="169"/>
        <v>314820</v>
      </c>
      <c r="S145" s="926">
        <f t="shared" si="239"/>
        <v>9449220</v>
      </c>
      <c r="T145" s="926"/>
      <c r="U145" s="869">
        <f t="shared" si="238"/>
        <v>10</v>
      </c>
      <c r="V145" s="926">
        <f t="shared" si="170"/>
        <v>369850</v>
      </c>
      <c r="W145" s="926"/>
      <c r="X145" s="954">
        <f t="shared" si="171"/>
        <v>47246.1</v>
      </c>
      <c r="Y145" s="961"/>
      <c r="Z145" s="926"/>
      <c r="AA145" s="961" t="str">
        <f t="shared" si="237"/>
        <v>INNER</v>
      </c>
      <c r="AB145" s="961"/>
      <c r="AC145" s="926">
        <f t="shared" si="204"/>
        <v>417096.1</v>
      </c>
      <c r="AD145" s="926"/>
      <c r="AE145" s="956">
        <f t="shared" si="240"/>
        <v>9866316.0999999996</v>
      </c>
      <c r="AF145" s="956">
        <f t="shared" si="246"/>
        <v>303882.53587999998</v>
      </c>
      <c r="AG145" s="957">
        <f t="shared" si="165"/>
        <v>10170198.635879999</v>
      </c>
      <c r="AH145" s="919">
        <f t="shared" si="247"/>
        <v>230863.50903447598</v>
      </c>
      <c r="AI145" s="957">
        <f t="shared" si="244"/>
        <v>10401062.144914474</v>
      </c>
      <c r="AJ145" s="919">
        <f t="shared" si="245"/>
        <v>260026.55362286186</v>
      </c>
      <c r="AK145" s="920">
        <f t="shared" si="248"/>
        <v>10661088.698537337</v>
      </c>
      <c r="AL145" s="919">
        <f t="shared" si="207"/>
        <v>266527.21746343345</v>
      </c>
      <c r="AM145" s="982">
        <f t="shared" si="228"/>
        <v>10927615.91600077</v>
      </c>
      <c r="AN145" s="919">
        <f t="shared" si="208"/>
        <v>273190.39790001925</v>
      </c>
      <c r="AO145" s="920">
        <f t="shared" si="229"/>
        <v>11200806.313900789</v>
      </c>
      <c r="AP145" s="919">
        <f t="shared" si="209"/>
        <v>280020.15784751973</v>
      </c>
      <c r="AQ145" s="920">
        <f t="shared" si="210"/>
        <v>11480826.471748309</v>
      </c>
      <c r="AR145" s="919">
        <f t="shared" si="211"/>
        <v>344424.79415244929</v>
      </c>
      <c r="AS145" s="920">
        <f t="shared" si="212"/>
        <v>11825251.265900759</v>
      </c>
      <c r="AT145" s="920">
        <f t="shared" si="230"/>
        <v>354757.53797702276</v>
      </c>
      <c r="AU145" s="919">
        <f t="shared" si="213"/>
        <v>473010.05063603038</v>
      </c>
      <c r="AV145" s="919"/>
      <c r="AW145" s="920">
        <f t="shared" si="214"/>
        <v>12298261.31653679</v>
      </c>
      <c r="AX145" s="920">
        <f t="shared" si="231"/>
        <v>368947.8394961037</v>
      </c>
      <c r="AY145" s="919">
        <f t="shared" si="215"/>
        <v>491930.45266147162</v>
      </c>
      <c r="AZ145" s="919"/>
      <c r="BA145" s="920">
        <f t="shared" si="216"/>
        <v>12790191.769198261</v>
      </c>
      <c r="BB145" s="920">
        <f t="shared" si="232"/>
        <v>383705.75307594781</v>
      </c>
      <c r="BC145" s="919">
        <f t="shared" si="217"/>
        <v>511607.67076793045</v>
      </c>
      <c r="BD145" s="919"/>
      <c r="BE145" s="975">
        <f t="shared" si="218"/>
        <v>13301799.439966192</v>
      </c>
      <c r="BF145" s="975">
        <f t="shared" si="233"/>
        <v>399053.98319898575</v>
      </c>
      <c r="BG145" s="919">
        <f t="shared" si="219"/>
        <v>532071.9775986477</v>
      </c>
      <c r="BH145" s="975"/>
      <c r="BI145" s="975">
        <f t="shared" si="220"/>
        <v>13833871.417564841</v>
      </c>
      <c r="BJ145" s="975">
        <f t="shared" si="234"/>
        <v>415016.14252694522</v>
      </c>
      <c r="BK145" s="919">
        <f t="shared" si="221"/>
        <v>553354.85670259362</v>
      </c>
      <c r="BL145" s="975"/>
      <c r="BM145" s="975">
        <f t="shared" si="222"/>
        <v>14387226.274267435</v>
      </c>
      <c r="BN145" s="926">
        <f t="shared" si="223"/>
        <v>1079041.9705700576</v>
      </c>
      <c r="BO145" s="926">
        <f t="shared" si="224"/>
        <v>359680.65685668588</v>
      </c>
      <c r="BP145" s="926">
        <f t="shared" si="225"/>
        <v>1726467.1529120922</v>
      </c>
      <c r="BQ145" s="926">
        <f t="shared" si="226"/>
        <v>17552416.05460627</v>
      </c>
      <c r="BR145" s="926">
        <f t="shared" si="227"/>
        <v>237291.01060708761</v>
      </c>
      <c r="BS145" s="963">
        <v>0.15</v>
      </c>
      <c r="BT145" s="954">
        <f t="shared" si="198"/>
        <v>2632862.4081909405</v>
      </c>
      <c r="BU145" s="926">
        <f t="shared" si="199"/>
        <v>50000</v>
      </c>
      <c r="BV145" s="954">
        <f t="shared" si="166"/>
        <v>368980.3440272772</v>
      </c>
      <c r="BW145" s="869">
        <f t="shared" si="241"/>
        <v>7</v>
      </c>
      <c r="BX145" s="954">
        <f t="shared" si="167"/>
        <v>14919553.64641533</v>
      </c>
      <c r="BZ145" s="959">
        <v>46082</v>
      </c>
      <c r="CA145" s="960">
        <f t="shared" si="242"/>
        <v>7</v>
      </c>
      <c r="CB145" s="960">
        <f t="shared" si="235"/>
        <v>8</v>
      </c>
      <c r="CK145" s="933"/>
      <c r="GI145" s="912"/>
    </row>
    <row r="146" spans="1:191" x14ac:dyDescent="0.2">
      <c r="A146" s="952">
        <f t="shared" si="243"/>
        <v>133</v>
      </c>
      <c r="B146" s="952">
        <f t="shared" si="243"/>
        <v>9</v>
      </c>
      <c r="C146" s="952" t="s">
        <v>558</v>
      </c>
      <c r="D146" s="952"/>
      <c r="E146" s="952" t="s">
        <v>251</v>
      </c>
      <c r="F146" s="869" t="s">
        <v>252</v>
      </c>
      <c r="G146" s="869" t="s">
        <v>127</v>
      </c>
      <c r="H146" s="869" t="s">
        <v>261</v>
      </c>
      <c r="I146" s="869" t="s">
        <v>109</v>
      </c>
      <c r="J146" s="926">
        <v>69.36</v>
      </c>
      <c r="K146" s="962">
        <v>4.79</v>
      </c>
      <c r="L146" s="962">
        <v>0</v>
      </c>
      <c r="M146" s="926">
        <f t="shared" si="200"/>
        <v>74.150000000000006</v>
      </c>
      <c r="N146" s="926"/>
      <c r="O146" s="926"/>
      <c r="P146" s="965"/>
      <c r="Q146" s="926">
        <f t="shared" si="168"/>
        <v>9155520</v>
      </c>
      <c r="R146" s="926">
        <f t="shared" si="169"/>
        <v>316140</v>
      </c>
      <c r="S146" s="926">
        <f t="shared" si="239"/>
        <v>9471660</v>
      </c>
      <c r="T146" s="926"/>
      <c r="U146" s="869">
        <f t="shared" si="238"/>
        <v>10</v>
      </c>
      <c r="V146" s="926">
        <f t="shared" si="170"/>
        <v>370750</v>
      </c>
      <c r="W146" s="926"/>
      <c r="X146" s="954">
        <f t="shared" si="171"/>
        <v>47358.3</v>
      </c>
      <c r="Y146" s="961"/>
      <c r="Z146" s="926"/>
      <c r="AA146" s="961" t="str">
        <f t="shared" si="237"/>
        <v>INNER</v>
      </c>
      <c r="AB146" s="961"/>
      <c r="AC146" s="926">
        <f t="shared" si="204"/>
        <v>418108.3</v>
      </c>
      <c r="AD146" s="926"/>
      <c r="AE146" s="956">
        <f t="shared" si="240"/>
        <v>9889768.3000000007</v>
      </c>
      <c r="AF146" s="956">
        <f t="shared" si="246"/>
        <v>304604.86364000005</v>
      </c>
      <c r="AG146" s="957">
        <f t="shared" si="165"/>
        <v>10194373.16364</v>
      </c>
      <c r="AH146" s="919">
        <f t="shared" si="247"/>
        <v>231412.27081462802</v>
      </c>
      <c r="AI146" s="957">
        <f t="shared" si="244"/>
        <v>10425785.434454627</v>
      </c>
      <c r="AJ146" s="919">
        <f t="shared" si="245"/>
        <v>260644.63586136571</v>
      </c>
      <c r="AK146" s="920">
        <f t="shared" si="248"/>
        <v>10686430.070315992</v>
      </c>
      <c r="AL146" s="919">
        <f t="shared" si="207"/>
        <v>267160.75175789982</v>
      </c>
      <c r="AM146" s="920">
        <f t="shared" si="228"/>
        <v>10953590.822073892</v>
      </c>
      <c r="AN146" s="919">
        <f t="shared" si="208"/>
        <v>273839.77055184729</v>
      </c>
      <c r="AO146" s="920">
        <f t="shared" si="229"/>
        <v>11227430.592625739</v>
      </c>
      <c r="AP146" s="919">
        <f t="shared" si="209"/>
        <v>280685.76481564349</v>
      </c>
      <c r="AQ146" s="920">
        <f t="shared" si="210"/>
        <v>11508116.357441382</v>
      </c>
      <c r="AR146" s="919">
        <f t="shared" si="211"/>
        <v>345243.49072324147</v>
      </c>
      <c r="AS146" s="920">
        <f t="shared" si="212"/>
        <v>11853359.848164624</v>
      </c>
      <c r="AT146" s="920">
        <f t="shared" si="230"/>
        <v>355600.7954449387</v>
      </c>
      <c r="AU146" s="919">
        <f t="shared" si="213"/>
        <v>474134.39392658498</v>
      </c>
      <c r="AV146" s="919">
        <f>AU146-AT146</f>
        <v>118533.59848164627</v>
      </c>
      <c r="AW146" s="920">
        <f t="shared" si="214"/>
        <v>12327494.242091209</v>
      </c>
      <c r="AX146" s="920">
        <f t="shared" si="231"/>
        <v>369824.82726273627</v>
      </c>
      <c r="AY146" s="919">
        <f t="shared" si="215"/>
        <v>493099.76968364837</v>
      </c>
      <c r="AZ146" s="919"/>
      <c r="BA146" s="920">
        <f t="shared" si="216"/>
        <v>12820594.011774857</v>
      </c>
      <c r="BB146" s="920">
        <f t="shared" si="232"/>
        <v>384617.82035324571</v>
      </c>
      <c r="BC146" s="919">
        <f t="shared" si="217"/>
        <v>512823.76047099428</v>
      </c>
      <c r="BD146" s="919"/>
      <c r="BE146" s="975">
        <f t="shared" si="218"/>
        <v>13333417.77224585</v>
      </c>
      <c r="BF146" s="975">
        <f t="shared" si="233"/>
        <v>400002.53316737548</v>
      </c>
      <c r="BG146" s="919">
        <f t="shared" si="219"/>
        <v>533336.71088983398</v>
      </c>
      <c r="BH146" s="975"/>
      <c r="BI146" s="975">
        <f t="shared" si="220"/>
        <v>13866754.483135685</v>
      </c>
      <c r="BJ146" s="975">
        <f t="shared" si="234"/>
        <v>416002.63449407055</v>
      </c>
      <c r="BK146" s="919">
        <f t="shared" si="221"/>
        <v>554670.17932542739</v>
      </c>
      <c r="BL146" s="975"/>
      <c r="BM146" s="975">
        <f t="shared" si="222"/>
        <v>14421424.662461113</v>
      </c>
      <c r="BN146" s="926">
        <f t="shared" si="223"/>
        <v>1081606.8496845835</v>
      </c>
      <c r="BO146" s="926">
        <f t="shared" si="224"/>
        <v>360535.61656152783</v>
      </c>
      <c r="BP146" s="926">
        <f t="shared" si="225"/>
        <v>1730570.9594953335</v>
      </c>
      <c r="BQ146" s="926">
        <f t="shared" si="226"/>
        <v>17594138.088202558</v>
      </c>
      <c r="BR146" s="926">
        <f t="shared" si="227"/>
        <v>237277.65459477488</v>
      </c>
      <c r="BS146" s="963">
        <v>0.15</v>
      </c>
      <c r="BT146" s="954">
        <f t="shared" si="198"/>
        <v>2639120.7132303836</v>
      </c>
      <c r="BU146" s="926">
        <f t="shared" si="199"/>
        <v>50000</v>
      </c>
      <c r="BV146" s="954">
        <f t="shared" si="166"/>
        <v>369874.3876043405</v>
      </c>
      <c r="BW146" s="869">
        <f t="shared" si="241"/>
        <v>7</v>
      </c>
      <c r="BX146" s="954">
        <f t="shared" si="167"/>
        <v>14955017.374972176</v>
      </c>
      <c r="BZ146" s="959">
        <v>46082</v>
      </c>
      <c r="CA146" s="960">
        <f t="shared" si="242"/>
        <v>7</v>
      </c>
      <c r="CB146" s="960">
        <f t="shared" si="235"/>
        <v>8</v>
      </c>
      <c r="CK146" s="933"/>
      <c r="GI146" s="912"/>
    </row>
    <row r="147" spans="1:191" x14ac:dyDescent="0.2">
      <c r="A147" s="952">
        <f t="shared" si="243"/>
        <v>134</v>
      </c>
      <c r="B147" s="952">
        <f t="shared" si="243"/>
        <v>10</v>
      </c>
      <c r="C147" s="952" t="s">
        <v>558</v>
      </c>
      <c r="D147" s="952"/>
      <c r="E147" s="952" t="s">
        <v>251</v>
      </c>
      <c r="F147" s="869" t="s">
        <v>252</v>
      </c>
      <c r="G147" s="869" t="s">
        <v>129</v>
      </c>
      <c r="H147" s="869" t="s">
        <v>262</v>
      </c>
      <c r="I147" s="869" t="s">
        <v>109</v>
      </c>
      <c r="J147" s="926">
        <v>69.36</v>
      </c>
      <c r="K147" s="962">
        <v>4.79</v>
      </c>
      <c r="L147" s="962">
        <v>0</v>
      </c>
      <c r="M147" s="926">
        <f t="shared" si="200"/>
        <v>74.150000000000006</v>
      </c>
      <c r="N147" s="926"/>
      <c r="O147" s="926"/>
      <c r="P147" s="965"/>
      <c r="Q147" s="926">
        <f t="shared" si="168"/>
        <v>9155520</v>
      </c>
      <c r="R147" s="926">
        <f t="shared" si="169"/>
        <v>316140</v>
      </c>
      <c r="S147" s="926">
        <f t="shared" si="239"/>
        <v>9471660</v>
      </c>
      <c r="T147" s="926"/>
      <c r="U147" s="869">
        <f t="shared" si="238"/>
        <v>10</v>
      </c>
      <c r="V147" s="926">
        <f t="shared" si="170"/>
        <v>370750</v>
      </c>
      <c r="W147" s="926"/>
      <c r="X147" s="954">
        <f t="shared" si="171"/>
        <v>47358.3</v>
      </c>
      <c r="Y147" s="961"/>
      <c r="Z147" s="926"/>
      <c r="AA147" s="961" t="str">
        <f t="shared" si="237"/>
        <v>INNER</v>
      </c>
      <c r="AB147" s="961"/>
      <c r="AC147" s="926">
        <f t="shared" ref="AC147:AC150" si="249">SUM(V147:Z147)</f>
        <v>418108.3</v>
      </c>
      <c r="AD147" s="926"/>
      <c r="AE147" s="956">
        <f t="shared" si="240"/>
        <v>9889768.3000000007</v>
      </c>
      <c r="AF147" s="956">
        <f t="shared" si="246"/>
        <v>304604.86364000005</v>
      </c>
      <c r="AG147" s="957">
        <f t="shared" si="165"/>
        <v>10194373.16364</v>
      </c>
      <c r="AH147" s="919">
        <f t="shared" si="247"/>
        <v>231412.27081462802</v>
      </c>
      <c r="AI147" s="957">
        <f t="shared" si="244"/>
        <v>10425785.434454627</v>
      </c>
      <c r="AJ147" s="919">
        <f t="shared" si="245"/>
        <v>260644.63586136571</v>
      </c>
      <c r="AK147" s="920">
        <f t="shared" si="248"/>
        <v>10686430.070315992</v>
      </c>
      <c r="AL147" s="919">
        <f t="shared" si="207"/>
        <v>267160.75175789982</v>
      </c>
      <c r="AM147" s="920">
        <f t="shared" si="228"/>
        <v>10953590.822073892</v>
      </c>
      <c r="AN147" s="919">
        <f t="shared" si="208"/>
        <v>273839.77055184729</v>
      </c>
      <c r="AO147" s="920">
        <f t="shared" si="229"/>
        <v>11227430.592625739</v>
      </c>
      <c r="AP147" s="919">
        <f t="shared" si="209"/>
        <v>280685.76481564349</v>
      </c>
      <c r="AQ147" s="920">
        <f t="shared" si="210"/>
        <v>11508116.357441382</v>
      </c>
      <c r="AR147" s="919">
        <f t="shared" si="211"/>
        <v>345243.49072324147</v>
      </c>
      <c r="AS147" s="920">
        <f t="shared" si="212"/>
        <v>11853359.848164624</v>
      </c>
      <c r="AT147" s="920">
        <f t="shared" si="230"/>
        <v>355600.7954449387</v>
      </c>
      <c r="AU147" s="919">
        <f t="shared" si="213"/>
        <v>474134.39392658498</v>
      </c>
      <c r="AV147" s="919">
        <f>AU147-AT147</f>
        <v>118533.59848164627</v>
      </c>
      <c r="AW147" s="920">
        <f t="shared" si="214"/>
        <v>12327494.242091209</v>
      </c>
      <c r="AX147" s="920">
        <f t="shared" si="231"/>
        <v>369824.82726273627</v>
      </c>
      <c r="AY147" s="919">
        <f t="shared" si="215"/>
        <v>493099.76968364837</v>
      </c>
      <c r="AZ147" s="919"/>
      <c r="BA147" s="920">
        <f t="shared" si="216"/>
        <v>12820594.011774857</v>
      </c>
      <c r="BB147" s="920">
        <f t="shared" si="232"/>
        <v>384617.82035324571</v>
      </c>
      <c r="BC147" s="919">
        <f t="shared" si="217"/>
        <v>512823.76047099428</v>
      </c>
      <c r="BD147" s="919"/>
      <c r="BE147" s="975">
        <f t="shared" si="218"/>
        <v>13333417.77224585</v>
      </c>
      <c r="BF147" s="975">
        <f t="shared" si="233"/>
        <v>400002.53316737548</v>
      </c>
      <c r="BG147" s="919">
        <f t="shared" si="219"/>
        <v>533336.71088983398</v>
      </c>
      <c r="BH147" s="975"/>
      <c r="BI147" s="975">
        <f t="shared" si="220"/>
        <v>13866754.483135685</v>
      </c>
      <c r="BJ147" s="975">
        <f t="shared" si="234"/>
        <v>416002.63449407055</v>
      </c>
      <c r="BK147" s="919">
        <f t="shared" si="221"/>
        <v>554670.17932542739</v>
      </c>
      <c r="BL147" s="975"/>
      <c r="BM147" s="975">
        <f t="shared" si="222"/>
        <v>14421424.662461113</v>
      </c>
      <c r="BN147" s="926">
        <f t="shared" si="223"/>
        <v>1081606.8496845835</v>
      </c>
      <c r="BO147" s="926">
        <f t="shared" si="224"/>
        <v>360535.61656152783</v>
      </c>
      <c r="BP147" s="926">
        <f t="shared" si="225"/>
        <v>1730570.9594953335</v>
      </c>
      <c r="BQ147" s="926">
        <f t="shared" si="226"/>
        <v>17594138.088202558</v>
      </c>
      <c r="BR147" s="926">
        <f t="shared" si="227"/>
        <v>237277.65459477488</v>
      </c>
      <c r="BS147" s="963">
        <v>0.15</v>
      </c>
      <c r="BT147" s="954">
        <f t="shared" si="198"/>
        <v>2639120.7132303836</v>
      </c>
      <c r="BU147" s="926">
        <f t="shared" si="199"/>
        <v>50000</v>
      </c>
      <c r="BV147" s="954">
        <f t="shared" si="166"/>
        <v>369874.3876043405</v>
      </c>
      <c r="BW147" s="869">
        <f t="shared" si="241"/>
        <v>7</v>
      </c>
      <c r="BX147" s="954">
        <f t="shared" si="167"/>
        <v>14955017.374972176</v>
      </c>
      <c r="BZ147" s="959">
        <v>46082</v>
      </c>
      <c r="CA147" s="960">
        <f t="shared" si="242"/>
        <v>7</v>
      </c>
      <c r="CB147" s="960">
        <f t="shared" si="235"/>
        <v>8</v>
      </c>
      <c r="CK147" s="933"/>
      <c r="GI147" s="912"/>
    </row>
    <row r="148" spans="1:191" x14ac:dyDescent="0.2">
      <c r="A148" s="952">
        <f t="shared" si="243"/>
        <v>135</v>
      </c>
      <c r="B148" s="952">
        <f t="shared" si="243"/>
        <v>11</v>
      </c>
      <c r="C148" s="952" t="s">
        <v>558</v>
      </c>
      <c r="D148" s="952"/>
      <c r="E148" s="952" t="s">
        <v>251</v>
      </c>
      <c r="F148" s="869" t="s">
        <v>252</v>
      </c>
      <c r="G148" s="869" t="s">
        <v>131</v>
      </c>
      <c r="H148" s="869" t="s">
        <v>263</v>
      </c>
      <c r="I148" s="869" t="s">
        <v>109</v>
      </c>
      <c r="J148" s="926">
        <v>69.36</v>
      </c>
      <c r="K148" s="962">
        <v>4.79</v>
      </c>
      <c r="L148" s="962">
        <v>0</v>
      </c>
      <c r="M148" s="926">
        <f t="shared" si="200"/>
        <v>74.150000000000006</v>
      </c>
      <c r="N148" s="926"/>
      <c r="O148" s="926"/>
      <c r="P148" s="965"/>
      <c r="Q148" s="926">
        <f t="shared" si="168"/>
        <v>9155520</v>
      </c>
      <c r="R148" s="926">
        <f t="shared" si="169"/>
        <v>316140</v>
      </c>
      <c r="S148" s="926">
        <f t="shared" si="239"/>
        <v>9471660</v>
      </c>
      <c r="T148" s="926"/>
      <c r="U148" s="869">
        <f t="shared" si="238"/>
        <v>10</v>
      </c>
      <c r="V148" s="926">
        <f t="shared" si="170"/>
        <v>370750</v>
      </c>
      <c r="W148" s="926"/>
      <c r="X148" s="954">
        <f t="shared" si="171"/>
        <v>47358.3</v>
      </c>
      <c r="Y148" s="961"/>
      <c r="Z148" s="926"/>
      <c r="AA148" s="961" t="str">
        <f t="shared" si="237"/>
        <v>INNER</v>
      </c>
      <c r="AB148" s="961"/>
      <c r="AC148" s="926">
        <f t="shared" si="249"/>
        <v>418108.3</v>
      </c>
      <c r="AD148" s="926"/>
      <c r="AE148" s="956">
        <f t="shared" si="240"/>
        <v>9889768.3000000007</v>
      </c>
      <c r="AF148" s="956">
        <f t="shared" si="246"/>
        <v>304604.86364000005</v>
      </c>
      <c r="AG148" s="957">
        <f t="shared" si="165"/>
        <v>10194373.16364</v>
      </c>
      <c r="AH148" s="919">
        <f t="shared" si="247"/>
        <v>231412.27081462802</v>
      </c>
      <c r="AI148" s="957">
        <f t="shared" si="244"/>
        <v>10425785.434454627</v>
      </c>
      <c r="AJ148" s="919">
        <f t="shared" si="245"/>
        <v>260644.63586136571</v>
      </c>
      <c r="AK148" s="920">
        <f t="shared" si="248"/>
        <v>10686430.070315992</v>
      </c>
      <c r="AL148" s="919">
        <f t="shared" si="207"/>
        <v>267160.75175789982</v>
      </c>
      <c r="AM148" s="982">
        <f t="shared" si="228"/>
        <v>10953590.822073892</v>
      </c>
      <c r="AN148" s="919">
        <f t="shared" si="208"/>
        <v>273839.77055184729</v>
      </c>
      <c r="AO148" s="920">
        <f t="shared" si="229"/>
        <v>11227430.592625739</v>
      </c>
      <c r="AP148" s="919">
        <f t="shared" si="209"/>
        <v>280685.76481564349</v>
      </c>
      <c r="AQ148" s="920">
        <f t="shared" si="210"/>
        <v>11508116.357441382</v>
      </c>
      <c r="AR148" s="919">
        <f t="shared" si="211"/>
        <v>345243.49072324147</v>
      </c>
      <c r="AS148" s="920">
        <f t="shared" si="212"/>
        <v>11853359.848164624</v>
      </c>
      <c r="AT148" s="920">
        <f t="shared" si="230"/>
        <v>355600.7954449387</v>
      </c>
      <c r="AU148" s="919">
        <f t="shared" si="213"/>
        <v>474134.39392658498</v>
      </c>
      <c r="AV148" s="919"/>
      <c r="AW148" s="920">
        <f t="shared" si="214"/>
        <v>12327494.242091209</v>
      </c>
      <c r="AX148" s="920">
        <f t="shared" si="231"/>
        <v>369824.82726273627</v>
      </c>
      <c r="AY148" s="919">
        <f t="shared" si="215"/>
        <v>493099.76968364837</v>
      </c>
      <c r="AZ148" s="919"/>
      <c r="BA148" s="920">
        <f t="shared" si="216"/>
        <v>12820594.011774857</v>
      </c>
      <c r="BB148" s="920">
        <f t="shared" si="232"/>
        <v>384617.82035324571</v>
      </c>
      <c r="BC148" s="919">
        <f t="shared" si="217"/>
        <v>512823.76047099428</v>
      </c>
      <c r="BD148" s="919"/>
      <c r="BE148" s="975">
        <f t="shared" si="218"/>
        <v>13333417.77224585</v>
      </c>
      <c r="BF148" s="975">
        <f t="shared" si="233"/>
        <v>400002.53316737548</v>
      </c>
      <c r="BG148" s="919">
        <f t="shared" si="219"/>
        <v>533336.71088983398</v>
      </c>
      <c r="BH148" s="975"/>
      <c r="BI148" s="975">
        <f t="shared" si="220"/>
        <v>13866754.483135685</v>
      </c>
      <c r="BJ148" s="975">
        <f t="shared" si="234"/>
        <v>416002.63449407055</v>
      </c>
      <c r="BK148" s="919">
        <f t="shared" si="221"/>
        <v>554670.17932542739</v>
      </c>
      <c r="BL148" s="975"/>
      <c r="BM148" s="975">
        <f t="shared" si="222"/>
        <v>14421424.662461113</v>
      </c>
      <c r="BN148" s="926">
        <f t="shared" si="223"/>
        <v>1081606.8496845835</v>
      </c>
      <c r="BO148" s="926">
        <f t="shared" si="224"/>
        <v>360535.61656152783</v>
      </c>
      <c r="BP148" s="926">
        <f t="shared" si="225"/>
        <v>1730570.9594953335</v>
      </c>
      <c r="BQ148" s="926">
        <f t="shared" si="226"/>
        <v>17594138.088202558</v>
      </c>
      <c r="BR148" s="926">
        <f t="shared" si="227"/>
        <v>237277.65459477488</v>
      </c>
      <c r="BS148" s="963">
        <v>0.15</v>
      </c>
      <c r="BT148" s="954">
        <f t="shared" si="198"/>
        <v>2639120.7132303836</v>
      </c>
      <c r="BU148" s="926">
        <f t="shared" si="199"/>
        <v>50000</v>
      </c>
      <c r="BV148" s="954">
        <f t="shared" si="166"/>
        <v>369874.3876043405</v>
      </c>
      <c r="BW148" s="869">
        <f t="shared" si="241"/>
        <v>7</v>
      </c>
      <c r="BX148" s="954">
        <f t="shared" si="167"/>
        <v>14955017.374972176</v>
      </c>
      <c r="BZ148" s="959">
        <v>46082</v>
      </c>
      <c r="CA148" s="960">
        <f t="shared" si="242"/>
        <v>7</v>
      </c>
      <c r="CB148" s="960">
        <f t="shared" si="235"/>
        <v>8</v>
      </c>
      <c r="CK148" s="933"/>
      <c r="GI148" s="912"/>
    </row>
    <row r="149" spans="1:191" x14ac:dyDescent="0.2">
      <c r="A149" s="952">
        <f t="shared" si="243"/>
        <v>136</v>
      </c>
      <c r="B149" s="952">
        <f t="shared" si="243"/>
        <v>12</v>
      </c>
      <c r="C149" s="952" t="s">
        <v>558</v>
      </c>
      <c r="D149" s="952"/>
      <c r="E149" s="952" t="s">
        <v>251</v>
      </c>
      <c r="F149" s="869" t="s">
        <v>252</v>
      </c>
      <c r="G149" s="869" t="s">
        <v>133</v>
      </c>
      <c r="H149" s="869" t="s">
        <v>264</v>
      </c>
      <c r="I149" s="869" t="s">
        <v>109</v>
      </c>
      <c r="J149" s="926">
        <v>83.12</v>
      </c>
      <c r="K149" s="962">
        <v>13.04</v>
      </c>
      <c r="L149" s="962">
        <v>0</v>
      </c>
      <c r="M149" s="926">
        <f t="shared" si="200"/>
        <v>96.16</v>
      </c>
      <c r="N149" s="926"/>
      <c r="O149" s="926"/>
      <c r="P149" s="965"/>
      <c r="Q149" s="926">
        <f t="shared" si="168"/>
        <v>10971840</v>
      </c>
      <c r="R149" s="926">
        <f t="shared" si="169"/>
        <v>860640</v>
      </c>
      <c r="S149" s="926">
        <f t="shared" si="239"/>
        <v>11832480</v>
      </c>
      <c r="T149" s="926"/>
      <c r="U149" s="869">
        <f t="shared" si="238"/>
        <v>10</v>
      </c>
      <c r="V149" s="926">
        <f t="shared" si="170"/>
        <v>480799.99999999994</v>
      </c>
      <c r="W149" s="926"/>
      <c r="X149" s="954">
        <f t="shared" si="171"/>
        <v>59162.400000000001</v>
      </c>
      <c r="Y149" s="926">
        <f>M149*$Y$5</f>
        <v>192320</v>
      </c>
      <c r="Z149" s="926">
        <f t="shared" ref="Z149:Z150" si="250">M149*$Z$5</f>
        <v>96160</v>
      </c>
      <c r="AA149" s="961" t="str">
        <f t="shared" si="237"/>
        <v>CORNER</v>
      </c>
      <c r="AB149" s="961" t="s">
        <v>573</v>
      </c>
      <c r="AC149" s="926">
        <f t="shared" si="249"/>
        <v>828442.39999999991</v>
      </c>
      <c r="AD149" s="926"/>
      <c r="AE149" s="956">
        <f t="shared" si="240"/>
        <v>12660922.4</v>
      </c>
      <c r="AF149" s="956">
        <f t="shared" si="246"/>
        <v>389956.40992000001</v>
      </c>
      <c r="AG149" s="957">
        <f t="shared" ref="AG149:AG151" si="251">AE149+AF149</f>
        <v>13050878.80992</v>
      </c>
      <c r="AH149" s="919">
        <f t="shared" si="247"/>
        <v>296254.94898518402</v>
      </c>
      <c r="AI149" s="957">
        <f t="shared" si="244"/>
        <v>13347133.758905184</v>
      </c>
      <c r="AJ149" s="919">
        <f t="shared" si="245"/>
        <v>333678.34397262963</v>
      </c>
      <c r="AK149" s="920">
        <f t="shared" si="248"/>
        <v>13680812.102877812</v>
      </c>
      <c r="AL149" s="919">
        <f t="shared" si="207"/>
        <v>342020.30257194536</v>
      </c>
      <c r="AM149" s="982">
        <f t="shared" si="228"/>
        <v>14022832.405449757</v>
      </c>
      <c r="AN149" s="919">
        <f t="shared" si="208"/>
        <v>350570.81013624393</v>
      </c>
      <c r="AO149" s="920">
        <f t="shared" si="229"/>
        <v>14373403.215586001</v>
      </c>
      <c r="AP149" s="919">
        <f t="shared" si="209"/>
        <v>359335.08038965007</v>
      </c>
      <c r="AQ149" s="920">
        <f t="shared" si="210"/>
        <v>14732738.295975652</v>
      </c>
      <c r="AR149" s="919">
        <f t="shared" si="211"/>
        <v>441982.14887926955</v>
      </c>
      <c r="AS149" s="920">
        <f t="shared" si="212"/>
        <v>15174720.444854921</v>
      </c>
      <c r="AT149" s="920">
        <f t="shared" si="230"/>
        <v>455241.61334564758</v>
      </c>
      <c r="AU149" s="919">
        <f t="shared" si="213"/>
        <v>606988.81779419689</v>
      </c>
      <c r="AV149" s="919"/>
      <c r="AW149" s="920">
        <f t="shared" si="214"/>
        <v>15781709.262649117</v>
      </c>
      <c r="AX149" s="920">
        <f t="shared" si="231"/>
        <v>473451.27787947352</v>
      </c>
      <c r="AY149" s="919">
        <f t="shared" si="215"/>
        <v>631268.37050596473</v>
      </c>
      <c r="AZ149" s="919"/>
      <c r="BA149" s="920">
        <f t="shared" si="216"/>
        <v>16412977.633155081</v>
      </c>
      <c r="BB149" s="920">
        <f t="shared" si="232"/>
        <v>492389.32899465243</v>
      </c>
      <c r="BC149" s="919">
        <f t="shared" si="217"/>
        <v>656519.10532620328</v>
      </c>
      <c r="BD149" s="919"/>
      <c r="BE149" s="975">
        <f t="shared" si="218"/>
        <v>17069496.738481283</v>
      </c>
      <c r="BF149" s="975">
        <f t="shared" si="233"/>
        <v>512084.90215443849</v>
      </c>
      <c r="BG149" s="919">
        <f t="shared" si="219"/>
        <v>682779.86953925132</v>
      </c>
      <c r="BH149" s="975"/>
      <c r="BI149" s="975">
        <f t="shared" si="220"/>
        <v>17752276.608020533</v>
      </c>
      <c r="BJ149" s="975">
        <f t="shared" si="234"/>
        <v>532568.29824061599</v>
      </c>
      <c r="BK149" s="919">
        <f t="shared" si="221"/>
        <v>710091.06432082132</v>
      </c>
      <c r="BL149" s="975"/>
      <c r="BM149" s="975">
        <f t="shared" si="222"/>
        <v>18462367.672341354</v>
      </c>
      <c r="BN149" s="926">
        <f t="shared" si="223"/>
        <v>1384677.5754256016</v>
      </c>
      <c r="BO149" s="926">
        <f t="shared" si="224"/>
        <v>461559.19180853385</v>
      </c>
      <c r="BP149" s="926">
        <f t="shared" si="225"/>
        <v>2215484.1206809622</v>
      </c>
      <c r="BQ149" s="926">
        <f t="shared" si="226"/>
        <v>22524088.560256451</v>
      </c>
      <c r="BR149" s="926">
        <f t="shared" si="227"/>
        <v>234235.52995275013</v>
      </c>
      <c r="BS149" s="963">
        <v>0.15</v>
      </c>
      <c r="BT149" s="954">
        <f t="shared" si="198"/>
        <v>3378613.2840384678</v>
      </c>
      <c r="BU149" s="926">
        <f t="shared" si="199"/>
        <v>50000</v>
      </c>
      <c r="BV149" s="954">
        <f t="shared" ref="BV149:BV150" si="252">(BT149-BU149)/(BW149)</f>
        <v>475516.18343406683</v>
      </c>
      <c r="BW149" s="869">
        <f t="shared" si="241"/>
        <v>7</v>
      </c>
      <c r="BX149" s="954">
        <f t="shared" ref="BX149:BX150" si="253">BQ149-BT149</f>
        <v>19145475.276217982</v>
      </c>
      <c r="BZ149" s="959">
        <v>46082</v>
      </c>
      <c r="CA149" s="960">
        <f t="shared" si="242"/>
        <v>7</v>
      </c>
      <c r="CB149" s="960">
        <f t="shared" si="235"/>
        <v>8</v>
      </c>
      <c r="CK149" s="933"/>
      <c r="GI149" s="912"/>
    </row>
    <row r="150" spans="1:191" x14ac:dyDescent="0.2">
      <c r="A150" s="952">
        <f t="shared" si="243"/>
        <v>137</v>
      </c>
      <c r="B150" s="952">
        <f t="shared" si="243"/>
        <v>13</v>
      </c>
      <c r="C150" s="952" t="s">
        <v>558</v>
      </c>
      <c r="D150" s="952"/>
      <c r="E150" s="952" t="s">
        <v>251</v>
      </c>
      <c r="F150" s="869" t="s">
        <v>252</v>
      </c>
      <c r="G150" s="869" t="s">
        <v>136</v>
      </c>
      <c r="H150" s="869" t="s">
        <v>265</v>
      </c>
      <c r="I150" s="869" t="s">
        <v>113</v>
      </c>
      <c r="J150" s="926">
        <v>52.04</v>
      </c>
      <c r="K150" s="962">
        <v>3.1</v>
      </c>
      <c r="L150" s="962">
        <v>0</v>
      </c>
      <c r="M150" s="926">
        <f t="shared" si="200"/>
        <v>55.14</v>
      </c>
      <c r="N150" s="926"/>
      <c r="O150" s="926"/>
      <c r="P150" s="965"/>
      <c r="Q150" s="926">
        <f t="shared" ref="Q150" si="254">J150*$Q$5</f>
        <v>6869280</v>
      </c>
      <c r="R150" s="926">
        <f t="shared" ref="R150" si="255">K150*$R$5</f>
        <v>204600</v>
      </c>
      <c r="S150" s="926">
        <f t="shared" si="239"/>
        <v>7073880</v>
      </c>
      <c r="T150" s="926"/>
      <c r="U150" s="869">
        <f t="shared" si="238"/>
        <v>10</v>
      </c>
      <c r="V150" s="926">
        <f t="shared" ref="V150" si="256">M150*U150*$V$5</f>
        <v>275700</v>
      </c>
      <c r="W150" s="926"/>
      <c r="X150" s="954">
        <f t="shared" ref="X150" si="257">S150*$X$5</f>
        <v>35369.4</v>
      </c>
      <c r="Y150" s="961"/>
      <c r="Z150" s="926">
        <f t="shared" si="250"/>
        <v>55140</v>
      </c>
      <c r="AA150" s="961" t="str">
        <f t="shared" si="237"/>
        <v>INNER</v>
      </c>
      <c r="AB150" s="961" t="s">
        <v>573</v>
      </c>
      <c r="AC150" s="926">
        <f t="shared" si="249"/>
        <v>366209.4</v>
      </c>
      <c r="AD150" s="926"/>
      <c r="AE150" s="956">
        <f t="shared" si="240"/>
        <v>7440089.4000000004</v>
      </c>
      <c r="AF150" s="956">
        <f t="shared" si="246"/>
        <v>229154.75352000003</v>
      </c>
      <c r="AG150" s="957">
        <f t="shared" si="251"/>
        <v>7669244.1535200002</v>
      </c>
      <c r="AH150" s="919">
        <f t="shared" si="247"/>
        <v>174091.84228490401</v>
      </c>
      <c r="AI150" s="957">
        <f t="shared" si="244"/>
        <v>7843335.995804904</v>
      </c>
      <c r="AJ150" s="919">
        <f t="shared" si="245"/>
        <v>196083.39989512262</v>
      </c>
      <c r="AK150" s="920">
        <f t="shared" si="248"/>
        <v>8039419.3957000263</v>
      </c>
      <c r="AL150" s="919">
        <f t="shared" si="207"/>
        <v>200985.48489250068</v>
      </c>
      <c r="AM150" s="982">
        <f t="shared" si="228"/>
        <v>8240404.8805925269</v>
      </c>
      <c r="AN150" s="919">
        <f t="shared" si="208"/>
        <v>206010.12201481318</v>
      </c>
      <c r="AO150" s="920">
        <f t="shared" si="229"/>
        <v>8446415.00260734</v>
      </c>
      <c r="AP150" s="919">
        <f t="shared" si="209"/>
        <v>211160.3750651835</v>
      </c>
      <c r="AQ150" s="920">
        <f t="shared" si="210"/>
        <v>8657575.3776725233</v>
      </c>
      <c r="AR150" s="919">
        <f t="shared" si="211"/>
        <v>259727.26133017568</v>
      </c>
      <c r="AS150" s="920">
        <f t="shared" si="212"/>
        <v>8917302.6390026994</v>
      </c>
      <c r="AT150" s="920">
        <f t="shared" si="230"/>
        <v>267519.07917008095</v>
      </c>
      <c r="AU150" s="919">
        <f t="shared" si="213"/>
        <v>356692.10556010797</v>
      </c>
      <c r="AV150" s="919"/>
      <c r="AW150" s="920">
        <f t="shared" si="214"/>
        <v>9273994.7445628066</v>
      </c>
      <c r="AX150" s="920">
        <f t="shared" si="231"/>
        <v>278219.84233688418</v>
      </c>
      <c r="AY150" s="919">
        <f t="shared" si="215"/>
        <v>370959.78978251229</v>
      </c>
      <c r="AZ150" s="919"/>
      <c r="BA150" s="920">
        <f t="shared" si="216"/>
        <v>9644954.5343453195</v>
      </c>
      <c r="BB150" s="920">
        <f t="shared" si="232"/>
        <v>289348.6360303596</v>
      </c>
      <c r="BC150" s="919">
        <f t="shared" si="217"/>
        <v>385798.18137381278</v>
      </c>
      <c r="BD150" s="919"/>
      <c r="BE150" s="975">
        <f t="shared" si="218"/>
        <v>10030752.715719132</v>
      </c>
      <c r="BF150" s="975">
        <f t="shared" si="233"/>
        <v>300922.58147157397</v>
      </c>
      <c r="BG150" s="919">
        <f t="shared" si="219"/>
        <v>401230.10862876527</v>
      </c>
      <c r="BH150" s="975"/>
      <c r="BI150" s="975">
        <f t="shared" si="220"/>
        <v>10431982.824347897</v>
      </c>
      <c r="BJ150" s="975">
        <f t="shared" si="234"/>
        <v>312959.48473043687</v>
      </c>
      <c r="BK150" s="919">
        <f t="shared" si="221"/>
        <v>417279.31297391589</v>
      </c>
      <c r="BL150" s="975"/>
      <c r="BM150" s="975">
        <f t="shared" si="222"/>
        <v>10849262.137321813</v>
      </c>
      <c r="BN150" s="926">
        <f t="shared" si="223"/>
        <v>813694.66029913595</v>
      </c>
      <c r="BO150" s="926">
        <f t="shared" si="224"/>
        <v>271231.55343304534</v>
      </c>
      <c r="BP150" s="926">
        <f t="shared" si="225"/>
        <v>1301911.4564786176</v>
      </c>
      <c r="BQ150" s="926">
        <f t="shared" si="226"/>
        <v>13236099.807532612</v>
      </c>
      <c r="BR150" s="926">
        <f t="shared" si="227"/>
        <v>240045.33564622074</v>
      </c>
      <c r="BS150" s="963">
        <v>0.15</v>
      </c>
      <c r="BT150" s="954">
        <f t="shared" si="198"/>
        <v>1985414.9711298917</v>
      </c>
      <c r="BU150" s="926">
        <f t="shared" si="199"/>
        <v>50000</v>
      </c>
      <c r="BV150" s="954">
        <f t="shared" si="252"/>
        <v>276487.85301855596</v>
      </c>
      <c r="BW150" s="869">
        <f t="shared" si="241"/>
        <v>7</v>
      </c>
      <c r="BX150" s="954">
        <f t="shared" si="253"/>
        <v>11250684.83640272</v>
      </c>
      <c r="BZ150" s="959">
        <v>46082</v>
      </c>
      <c r="CA150" s="960">
        <f t="shared" si="242"/>
        <v>7</v>
      </c>
      <c r="CB150" s="960">
        <f t="shared" si="235"/>
        <v>8</v>
      </c>
      <c r="CK150" s="933"/>
      <c r="GI150" s="912"/>
    </row>
    <row r="151" spans="1:191" s="972" customFormat="1" ht="13.5" thickBot="1" x14ac:dyDescent="0.25">
      <c r="A151" s="967"/>
      <c r="B151" s="928"/>
      <c r="C151" s="968"/>
      <c r="D151" s="968"/>
      <c r="E151" s="968"/>
      <c r="F151" s="969"/>
      <c r="G151" s="969"/>
      <c r="H151" s="969"/>
      <c r="I151" s="969"/>
      <c r="J151" s="921">
        <f>SUM(J7:J150)</f>
        <v>10107.799999999997</v>
      </c>
      <c r="K151" s="921">
        <f>SUM(K7:K150)</f>
        <v>940.29999999999984</v>
      </c>
      <c r="L151" s="921"/>
      <c r="M151" s="921">
        <f>SUM(M7:M150)</f>
        <v>11359.289999999992</v>
      </c>
      <c r="N151" s="921"/>
      <c r="O151" s="921"/>
      <c r="P151" s="969"/>
      <c r="Q151" s="921"/>
      <c r="R151" s="921"/>
      <c r="S151" s="921">
        <f>SUM(S7:S150)</f>
        <v>1443187350</v>
      </c>
      <c r="T151" s="921">
        <f t="shared" ref="T151:AE151" si="258">SUM(T7:T150)</f>
        <v>0</v>
      </c>
      <c r="U151" s="921">
        <f t="shared" si="258"/>
        <v>715</v>
      </c>
      <c r="V151" s="921">
        <f t="shared" si="258"/>
        <v>27962550</v>
      </c>
      <c r="W151" s="921">
        <f t="shared" si="258"/>
        <v>2033640</v>
      </c>
      <c r="X151" s="921">
        <f t="shared" si="258"/>
        <v>6400712.9999999944</v>
      </c>
      <c r="Y151" s="921">
        <f t="shared" si="258"/>
        <v>8235200</v>
      </c>
      <c r="Z151" s="921">
        <f t="shared" si="258"/>
        <v>5157000</v>
      </c>
      <c r="AA151" s="921">
        <f t="shared" si="258"/>
        <v>0</v>
      </c>
      <c r="AB151" s="921">
        <f t="shared" si="258"/>
        <v>0</v>
      </c>
      <c r="AC151" s="921">
        <f t="shared" si="258"/>
        <v>49789102.999999985</v>
      </c>
      <c r="AD151" s="921"/>
      <c r="AE151" s="913">
        <f t="shared" si="258"/>
        <v>1492976452.9999988</v>
      </c>
      <c r="AF151" s="989">
        <f>SUM(AF7:AF150)</f>
        <v>40961896.452399984</v>
      </c>
      <c r="AG151" s="913">
        <f t="shared" si="251"/>
        <v>1533938349.4523988</v>
      </c>
      <c r="AH151" s="989">
        <f>SUM(AH7:AH150)</f>
        <v>31119284.707569487</v>
      </c>
      <c r="AI151" s="913">
        <f t="shared" si="244"/>
        <v>1565057634.1599684</v>
      </c>
      <c r="AJ151" s="989">
        <f>SUM(AJ7:AJ150)</f>
        <v>39126440.853999242</v>
      </c>
      <c r="AK151" s="921">
        <f t="shared" si="248"/>
        <v>1604184075.0139675</v>
      </c>
      <c r="AL151" s="989">
        <f>SUM(AL7:AL150)</f>
        <v>40104601.875349239</v>
      </c>
      <c r="AM151" s="978">
        <f>AVERAGE(AM7:AM150)</f>
        <v>11418671.367286934</v>
      </c>
      <c r="AN151" s="989">
        <f>SUM(AN7:AN150)</f>
        <v>41107216.922232911</v>
      </c>
      <c r="AO151" s="921">
        <f t="shared" si="229"/>
        <v>52525888.289519846</v>
      </c>
      <c r="AP151" s="989">
        <f>SUM(AP7:AP150)</f>
        <v>42134897.345288754</v>
      </c>
      <c r="AQ151" s="921">
        <f t="shared" ref="AQ151:BF151" si="259">SUM(AQ7:AQ150)</f>
        <v>1727530791.1568408</v>
      </c>
      <c r="AR151" s="989">
        <f>SUM(AR7:AR150)</f>
        <v>51825923.734705187</v>
      </c>
      <c r="AS151" s="921">
        <f t="shared" si="259"/>
        <v>1779356714.8915443</v>
      </c>
      <c r="AT151" s="921">
        <f t="shared" ref="AT151" si="260">SUM(AT7:AT150)</f>
        <v>53380701.446746342</v>
      </c>
      <c r="AU151" s="989">
        <f>SUM(AU7:AU150)</f>
        <v>71174268.595661834</v>
      </c>
      <c r="AV151" s="921">
        <f>SUM(AV7:AV150)</f>
        <v>591054.90050944872</v>
      </c>
      <c r="AW151" s="921">
        <f t="shared" si="259"/>
        <v>1850530983.4872072</v>
      </c>
      <c r="AX151" s="921">
        <f t="shared" ref="AX151" si="261">SUM(AX7:AX150)</f>
        <v>55515929.504616231</v>
      </c>
      <c r="AY151" s="989">
        <f>SUM(AY7:AY150)</f>
        <v>74021239.339488283</v>
      </c>
      <c r="AZ151" s="921">
        <f t="shared" si="259"/>
        <v>599840.64709221781</v>
      </c>
      <c r="BA151" s="921">
        <f t="shared" si="259"/>
        <v>1924552222.8266943</v>
      </c>
      <c r="BB151" s="921">
        <f t="shared" ref="BB151" si="262">SUM(BB7:BB150)</f>
        <v>57736566.684800856</v>
      </c>
      <c r="BC151" s="989">
        <f>SUM(BC7:BC150)</f>
        <v>76982088.913067833</v>
      </c>
      <c r="BD151" s="921">
        <f t="shared" si="259"/>
        <v>630936.6491845788</v>
      </c>
      <c r="BE151" s="921">
        <f t="shared" si="259"/>
        <v>2001534311.7397628</v>
      </c>
      <c r="BF151" s="921">
        <f t="shared" si="259"/>
        <v>60046029.352192901</v>
      </c>
      <c r="BG151" s="989">
        <f>SUM(BG7:BG150)</f>
        <v>80061372.46959047</v>
      </c>
      <c r="BH151" s="921">
        <f t="shared" ref="BH151" si="263">SUM(BH7:BH150)</f>
        <v>640527.20257696463</v>
      </c>
      <c r="BI151" s="921"/>
      <c r="BJ151" s="921"/>
      <c r="BK151" s="989">
        <f>SUM(BK7:BK150)</f>
        <v>83263827.368374109</v>
      </c>
      <c r="BL151" s="921">
        <f t="shared" ref="BL151" si="264">SUM(BL7:BL150)</f>
        <v>927148.16837568302</v>
      </c>
      <c r="BM151" s="921">
        <f>SUM(BM7:BM150)</f>
        <v>2164859511.5777273</v>
      </c>
      <c r="BN151" s="926">
        <f t="shared" si="223"/>
        <v>162364463.36832955</v>
      </c>
      <c r="BO151" s="926">
        <f t="shared" si="224"/>
        <v>54121487.789443187</v>
      </c>
      <c r="BP151" s="926">
        <f t="shared" si="225"/>
        <v>259783141.38932726</v>
      </c>
      <c r="BQ151" s="926">
        <f t="shared" si="226"/>
        <v>2641128604.1248269</v>
      </c>
      <c r="BR151" s="921">
        <f t="shared" ref="BR151:BX151" si="265">SUM(BR7:BR150)</f>
        <v>33642938.612318493</v>
      </c>
      <c r="BS151" s="921">
        <f t="shared" si="265"/>
        <v>25.099999999999937</v>
      </c>
      <c r="BT151" s="921">
        <f t="shared" si="265"/>
        <v>464956238.71225411</v>
      </c>
      <c r="BU151" s="921">
        <f t="shared" si="265"/>
        <v>9300000</v>
      </c>
      <c r="BV151" s="921">
        <f t="shared" si="265"/>
        <v>65093748.387464978</v>
      </c>
      <c r="BW151" s="921">
        <f t="shared" si="265"/>
        <v>1008</v>
      </c>
      <c r="BX151" s="921">
        <f t="shared" si="265"/>
        <v>2176172365.4125738</v>
      </c>
      <c r="BY151" s="970"/>
      <c r="BZ151" s="971"/>
      <c r="CA151" s="971"/>
      <c r="CB151" s="971"/>
      <c r="CC151" s="970"/>
      <c r="CD151" s="970"/>
      <c r="CE151" s="970"/>
      <c r="CF151" s="970"/>
      <c r="CG151" s="970"/>
      <c r="CH151" s="970"/>
      <c r="CI151" s="970"/>
      <c r="CJ151" s="970"/>
      <c r="CK151" s="970"/>
      <c r="CL151" s="970"/>
      <c r="CM151" s="970"/>
      <c r="CN151" s="970"/>
      <c r="CO151" s="970"/>
      <c r="CP151" s="970"/>
      <c r="CQ151" s="970"/>
      <c r="CR151" s="970"/>
      <c r="CS151" s="970"/>
      <c r="CT151" s="970"/>
      <c r="CU151" s="970"/>
      <c r="CV151" s="970"/>
      <c r="CW151" s="970"/>
      <c r="CX151" s="970"/>
      <c r="CY151" s="970"/>
      <c r="CZ151" s="970"/>
      <c r="DA151" s="970"/>
      <c r="DB151" s="970"/>
      <c r="DC151" s="970"/>
      <c r="DD151" s="970"/>
      <c r="DE151" s="970"/>
      <c r="DF151" s="970"/>
      <c r="DG151" s="970"/>
      <c r="DH151" s="970"/>
      <c r="DI151" s="970"/>
      <c r="DJ151" s="970"/>
      <c r="DK151" s="970"/>
      <c r="DL151" s="970"/>
      <c r="DM151" s="970"/>
      <c r="DN151" s="970"/>
      <c r="DO151" s="970"/>
      <c r="DP151" s="970"/>
      <c r="DQ151" s="970"/>
      <c r="DR151" s="970"/>
    </row>
    <row r="152" spans="1:191" x14ac:dyDescent="0.2">
      <c r="Y152" s="931"/>
      <c r="AE152" s="911">
        <f>AVERAGE(AE21:AE150)</f>
        <v>10230243.869230762</v>
      </c>
      <c r="AM152" s="977">
        <f>AM151*0.95</f>
        <v>10847737.798922587</v>
      </c>
      <c r="AN152" s="911">
        <f t="shared" si="208"/>
        <v>271193.4449730647</v>
      </c>
      <c r="AO152" s="912">
        <f t="shared" si="229"/>
        <v>11118931.243895652</v>
      </c>
      <c r="AP152" s="911">
        <f t="shared" si="209"/>
        <v>277973.28109739133</v>
      </c>
      <c r="AS152" s="912" t="s">
        <v>580</v>
      </c>
      <c r="AW152" s="912" t="s">
        <v>581</v>
      </c>
      <c r="BA152" s="912" t="s">
        <v>582</v>
      </c>
      <c r="BE152" s="912" t="s">
        <v>583</v>
      </c>
      <c r="BS152" s="938"/>
      <c r="BT152" s="938"/>
      <c r="BV152" s="938"/>
      <c r="BX152" s="938"/>
    </row>
    <row r="153" spans="1:191" x14ac:dyDescent="0.2">
      <c r="S153" s="924">
        <v>0.53349999999999997</v>
      </c>
      <c r="Y153" s="931"/>
      <c r="AE153" s="911">
        <f>AE152*0.95</f>
        <v>9718731.6757692229</v>
      </c>
      <c r="AM153" s="977"/>
      <c r="AS153" s="912">
        <f>AS134+AS135+AS146+AS147</f>
        <v>47324567.074715383</v>
      </c>
      <c r="AW153" s="912">
        <f>AW108+AW115+AW119+AW120+AW121</f>
        <v>59984064.709221765</v>
      </c>
      <c r="BA153" s="912">
        <f>BA95+BA94+BA83+BA82+BA81+BA80</f>
        <v>75548004.99802649</v>
      </c>
      <c r="BE153" s="912">
        <f>BE68+BE63+BE56+BE55+BE54+BE50+BE44+BE43</f>
        <v>101846163.03866507</v>
      </c>
      <c r="BL153" s="912">
        <f>BL151+BH151+BD151+AZ151</f>
        <v>2798452.6672294438</v>
      </c>
      <c r="BX153" s="931"/>
    </row>
    <row r="154" spans="1:191" x14ac:dyDescent="0.2">
      <c r="Y154" s="931"/>
      <c r="AM154" s="977"/>
      <c r="AS154" s="912">
        <f>AW128+AW132+AW133</f>
        <v>35694403.656415403</v>
      </c>
      <c r="AW154" s="912">
        <f>BA96+BA107</f>
        <v>25304752.976744242</v>
      </c>
      <c r="BA154" s="912">
        <f>BE69</f>
        <v>13233448.501195084</v>
      </c>
      <c r="BM154" s="922">
        <f>BK151/BM151</f>
        <v>3.846153846153845E-2</v>
      </c>
    </row>
    <row r="155" spans="1:191" x14ac:dyDescent="0.2">
      <c r="S155" s="912">
        <f>AF151+AH151+AJ151+AL151+AN151+AP151+AR151+AU151+AY151+BC151+BG151+BK151</f>
        <v>671883058.57772732</v>
      </c>
      <c r="Y155" s="931"/>
      <c r="AM155" s="977"/>
    </row>
    <row r="156" spans="1:191" x14ac:dyDescent="0.2">
      <c r="Y156" s="931"/>
      <c r="AM156" s="977"/>
      <c r="AS156" s="912">
        <f t="shared" ref="AS156:AU156" si="266">SUM(AS153:AS154)*95%</f>
        <v>78868022.194574237</v>
      </c>
      <c r="AT156" s="912">
        <f t="shared" ref="AT156" si="267">SUM(AT153:AT154)*95%</f>
        <v>0</v>
      </c>
      <c r="AU156" s="912">
        <f t="shared" si="266"/>
        <v>0</v>
      </c>
      <c r="AV156" s="912"/>
      <c r="AW156" s="912">
        <f>SUM(AW153:AW154)*95%</f>
        <v>81024376.801667705</v>
      </c>
      <c r="AX156" s="912">
        <f t="shared" ref="AX156" si="268">SUM(AX153:AX154)*95%</f>
        <v>0</v>
      </c>
      <c r="AY156" s="912">
        <f t="shared" ref="AY156:BE156" si="269">SUM(AY153:AY154)*95%</f>
        <v>0</v>
      </c>
      <c r="BA156" s="912">
        <f t="shared" si="269"/>
        <v>84342380.824260488</v>
      </c>
      <c r="BB156" s="912">
        <f t="shared" ref="BB156" si="270">SUM(BB153:BB154)*95%</f>
        <v>0</v>
      </c>
      <c r="BC156" s="912">
        <f t="shared" si="269"/>
        <v>0</v>
      </c>
      <c r="BE156" s="912">
        <f t="shared" si="269"/>
        <v>96753854.886731818</v>
      </c>
    </row>
    <row r="157" spans="1:191" x14ac:dyDescent="0.2">
      <c r="S157" s="922">
        <f>S155/S151</f>
        <v>0.46555498049350785</v>
      </c>
      <c r="Y157" s="931"/>
      <c r="AI157" s="911" t="s">
        <v>584</v>
      </c>
      <c r="AJ157" s="911">
        <f>((69.36*120000)+(4.79*66000))+AC70</f>
        <v>8983298.3000000007</v>
      </c>
      <c r="AM157" s="977"/>
    </row>
    <row r="158" spans="1:191" x14ac:dyDescent="0.2">
      <c r="Y158" s="931"/>
      <c r="AI158" s="911" t="s">
        <v>585</v>
      </c>
      <c r="AJ158" s="911">
        <f>AJ157*10%</f>
        <v>898329.83000000007</v>
      </c>
      <c r="AM158" s="912"/>
      <c r="AW158" s="912">
        <f>AVERAGE(AW21:AW150)</f>
        <v>12751893.52951082</v>
      </c>
      <c r="BT158" s="938"/>
      <c r="BV158" s="938"/>
      <c r="BX158" s="938"/>
      <c r="CC158" s="931"/>
      <c r="CD158" s="931"/>
      <c r="CE158" s="931"/>
      <c r="CF158" s="931"/>
      <c r="CG158" s="931"/>
      <c r="CH158" s="931"/>
      <c r="CI158" s="931"/>
      <c r="CJ158" s="931"/>
      <c r="CK158" s="931"/>
      <c r="CL158" s="931"/>
      <c r="CM158" s="931"/>
      <c r="CN158" s="931"/>
      <c r="CO158" s="931"/>
      <c r="CP158" s="931"/>
      <c r="CQ158" s="931"/>
      <c r="CR158" s="931"/>
      <c r="CS158" s="931"/>
      <c r="CT158" s="931"/>
      <c r="CU158" s="931"/>
      <c r="CV158" s="931"/>
      <c r="CW158" s="931"/>
      <c r="CX158" s="931"/>
      <c r="CY158" s="931"/>
      <c r="CZ158" s="931"/>
      <c r="DA158" s="931"/>
      <c r="DB158" s="931"/>
      <c r="DC158" s="931"/>
      <c r="DD158" s="931"/>
      <c r="DE158" s="931"/>
      <c r="DF158" s="931"/>
      <c r="DG158" s="931"/>
      <c r="DH158" s="931"/>
      <c r="DI158" s="931"/>
      <c r="DJ158" s="931"/>
      <c r="DK158" s="931"/>
      <c r="DL158" s="931"/>
      <c r="DM158" s="931"/>
      <c r="DN158" s="931"/>
      <c r="DO158" s="931"/>
      <c r="DP158" s="931"/>
      <c r="DQ158" s="931"/>
      <c r="DR158" s="933"/>
    </row>
    <row r="159" spans="1:191" x14ac:dyDescent="0.2">
      <c r="AI159" s="911" t="s">
        <v>586</v>
      </c>
      <c r="AJ159" s="911">
        <f>AJ157-AJ158</f>
        <v>8084968.4700000007</v>
      </c>
      <c r="AM159" s="912"/>
      <c r="AW159" s="912">
        <f>AW158*0.95</f>
        <v>12114298.853035279</v>
      </c>
    </row>
    <row r="160" spans="1:191" x14ac:dyDescent="0.2">
      <c r="AM160" s="912"/>
    </row>
    <row r="161" spans="39:69" x14ac:dyDescent="0.2">
      <c r="AM161" s="912"/>
    </row>
    <row r="162" spans="39:69" x14ac:dyDescent="0.2">
      <c r="AM162" s="912"/>
      <c r="AQ162" s="912" t="s">
        <v>580</v>
      </c>
      <c r="AS162" s="912" t="s">
        <v>581</v>
      </c>
      <c r="AW162" s="912" t="s">
        <v>582</v>
      </c>
      <c r="BA162" s="912" t="s">
        <v>583</v>
      </c>
      <c r="BE162" s="912" t="s">
        <v>587</v>
      </c>
      <c r="BI162" s="912" t="s">
        <v>588</v>
      </c>
      <c r="BM162" s="912" t="s">
        <v>588</v>
      </c>
      <c r="BO162" s="912" t="s">
        <v>588</v>
      </c>
      <c r="BQ162" s="912">
        <f>100%/12</f>
        <v>8.3333333333333329E-2</v>
      </c>
    </row>
    <row r="163" spans="39:69" x14ac:dyDescent="0.2">
      <c r="AM163" s="912"/>
      <c r="AQ163" s="912">
        <f>AQ135+AQ94+AQ80+AQ69+AQ68+AQ56+AQ29+AQ15</f>
        <v>89927378.045590743</v>
      </c>
      <c r="AS163" s="912">
        <f>AS147+AS146+AS134+AS133+AS132+AS121</f>
        <v>70869977.581166357</v>
      </c>
      <c r="AW163" s="912">
        <f>AW120+AW119+AW115+AW108+AW107+AW96</f>
        <v>72080490.924660876</v>
      </c>
      <c r="BA163" s="912">
        <f>BA95+BA83+BA82+BA81+BA70+BA55</f>
        <v>75577823.883427247</v>
      </c>
      <c r="BE163" s="912">
        <f>BE54+BE50+BE44+BE43+BE42+BE41</f>
        <v>76455766.964546338</v>
      </c>
      <c r="BI163" s="912">
        <f>BI24+BI28+BI30</f>
        <v>38943161.10628698</v>
      </c>
      <c r="BM163" s="912">
        <f>BM24+BM28+BM30</f>
        <v>40500887.550538458</v>
      </c>
    </row>
    <row r="164" spans="39:69" x14ac:dyDescent="0.2">
      <c r="AM164" s="912"/>
      <c r="AQ164" s="912">
        <f>AQ163*0.95</f>
        <v>85431009.143311203</v>
      </c>
      <c r="AS164" s="912">
        <f>AS163*0.95</f>
        <v>67326478.70210804</v>
      </c>
      <c r="AW164" s="912">
        <f>AW163*0.95</f>
        <v>68476466.378427833</v>
      </c>
      <c r="BA164" s="912">
        <f>BA163*0.95</f>
        <v>71798932.689255878</v>
      </c>
      <c r="BE164" s="912">
        <f>BE163*0.95</f>
        <v>72632978.616319016</v>
      </c>
    </row>
    <row r="165" spans="39:69" x14ac:dyDescent="0.2">
      <c r="AM165" s="912"/>
      <c r="BM165" s="912">
        <f>BM28+BM30+BM31+BM41+BM42+BM43+BM44+BM50+BM54+BM55+BM68+BM73+BM80+BM83+BM96+BM115+BM121+BM134+BM137</f>
        <v>268933722.19738573</v>
      </c>
      <c r="BN165" s="912" t="s">
        <v>589</v>
      </c>
      <c r="BO165" s="923"/>
      <c r="BP165" s="912">
        <f>BM165*BO165</f>
        <v>0</v>
      </c>
    </row>
    <row r="166" spans="39:69" x14ac:dyDescent="0.2">
      <c r="AM166" s="912"/>
      <c r="BM166" s="912">
        <v>19</v>
      </c>
      <c r="BN166" s="912" t="s">
        <v>590</v>
      </c>
      <c r="BO166" s="923">
        <v>0.12</v>
      </c>
      <c r="BP166" s="912">
        <f>BO166*BM165</f>
        <v>32272046.663686287</v>
      </c>
      <c r="BQ166" s="912">
        <f>BM166*BO166</f>
        <v>2.2799999999999998</v>
      </c>
    </row>
    <row r="167" spans="39:69" x14ac:dyDescent="0.2">
      <c r="AM167" s="977"/>
      <c r="BN167" s="912" t="s">
        <v>591</v>
      </c>
      <c r="BO167" s="923">
        <v>0.1</v>
      </c>
      <c r="BP167" s="912">
        <f>BO167*BM165</f>
        <v>26893372.219738573</v>
      </c>
      <c r="BQ167" s="912">
        <f>BM166*BO167</f>
        <v>1.9000000000000001</v>
      </c>
    </row>
    <row r="168" spans="39:69" x14ac:dyDescent="0.2">
      <c r="AM168" s="977"/>
      <c r="BN168" s="912" t="s">
        <v>592</v>
      </c>
      <c r="BO168" s="923">
        <v>0.08</v>
      </c>
      <c r="BP168" s="912">
        <f>BO168*BM165</f>
        <v>21514697.775790859</v>
      </c>
      <c r="BQ168" s="912">
        <f>BM166*BO168</f>
        <v>1.52</v>
      </c>
    </row>
    <row r="169" spans="39:69" x14ac:dyDescent="0.2">
      <c r="AM169" s="977"/>
      <c r="BN169" s="912" t="s">
        <v>593</v>
      </c>
      <c r="BO169" s="923">
        <v>0.12</v>
      </c>
      <c r="BP169" s="912">
        <f>BO169*BM165</f>
        <v>32272046.663686287</v>
      </c>
      <c r="BQ169" s="912">
        <f>BM166*BO169</f>
        <v>2.2799999999999998</v>
      </c>
    </row>
    <row r="170" spans="39:69" x14ac:dyDescent="0.2">
      <c r="AM170" s="977"/>
      <c r="BN170" s="912" t="s">
        <v>594</v>
      </c>
      <c r="BO170" s="923">
        <v>0.08</v>
      </c>
      <c r="BP170" s="912">
        <f>BO170*BM165</f>
        <v>21514697.775790859</v>
      </c>
      <c r="BQ170" s="912">
        <f>BM166*BO170</f>
        <v>1.52</v>
      </c>
    </row>
    <row r="171" spans="39:69" x14ac:dyDescent="0.2">
      <c r="AM171" s="977"/>
      <c r="BN171" s="912" t="s">
        <v>595</v>
      </c>
      <c r="BO171" s="923">
        <v>0.09</v>
      </c>
      <c r="BP171" s="912">
        <f>BO171*BM165</f>
        <v>24204034.997764714</v>
      </c>
      <c r="BQ171" s="912">
        <f>BM166*BO171</f>
        <v>1.71</v>
      </c>
    </row>
    <row r="172" spans="39:69" x14ac:dyDescent="0.2">
      <c r="AM172" s="977"/>
      <c r="BN172" s="912" t="s">
        <v>596</v>
      </c>
      <c r="BO172" s="923">
        <v>0.1</v>
      </c>
      <c r="BP172" s="912">
        <f>BO172*BM165</f>
        <v>26893372.219738573</v>
      </c>
      <c r="BQ172" s="912">
        <f>BM166*BO172</f>
        <v>1.9000000000000001</v>
      </c>
    </row>
    <row r="173" spans="39:69" x14ac:dyDescent="0.2">
      <c r="AM173" s="977"/>
      <c r="BN173" s="912" t="s">
        <v>597</v>
      </c>
      <c r="BO173" s="923">
        <v>0.09</v>
      </c>
      <c r="BP173" s="912">
        <f>BO173*BM165</f>
        <v>24204034.997764714</v>
      </c>
      <c r="BQ173" s="912">
        <f>BM166*BO173</f>
        <v>1.71</v>
      </c>
    </row>
    <row r="174" spans="39:69" x14ac:dyDescent="0.2">
      <c r="AM174" s="977"/>
      <c r="BN174" s="912" t="s">
        <v>598</v>
      </c>
      <c r="BO174" s="923">
        <v>0.08</v>
      </c>
      <c r="BP174" s="912">
        <f>BO174*BM165</f>
        <v>21514697.775790859</v>
      </c>
      <c r="BQ174" s="912">
        <f>BO174*BM166</f>
        <v>1.52</v>
      </c>
    </row>
    <row r="175" spans="39:69" x14ac:dyDescent="0.2">
      <c r="AM175" s="977"/>
      <c r="BN175" s="912" t="s">
        <v>599</v>
      </c>
      <c r="BO175" s="923">
        <v>7.0000000000000007E-2</v>
      </c>
      <c r="BP175" s="912">
        <f>BO175*BM165</f>
        <v>18825360.553817004</v>
      </c>
      <c r="BQ175" s="912">
        <f>BO175*BM166</f>
        <v>1.33</v>
      </c>
    </row>
    <row r="176" spans="39:69" x14ac:dyDescent="0.2">
      <c r="AM176" s="977"/>
      <c r="BN176" s="912" t="s">
        <v>600</v>
      </c>
      <c r="BO176" s="923">
        <v>7.0000000000000007E-2</v>
      </c>
      <c r="BP176" s="912">
        <f>BO176*BM165</f>
        <v>18825360.553817004</v>
      </c>
      <c r="BQ176" s="912">
        <f>BO176*BM166</f>
        <v>1.33</v>
      </c>
    </row>
    <row r="177" spans="39:69" x14ac:dyDescent="0.2">
      <c r="AM177" s="977"/>
      <c r="BP177" s="912">
        <f>SUBTOTAL(9,BP165:BP176)</f>
        <v>268933722.19738573</v>
      </c>
      <c r="BQ177" s="912">
        <f>SUBTOTAL(9,BQ166:BQ176)</f>
        <v>18.999999999999993</v>
      </c>
    </row>
    <row r="178" spans="39:69" x14ac:dyDescent="0.2">
      <c r="AM178" s="977"/>
    </row>
    <row r="179" spans="39:69" x14ac:dyDescent="0.2">
      <c r="AM179" s="977"/>
    </row>
    <row r="180" spans="39:69" x14ac:dyDescent="0.2">
      <c r="AM180" s="977"/>
    </row>
    <row r="181" spans="39:69" x14ac:dyDescent="0.2">
      <c r="AM181" s="977"/>
    </row>
    <row r="182" spans="39:69" x14ac:dyDescent="0.2">
      <c r="AM182" s="977"/>
    </row>
    <row r="183" spans="39:69" x14ac:dyDescent="0.2">
      <c r="AM183" s="977"/>
    </row>
    <row r="184" spans="39:69" x14ac:dyDescent="0.2">
      <c r="AM184" s="977"/>
    </row>
    <row r="185" spans="39:69" x14ac:dyDescent="0.2">
      <c r="AM185" s="977"/>
    </row>
    <row r="186" spans="39:69" x14ac:dyDescent="0.2">
      <c r="AM186" s="977"/>
    </row>
    <row r="187" spans="39:69" x14ac:dyDescent="0.2">
      <c r="AM187" s="977"/>
    </row>
    <row r="188" spans="39:69" x14ac:dyDescent="0.2">
      <c r="AM188" s="977"/>
    </row>
    <row r="189" spans="39:69" x14ac:dyDescent="0.2">
      <c r="AM189" s="977"/>
    </row>
    <row r="190" spans="39:69" x14ac:dyDescent="0.2">
      <c r="AM190" s="977"/>
    </row>
    <row r="191" spans="39:69" x14ac:dyDescent="0.2">
      <c r="AM191" s="977"/>
    </row>
    <row r="192" spans="39:69" x14ac:dyDescent="0.2">
      <c r="AM192" s="977"/>
    </row>
    <row r="193" spans="39:39" x14ac:dyDescent="0.2">
      <c r="AM193" s="977"/>
    </row>
    <row r="194" spans="39:39" x14ac:dyDescent="0.2">
      <c r="AM194" s="977"/>
    </row>
    <row r="195" spans="39:39" x14ac:dyDescent="0.2">
      <c r="AM195" s="977"/>
    </row>
    <row r="196" spans="39:39" x14ac:dyDescent="0.2">
      <c r="AM196" s="977"/>
    </row>
    <row r="197" spans="39:39" x14ac:dyDescent="0.2">
      <c r="AM197" s="977"/>
    </row>
    <row r="198" spans="39:39" x14ac:dyDescent="0.2">
      <c r="AM198" s="977"/>
    </row>
    <row r="199" spans="39:39" x14ac:dyDescent="0.2">
      <c r="AM199" s="977"/>
    </row>
    <row r="200" spans="39:39" x14ac:dyDescent="0.2">
      <c r="AM200" s="977"/>
    </row>
    <row r="201" spans="39:39" x14ac:dyDescent="0.2">
      <c r="AM201" s="977"/>
    </row>
    <row r="202" spans="39:39" x14ac:dyDescent="0.2">
      <c r="AM202" s="977"/>
    </row>
    <row r="203" spans="39:39" x14ac:dyDescent="0.2">
      <c r="AM203" s="977"/>
    </row>
    <row r="204" spans="39:39" x14ac:dyDescent="0.2">
      <c r="AM204" s="977"/>
    </row>
    <row r="205" spans="39:39" x14ac:dyDescent="0.2">
      <c r="AM205" s="977"/>
    </row>
    <row r="206" spans="39:39" x14ac:dyDescent="0.2">
      <c r="AM206" s="977"/>
    </row>
    <row r="207" spans="39:39" x14ac:dyDescent="0.2">
      <c r="AM207" s="977"/>
    </row>
    <row r="208" spans="39:39" x14ac:dyDescent="0.2">
      <c r="AM208" s="977"/>
    </row>
    <row r="209" spans="39:39" x14ac:dyDescent="0.2">
      <c r="AM209" s="977"/>
    </row>
    <row r="210" spans="39:39" x14ac:dyDescent="0.2">
      <c r="AM210" s="977"/>
    </row>
    <row r="211" spans="39:39" x14ac:dyDescent="0.2">
      <c r="AM211" s="977"/>
    </row>
    <row r="212" spans="39:39" x14ac:dyDescent="0.2">
      <c r="AM212" s="977"/>
    </row>
    <row r="213" spans="39:39" x14ac:dyDescent="0.2">
      <c r="AM213" s="977"/>
    </row>
    <row r="214" spans="39:39" x14ac:dyDescent="0.2">
      <c r="AM214" s="977"/>
    </row>
    <row r="215" spans="39:39" x14ac:dyDescent="0.2">
      <c r="AM215" s="977"/>
    </row>
    <row r="216" spans="39:39" x14ac:dyDescent="0.2">
      <c r="AM216" s="977"/>
    </row>
    <row r="217" spans="39:39" x14ac:dyDescent="0.2">
      <c r="AM217" s="977"/>
    </row>
    <row r="218" spans="39:39" x14ac:dyDescent="0.2">
      <c r="AM218" s="977"/>
    </row>
    <row r="219" spans="39:39" x14ac:dyDescent="0.2">
      <c r="AM219" s="977"/>
    </row>
    <row r="220" spans="39:39" x14ac:dyDescent="0.2">
      <c r="AM220" s="977"/>
    </row>
    <row r="221" spans="39:39" x14ac:dyDescent="0.2">
      <c r="AM221" s="977"/>
    </row>
    <row r="222" spans="39:39" x14ac:dyDescent="0.2">
      <c r="AM222" s="977"/>
    </row>
    <row r="223" spans="39:39" x14ac:dyDescent="0.2">
      <c r="AM223" s="977"/>
    </row>
    <row r="224" spans="39:39" x14ac:dyDescent="0.2">
      <c r="AM224" s="977"/>
    </row>
    <row r="225" spans="39:39" x14ac:dyDescent="0.2">
      <c r="AM225" s="977"/>
    </row>
    <row r="226" spans="39:39" x14ac:dyDescent="0.2">
      <c r="AM226" s="977"/>
    </row>
    <row r="227" spans="39:39" x14ac:dyDescent="0.2">
      <c r="AM227" s="977"/>
    </row>
    <row r="228" spans="39:39" x14ac:dyDescent="0.2">
      <c r="AM228" s="977"/>
    </row>
    <row r="229" spans="39:39" x14ac:dyDescent="0.2">
      <c r="AM229" s="977"/>
    </row>
    <row r="230" spans="39:39" x14ac:dyDescent="0.2">
      <c r="AM230" s="977"/>
    </row>
    <row r="231" spans="39:39" x14ac:dyDescent="0.2">
      <c r="AM231" s="977"/>
    </row>
    <row r="232" spans="39:39" x14ac:dyDescent="0.2">
      <c r="AM232" s="977"/>
    </row>
    <row r="233" spans="39:39" x14ac:dyDescent="0.2">
      <c r="AM233" s="977"/>
    </row>
    <row r="234" spans="39:39" x14ac:dyDescent="0.2">
      <c r="AM234" s="977"/>
    </row>
    <row r="235" spans="39:39" x14ac:dyDescent="0.2">
      <c r="AM235" s="977"/>
    </row>
    <row r="236" spans="39:39" x14ac:dyDescent="0.2">
      <c r="AM236" s="977"/>
    </row>
    <row r="237" spans="39:39" x14ac:dyDescent="0.2">
      <c r="AM237" s="977"/>
    </row>
    <row r="238" spans="39:39" x14ac:dyDescent="0.2">
      <c r="AM238" s="977"/>
    </row>
    <row r="239" spans="39:39" x14ac:dyDescent="0.2">
      <c r="AM239" s="977"/>
    </row>
    <row r="240" spans="39:39" x14ac:dyDescent="0.2">
      <c r="AM240" s="977"/>
    </row>
    <row r="241" spans="39:39" x14ac:dyDescent="0.2">
      <c r="AM241" s="977"/>
    </row>
    <row r="242" spans="39:39" x14ac:dyDescent="0.2">
      <c r="AM242" s="977"/>
    </row>
    <row r="243" spans="39:39" x14ac:dyDescent="0.2">
      <c r="AM243" s="977"/>
    </row>
    <row r="244" spans="39:39" x14ac:dyDescent="0.2">
      <c r="AM244" s="977"/>
    </row>
    <row r="245" spans="39:39" x14ac:dyDescent="0.2">
      <c r="AM245" s="977"/>
    </row>
    <row r="246" spans="39:39" x14ac:dyDescent="0.2">
      <c r="AM246" s="977"/>
    </row>
    <row r="247" spans="39:39" x14ac:dyDescent="0.2">
      <c r="AM247" s="977"/>
    </row>
    <row r="248" spans="39:39" x14ac:dyDescent="0.2">
      <c r="AM248" s="977"/>
    </row>
    <row r="249" spans="39:39" x14ac:dyDescent="0.2">
      <c r="AM249" s="977"/>
    </row>
    <row r="250" spans="39:39" x14ac:dyDescent="0.2">
      <c r="AM250" s="977"/>
    </row>
    <row r="251" spans="39:39" x14ac:dyDescent="0.2">
      <c r="AM251" s="977"/>
    </row>
  </sheetData>
  <sheetProtection algorithmName="SHA-512" hashValue="6PXWZBxIdwb365nNXl96mFODK/IEaY5h65LHN4rSnZDlGYyN0JG/GF00VYbxEukDtbhqLTAD7lOgzzfsbwGxgA==" saltValue="Je2XXjcMdlpE31CSiOUJjw==" spinCount="100000" sheet="1" selectLockedCells="1" selectUnlockedCells="1"/>
  <phoneticPr fontId="28" type="noConversion"/>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81A340-23FA-4E4E-AF99-D8894EF3E880}">
  <sheetPr codeName="Sheet24" filterMode="1">
    <tabColor rgb="FF00B0F0"/>
  </sheetPr>
  <dimension ref="A1:AW629"/>
  <sheetViews>
    <sheetView topLeftCell="F14" workbookViewId="0">
      <selection activeCell="I21" sqref="I21"/>
    </sheetView>
  </sheetViews>
  <sheetFormatPr defaultColWidth="9.42578125" defaultRowHeight="12" x14ac:dyDescent="0.2"/>
  <cols>
    <col min="1" max="1" width="10.5703125" style="811" hidden="1" customWidth="1"/>
    <col min="2" max="2" width="11.5703125" style="812" hidden="1" customWidth="1"/>
    <col min="3" max="3" width="11.28515625" style="811" hidden="1" customWidth="1"/>
    <col min="4" max="4" width="13.42578125" style="812" hidden="1" customWidth="1"/>
    <col min="5" max="5" width="11.7109375" style="813" hidden="1" customWidth="1"/>
    <col min="6" max="6" width="7.5703125" style="814" customWidth="1"/>
    <col min="7" max="7" width="12.7109375" style="815" customWidth="1"/>
    <col min="8" max="8" width="19" style="815" customWidth="1"/>
    <col min="9" max="9" width="9.5703125" style="815" customWidth="1"/>
    <col min="10" max="10" width="11.7109375" style="818" customWidth="1"/>
    <col min="11" max="11" width="10.28515625" style="818" customWidth="1"/>
    <col min="12" max="12" width="7.85546875" style="817" customWidth="1"/>
    <col min="13" max="13" width="10.7109375" style="818" customWidth="1"/>
    <col min="14" max="14" width="11.7109375" style="818" customWidth="1"/>
    <col min="15" max="15" width="14.28515625" style="818" bestFit="1" customWidth="1"/>
    <col min="16" max="16" width="12.85546875" style="812" bestFit="1" customWidth="1"/>
    <col min="17" max="17" width="12.5703125" style="818" bestFit="1" customWidth="1"/>
    <col min="18" max="18" width="14" style="818" bestFit="1" customWidth="1"/>
    <col min="19" max="19" width="6.28515625" style="819" bestFit="1" customWidth="1"/>
    <col min="20" max="20" width="12.28515625" style="818" customWidth="1"/>
    <col min="21" max="21" width="11.28515625" style="815" customWidth="1"/>
    <col min="22" max="22" width="12.42578125" style="818" customWidth="1"/>
    <col min="23" max="23" width="7.28515625" style="818" customWidth="1"/>
    <col min="24" max="24" width="10.7109375" style="818" customWidth="1"/>
    <col min="25" max="25" width="8.5703125" style="818" bestFit="1" customWidth="1"/>
    <col min="26" max="26" width="12" style="818" bestFit="1" customWidth="1"/>
    <col min="27" max="27" width="11.7109375" style="818" bestFit="1" customWidth="1"/>
    <col min="28" max="28" width="9.42578125" style="817" customWidth="1"/>
    <col min="29" max="29" width="12.7109375" style="816" customWidth="1"/>
    <col min="30" max="32" width="9.42578125" style="817" customWidth="1"/>
    <col min="33" max="33" width="9.42578125" style="818" customWidth="1"/>
    <col min="34" max="34" width="11" style="817" customWidth="1"/>
    <col min="35" max="35" width="12.42578125" style="817" customWidth="1"/>
    <col min="36" max="36" width="9.42578125" style="817" customWidth="1"/>
    <col min="37" max="37" width="14.28515625" style="817" customWidth="1"/>
    <col min="38" max="38" width="9.42578125" style="817" customWidth="1"/>
    <col min="39" max="39" width="12.7109375" style="817" customWidth="1"/>
    <col min="40" max="46" width="9.42578125" style="817" customWidth="1"/>
    <col min="47" max="47" width="11.28515625" style="817" customWidth="1"/>
    <col min="48" max="53" width="9.42578125" style="817" customWidth="1"/>
    <col min="54" max="16384" width="9.42578125" style="817"/>
  </cols>
  <sheetData>
    <row r="1" spans="1:49" x14ac:dyDescent="0.2">
      <c r="AA1" s="818" t="s">
        <v>601</v>
      </c>
      <c r="AQ1" s="883"/>
    </row>
    <row r="2" spans="1:49" x14ac:dyDescent="0.2">
      <c r="M2" s="817"/>
      <c r="N2" s="817"/>
      <c r="O2" s="817"/>
      <c r="P2" s="811"/>
      <c r="Q2" s="817"/>
      <c r="R2" s="817"/>
      <c r="S2" s="820"/>
      <c r="T2" s="817"/>
      <c r="U2" s="816"/>
      <c r="V2" s="817"/>
      <c r="W2" s="817"/>
    </row>
    <row r="3" spans="1:49" x14ac:dyDescent="0.2">
      <c r="D3" s="811"/>
      <c r="E3" s="811"/>
      <c r="F3" s="811"/>
      <c r="G3" s="811"/>
      <c r="H3" s="811"/>
      <c r="I3" s="812"/>
      <c r="J3" s="870"/>
      <c r="K3" s="870"/>
      <c r="L3" s="811"/>
      <c r="M3" s="811"/>
      <c r="N3" s="811"/>
      <c r="O3" s="811"/>
      <c r="P3" s="811"/>
      <c r="Q3" s="811"/>
      <c r="R3" s="811"/>
      <c r="S3" s="811"/>
      <c r="T3" s="811"/>
      <c r="U3" s="811"/>
      <c r="V3" s="811"/>
      <c r="W3" s="811"/>
      <c r="X3" s="811"/>
      <c r="Y3" s="811"/>
      <c r="Z3" s="811"/>
      <c r="AA3" s="811"/>
    </row>
    <row r="4" spans="1:49" ht="13.5" x14ac:dyDescent="0.25">
      <c r="J4" s="871"/>
      <c r="K4" s="871"/>
      <c r="L4" s="821"/>
      <c r="M4" s="821"/>
      <c r="N4" s="821"/>
      <c r="O4" s="821"/>
      <c r="P4" s="822"/>
      <c r="Q4" s="821"/>
      <c r="R4" s="821"/>
      <c r="S4" s="823"/>
      <c r="T4" s="821"/>
      <c r="U4" s="821"/>
      <c r="V4" s="821"/>
      <c r="W4" s="821"/>
      <c r="X4" s="821"/>
      <c r="Y4" s="821"/>
      <c r="Z4" s="821"/>
      <c r="AA4" s="821"/>
    </row>
    <row r="5" spans="1:49" ht="13.5" x14ac:dyDescent="0.25">
      <c r="M5" s="871" t="s">
        <v>602</v>
      </c>
      <c r="N5" s="824"/>
      <c r="O5" s="824"/>
      <c r="P5" s="825"/>
      <c r="Q5" s="824"/>
      <c r="R5" s="824"/>
      <c r="S5" s="826"/>
      <c r="T5" s="824"/>
      <c r="U5" s="824"/>
      <c r="V5" s="824"/>
      <c r="W5" s="824"/>
      <c r="X5" s="824"/>
      <c r="Y5" s="824"/>
      <c r="Z5" s="824"/>
      <c r="AA5" s="824"/>
    </row>
    <row r="6" spans="1:49" ht="15" customHeight="1" x14ac:dyDescent="0.25">
      <c r="L6" s="1010" t="s">
        <v>603</v>
      </c>
      <c r="M6" s="1011"/>
      <c r="N6" s="1011"/>
      <c r="O6" s="976"/>
      <c r="P6" s="822"/>
      <c r="Q6" s="821"/>
      <c r="R6" s="821"/>
      <c r="S6" s="823"/>
      <c r="T6" s="821"/>
      <c r="U6" s="821"/>
      <c r="V6" s="821"/>
      <c r="W6" s="821"/>
      <c r="X6" s="821"/>
      <c r="Y6" s="821"/>
      <c r="Z6" s="821"/>
      <c r="AA6" s="821"/>
    </row>
    <row r="10" spans="1:49" x14ac:dyDescent="0.2">
      <c r="A10" s="811" t="s">
        <v>511</v>
      </c>
      <c r="B10" s="812">
        <f>COUNTIF(C21:C157,"SOLD")</f>
        <v>112</v>
      </c>
      <c r="O10" s="827"/>
    </row>
    <row r="11" spans="1:49" x14ac:dyDescent="0.2">
      <c r="A11" s="811" t="s">
        <v>532</v>
      </c>
      <c r="B11" s="812">
        <f>137-B10</f>
        <v>25</v>
      </c>
      <c r="O11" s="828" t="s">
        <v>604</v>
      </c>
      <c r="P11" s="829">
        <v>3199200</v>
      </c>
      <c r="Q11" s="830"/>
      <c r="W11" s="828">
        <f>'Internal Pricelist'!CA7</f>
        <v>7</v>
      </c>
      <c r="AA11" s="828">
        <v>8.988282708524269E-3</v>
      </c>
      <c r="AG11" s="881">
        <v>44378</v>
      </c>
    </row>
    <row r="12" spans="1:49" s="832" customFormat="1" ht="48" x14ac:dyDescent="0.25">
      <c r="A12" s="1003" t="s">
        <v>605</v>
      </c>
      <c r="B12" s="1004" t="s">
        <v>606</v>
      </c>
      <c r="C12" s="1004" t="s">
        <v>607</v>
      </c>
      <c r="D12" s="1004" t="s">
        <v>608</v>
      </c>
      <c r="E12" s="1006" t="s">
        <v>609</v>
      </c>
      <c r="F12" s="1015" t="s">
        <v>610</v>
      </c>
      <c r="G12" s="1014" t="s">
        <v>611</v>
      </c>
      <c r="H12" s="1014" t="s">
        <v>612</v>
      </c>
      <c r="I12" s="1014" t="s">
        <v>613</v>
      </c>
      <c r="J12" s="1009" t="s">
        <v>614</v>
      </c>
      <c r="K12" s="1007" t="s">
        <v>615</v>
      </c>
      <c r="L12" s="1009" t="s">
        <v>616</v>
      </c>
      <c r="M12" s="1002" t="s">
        <v>617</v>
      </c>
      <c r="N12" s="1002" t="s">
        <v>618</v>
      </c>
      <c r="O12" s="1009" t="s">
        <v>543</v>
      </c>
      <c r="P12" s="1009" t="s">
        <v>619</v>
      </c>
      <c r="Q12" s="831" t="s">
        <v>620</v>
      </c>
      <c r="R12" s="1009" t="s">
        <v>621</v>
      </c>
      <c r="S12" s="1018" t="s">
        <v>622</v>
      </c>
      <c r="T12" s="1009" t="s">
        <v>623</v>
      </c>
      <c r="U12" s="1014" t="s">
        <v>624</v>
      </c>
      <c r="V12" s="1009" t="s">
        <v>625</v>
      </c>
      <c r="W12" s="1009" t="s">
        <v>556</v>
      </c>
      <c r="X12" s="1009" t="s">
        <v>626</v>
      </c>
      <c r="Y12" s="1009" t="s">
        <v>627</v>
      </c>
      <c r="Z12" s="1009" t="s">
        <v>628</v>
      </c>
      <c r="AA12" s="1009" t="s">
        <v>629</v>
      </c>
      <c r="AC12" s="833" t="s">
        <v>630</v>
      </c>
      <c r="AD12" s="832" t="s">
        <v>631</v>
      </c>
      <c r="AG12" s="1016" t="s">
        <v>556</v>
      </c>
      <c r="AH12" s="1017" t="s">
        <v>625</v>
      </c>
      <c r="AI12" s="1012" t="s">
        <v>632</v>
      </c>
      <c r="AK12" s="832" t="s">
        <v>633</v>
      </c>
      <c r="AL12" s="832" t="s">
        <v>634</v>
      </c>
      <c r="AM12" s="832" t="s">
        <v>635</v>
      </c>
      <c r="AO12" s="832" t="s">
        <v>636</v>
      </c>
      <c r="AS12" s="832" t="s">
        <v>637</v>
      </c>
      <c r="AT12" s="832" t="s">
        <v>95</v>
      </c>
      <c r="AU12" s="832" t="s">
        <v>638</v>
      </c>
      <c r="AW12" s="832" t="s">
        <v>96</v>
      </c>
    </row>
    <row r="13" spans="1:49" s="832" customFormat="1" ht="12.6" customHeight="1" x14ac:dyDescent="0.25">
      <c r="A13" s="1003"/>
      <c r="B13" s="1005"/>
      <c r="C13" s="1005"/>
      <c r="D13" s="1005"/>
      <c r="E13" s="1006"/>
      <c r="F13" s="1015"/>
      <c r="G13" s="1014"/>
      <c r="H13" s="1014"/>
      <c r="I13" s="1014"/>
      <c r="J13" s="1009"/>
      <c r="K13" s="1008"/>
      <c r="L13" s="1009"/>
      <c r="M13" s="1002"/>
      <c r="N13" s="1002"/>
      <c r="O13" s="1009"/>
      <c r="P13" s="1009"/>
      <c r="Q13" s="834">
        <v>0.1</v>
      </c>
      <c r="R13" s="1009"/>
      <c r="S13" s="1018"/>
      <c r="T13" s="1009"/>
      <c r="U13" s="1014"/>
      <c r="V13" s="1009"/>
      <c r="W13" s="1009"/>
      <c r="X13" s="1009"/>
      <c r="Y13" s="1009"/>
      <c r="Z13" s="1009"/>
      <c r="AA13" s="1009"/>
      <c r="AC13" s="833"/>
      <c r="AG13" s="1016"/>
      <c r="AH13" s="1017"/>
      <c r="AI13" s="1012"/>
    </row>
    <row r="14" spans="1:49" s="848" customFormat="1" ht="12.6" customHeight="1" x14ac:dyDescent="0.2">
      <c r="A14" s="835">
        <v>1</v>
      </c>
      <c r="B14" s="836" t="str">
        <f>'Internal Pricelist'!H7</f>
        <v>C1</v>
      </c>
      <c r="C14" s="836" t="str">
        <f>'Internal Pricelist'!C7</f>
        <v>Unsold</v>
      </c>
      <c r="D14" s="836">
        <v>1</v>
      </c>
      <c r="E14" s="837" t="str">
        <f>'Internal Pricelist'!E7</f>
        <v>G</v>
      </c>
      <c r="F14" s="838" t="str">
        <f>'Internal Pricelist'!F7</f>
        <v>GF</v>
      </c>
      <c r="G14" s="839" t="str">
        <f>B14</f>
        <v>C1</v>
      </c>
      <c r="H14" s="839" t="str">
        <f>'Internal Pricelist'!I7</f>
        <v>Comm.</v>
      </c>
      <c r="I14" s="839">
        <f>'Internal Pricelist'!J7</f>
        <v>85.62</v>
      </c>
      <c r="J14" s="839">
        <f>'Internal Pricelist'!K7</f>
        <v>0</v>
      </c>
      <c r="K14" s="839">
        <f>'Internal Pricelist'!L7</f>
        <v>0</v>
      </c>
      <c r="L14" s="840">
        <f t="shared" ref="L14:L77" si="0">I14+J14</f>
        <v>85.62</v>
      </c>
      <c r="M14" s="851" t="str">
        <f>'Internal Pricelist'!AA7</f>
        <v>INNER</v>
      </c>
      <c r="N14" s="841"/>
      <c r="O14" s="842">
        <f>'Internal Pricelist'!BM7</f>
        <v>18949361.846935205</v>
      </c>
      <c r="P14" s="843">
        <f>O14*12%</f>
        <v>2273923.4216322247</v>
      </c>
      <c r="Q14" s="844">
        <f>O14*$Q$13</f>
        <v>1894936.1846935207</v>
      </c>
      <c r="R14" s="843">
        <f>O14+P14+Q14</f>
        <v>23118221.453260947</v>
      </c>
      <c r="S14" s="845">
        <f>'Internal Pricelist'!BS7</f>
        <v>0.4</v>
      </c>
      <c r="T14" s="844">
        <f>R14*S14</f>
        <v>9247288.5813043788</v>
      </c>
      <c r="U14" s="839">
        <f>'Internal Pricelist'!BU7</f>
        <v>200000</v>
      </c>
      <c r="V14" s="844">
        <f>T14-U14</f>
        <v>9047288.5813043788</v>
      </c>
      <c r="W14" s="846">
        <f>'Internal Pricelist'!BW7</f>
        <v>7</v>
      </c>
      <c r="X14" s="844">
        <f>V14/W14</f>
        <v>1292469.7973291969</v>
      </c>
      <c r="Y14" s="847">
        <f t="shared" ref="Y14" si="1">100%-S14</f>
        <v>0.6</v>
      </c>
      <c r="Z14" s="844">
        <f>R14*Y14</f>
        <v>13870932.871956568</v>
      </c>
      <c r="AA14" s="844">
        <f>Z14*$AA$11</f>
        <v>124675.8660841081</v>
      </c>
      <c r="AC14" s="849">
        <f>O14/L14</f>
        <v>221319.3394876805</v>
      </c>
      <c r="AD14" s="873">
        <f>Z14+(X14*W14)+U14-R14</f>
        <v>0</v>
      </c>
      <c r="AG14" s="841"/>
      <c r="AH14" s="850"/>
      <c r="AI14" s="850"/>
      <c r="AK14" s="872">
        <f>O14-'Internal Pricelist'!AK7</f>
        <v>4907681.8469352052</v>
      </c>
      <c r="AL14" s="872">
        <f>P14-'Internal Pricelist'!BP7</f>
        <v>0</v>
      </c>
      <c r="AM14" s="872">
        <f>'Internal Pricelist'!BN7+'Internal Pricelist'!BO7</f>
        <v>1894936.1846935207</v>
      </c>
      <c r="AN14" s="872">
        <f t="shared" ref="AN14:AN44" si="2">AM14-Q14</f>
        <v>0</v>
      </c>
      <c r="AO14" s="872">
        <f>R14-'Internal Pricelist'!BQ7</f>
        <v>0</v>
      </c>
      <c r="AS14" s="873">
        <f>'Internal Pricelist'!AK7-PriceLink_Fitted!O14</f>
        <v>-4907681.8469352052</v>
      </c>
      <c r="AT14" s="873">
        <f>'Internal Pricelist'!BP7-PriceLink_Fitted!P14</f>
        <v>0</v>
      </c>
      <c r="AU14" s="849">
        <f>'Internal Pricelist'!BN7+'Internal Pricelist'!BO7</f>
        <v>1894936.1846935207</v>
      </c>
      <c r="AV14" s="873">
        <f>PriceLink_Fitted!Q14-PriceLink_Fitted!AU14</f>
        <v>0</v>
      </c>
      <c r="AW14" s="873">
        <f>'Internal Pricelist'!BQ7-PriceLink_Fitted!R14</f>
        <v>0</v>
      </c>
    </row>
    <row r="15" spans="1:49" s="848" customFormat="1" ht="12.6" hidden="1" customHeight="1" x14ac:dyDescent="0.2">
      <c r="A15" s="835">
        <f>A14+1</f>
        <v>2</v>
      </c>
      <c r="B15" s="836" t="str">
        <f>'Internal Pricelist'!H8</f>
        <v>COMM A</v>
      </c>
      <c r="C15" s="836" t="str">
        <f>'Internal Pricelist'!C8</f>
        <v>Sold</v>
      </c>
      <c r="D15" s="836">
        <v>2</v>
      </c>
      <c r="E15" s="837" t="str">
        <f>'Internal Pricelist'!E8</f>
        <v>G</v>
      </c>
      <c r="F15" s="838" t="str">
        <f>'Internal Pricelist'!F8</f>
        <v>GF</v>
      </c>
      <c r="G15" s="839" t="str">
        <f t="shared" ref="G15:G78" si="3">B15</f>
        <v>COMM A</v>
      </c>
      <c r="H15" s="839" t="str">
        <f>'Internal Pricelist'!I8</f>
        <v>Comm.</v>
      </c>
      <c r="I15" s="839">
        <f>'Internal Pricelist'!J8</f>
        <v>44.23</v>
      </c>
      <c r="J15" s="839">
        <f>'Internal Pricelist'!K9</f>
        <v>0</v>
      </c>
      <c r="K15" s="839">
        <f>'Internal Pricelist'!L8</f>
        <v>0</v>
      </c>
      <c r="L15" s="840">
        <f t="shared" si="0"/>
        <v>44.23</v>
      </c>
      <c r="M15" s="851" t="str">
        <f>'Internal Pricelist'!AA8</f>
        <v>CORNER</v>
      </c>
      <c r="N15" s="841"/>
      <c r="O15" s="842">
        <f>'Internal Pricelist'!BM8</f>
        <v>9788954.3855401054</v>
      </c>
      <c r="P15" s="843">
        <f t="shared" ref="P15:P78" si="4">O15*12%</f>
        <v>1174674.5262648126</v>
      </c>
      <c r="Q15" s="844">
        <f>O15*$Q$13</f>
        <v>978895.43855401059</v>
      </c>
      <c r="R15" s="843">
        <f>O15+P15+Q15</f>
        <v>11942524.350358929</v>
      </c>
      <c r="S15" s="845">
        <f>'Internal Pricelist'!BS8</f>
        <v>0.4</v>
      </c>
      <c r="T15" s="844">
        <f>R15*S15</f>
        <v>4777009.740143572</v>
      </c>
      <c r="U15" s="839">
        <f>'Internal Pricelist'!BU8</f>
        <v>200000</v>
      </c>
      <c r="V15" s="844">
        <f t="shared" ref="V15:V78" si="5">T15-U15</f>
        <v>4577009.740143572</v>
      </c>
      <c r="W15" s="846">
        <f>'Internal Pricelist'!BW8</f>
        <v>7</v>
      </c>
      <c r="X15" s="844">
        <f t="shared" ref="X15:X78" si="6">V15/W15</f>
        <v>653858.53430622455</v>
      </c>
      <c r="Y15" s="847">
        <f t="shared" ref="Y15:Y78" si="7">100%-S15</f>
        <v>0.6</v>
      </c>
      <c r="Z15" s="844">
        <f t="shared" ref="Z15:Z78" si="8">R15*Y15</f>
        <v>7165514.6102153575</v>
      </c>
      <c r="AA15" s="844">
        <f t="shared" ref="AA15:AA78" si="9">Z15*$AA$11</f>
        <v>64405.671068676718</v>
      </c>
      <c r="AC15" s="849">
        <f t="shared" ref="AC15:AC77" si="10">O15/L15</f>
        <v>221319.33948768044</v>
      </c>
      <c r="AD15" s="873">
        <f t="shared" ref="AD15:AD78" si="11">Z15+(X15*W15)+U15-R15</f>
        <v>0</v>
      </c>
      <c r="AG15" s="841"/>
      <c r="AH15" s="850"/>
      <c r="AI15" s="850"/>
      <c r="AK15" s="872">
        <f>O15-'Internal Pricelist'!AK8</f>
        <v>2535234.3855401063</v>
      </c>
      <c r="AL15" s="872">
        <f>P15-'Internal Pricelist'!BP8</f>
        <v>0</v>
      </c>
      <c r="AM15" s="872">
        <f>'Internal Pricelist'!BN8+'Internal Pricelist'!BO8</f>
        <v>978895.43855401059</v>
      </c>
      <c r="AN15" s="872">
        <f t="shared" si="2"/>
        <v>0</v>
      </c>
      <c r="AO15" s="872">
        <f>R15-'Internal Pricelist'!BQ8</f>
        <v>0</v>
      </c>
      <c r="AS15" s="873">
        <f>'Internal Pricelist'!AK8-PriceLink_Fitted!O15</f>
        <v>-2535234.3855401063</v>
      </c>
      <c r="AT15" s="873">
        <f>'Internal Pricelist'!BP8-PriceLink_Fitted!P15</f>
        <v>0</v>
      </c>
      <c r="AU15" s="849">
        <f>'Internal Pricelist'!BN8+'Internal Pricelist'!BO8</f>
        <v>978895.43855401059</v>
      </c>
      <c r="AV15" s="873">
        <f>PriceLink_Fitted!Q15-PriceLink_Fitted!AU15</f>
        <v>0</v>
      </c>
      <c r="AW15" s="873">
        <f>'Internal Pricelist'!BQ8-PriceLink_Fitted!R15</f>
        <v>0</v>
      </c>
    </row>
    <row r="16" spans="1:49" s="848" customFormat="1" ht="12.6" hidden="1" customHeight="1" x14ac:dyDescent="0.2">
      <c r="A16" s="835">
        <f t="shared" ref="A16:A78" si="12">A15+1</f>
        <v>3</v>
      </c>
      <c r="B16" s="836" t="str">
        <f>'Internal Pricelist'!H9</f>
        <v>COMM B</v>
      </c>
      <c r="C16" s="836" t="str">
        <f>'Internal Pricelist'!C9</f>
        <v>Sold</v>
      </c>
      <c r="D16" s="836">
        <v>3</v>
      </c>
      <c r="E16" s="837" t="str">
        <f>'Internal Pricelist'!E9</f>
        <v>G</v>
      </c>
      <c r="F16" s="838" t="str">
        <f>'Internal Pricelist'!F9</f>
        <v>GF</v>
      </c>
      <c r="G16" s="839" t="str">
        <f t="shared" si="3"/>
        <v>COMM B</v>
      </c>
      <c r="H16" s="839" t="str">
        <f>'Internal Pricelist'!I9</f>
        <v>Comm.</v>
      </c>
      <c r="I16" s="839">
        <f>'Internal Pricelist'!J9</f>
        <v>47.78</v>
      </c>
      <c r="J16" s="839">
        <f>'Internal Pricelist'!K10</f>
        <v>0</v>
      </c>
      <c r="K16" s="839">
        <f>'Internal Pricelist'!L9</f>
        <v>0</v>
      </c>
      <c r="L16" s="840">
        <f t="shared" si="0"/>
        <v>47.78</v>
      </c>
      <c r="M16" s="851" t="str">
        <f>'Internal Pricelist'!AA9</f>
        <v>INNER</v>
      </c>
      <c r="N16" s="841"/>
      <c r="O16" s="842">
        <f>'Internal Pricelist'!BM9</f>
        <v>10574638.040721377</v>
      </c>
      <c r="P16" s="843">
        <f t="shared" si="4"/>
        <v>1268956.5648865653</v>
      </c>
      <c r="Q16" s="844">
        <f t="shared" ref="Q16:Q78" si="13">O16*$Q$13</f>
        <v>1057463.8040721377</v>
      </c>
      <c r="R16" s="843">
        <f t="shared" ref="R16:R78" si="14">O16+P16+Q16</f>
        <v>12901058.40968008</v>
      </c>
      <c r="S16" s="845">
        <f>'Internal Pricelist'!BS9</f>
        <v>0.4</v>
      </c>
      <c r="T16" s="844">
        <f t="shared" ref="T16:T78" si="15">R16*S16</f>
        <v>5160423.3638720326</v>
      </c>
      <c r="U16" s="839">
        <f>'Internal Pricelist'!BU9</f>
        <v>200000</v>
      </c>
      <c r="V16" s="844">
        <f t="shared" si="5"/>
        <v>4960423.3638720326</v>
      </c>
      <c r="W16" s="846">
        <f>'Internal Pricelist'!BW9</f>
        <v>7</v>
      </c>
      <c r="X16" s="844">
        <f t="shared" si="6"/>
        <v>708631.90912457614</v>
      </c>
      <c r="Y16" s="847">
        <f t="shared" si="7"/>
        <v>0.6</v>
      </c>
      <c r="Z16" s="844">
        <f t="shared" si="8"/>
        <v>7740635.0458080471</v>
      </c>
      <c r="AA16" s="844">
        <f t="shared" si="9"/>
        <v>69575.016135233425</v>
      </c>
      <c r="AC16" s="849">
        <f t="shared" si="10"/>
        <v>221319.33948768055</v>
      </c>
      <c r="AD16" s="873">
        <f t="shared" si="11"/>
        <v>0</v>
      </c>
      <c r="AG16" s="841"/>
      <c r="AH16" s="850"/>
      <c r="AI16" s="850"/>
      <c r="AK16" s="872">
        <f>O16-'Internal Pricelist'!AK9</f>
        <v>2738718.0407213774</v>
      </c>
      <c r="AL16" s="872">
        <f>P16-'Internal Pricelist'!BP9</f>
        <v>0</v>
      </c>
      <c r="AM16" s="872">
        <f>'Internal Pricelist'!BN9+'Internal Pricelist'!BO9</f>
        <v>1057463.8040721377</v>
      </c>
      <c r="AN16" s="872">
        <f t="shared" si="2"/>
        <v>0</v>
      </c>
      <c r="AO16" s="872">
        <f>R16-'Internal Pricelist'!BQ9</f>
        <v>0</v>
      </c>
      <c r="AS16" s="873">
        <f>'Internal Pricelist'!AK9-PriceLink_Fitted!O16</f>
        <v>-2738718.0407213774</v>
      </c>
      <c r="AT16" s="873">
        <f>'Internal Pricelist'!BP9-PriceLink_Fitted!P16</f>
        <v>0</v>
      </c>
      <c r="AU16" s="849">
        <f>'Internal Pricelist'!BN9+'Internal Pricelist'!BO9</f>
        <v>1057463.8040721377</v>
      </c>
      <c r="AV16" s="873">
        <f>PriceLink_Fitted!Q16-PriceLink_Fitted!AU16</f>
        <v>0</v>
      </c>
      <c r="AW16" s="873">
        <f>'Internal Pricelist'!BQ9-PriceLink_Fitted!R16</f>
        <v>0</v>
      </c>
    </row>
    <row r="17" spans="1:49" s="848" customFormat="1" ht="12.6" hidden="1" customHeight="1" x14ac:dyDescent="0.2">
      <c r="A17" s="835">
        <f t="shared" si="12"/>
        <v>4</v>
      </c>
      <c r="B17" s="836" t="str">
        <f>'Internal Pricelist'!H10</f>
        <v>COMM C</v>
      </c>
      <c r="C17" s="836" t="str">
        <f>'Internal Pricelist'!C10</f>
        <v>Sold</v>
      </c>
      <c r="D17" s="836">
        <v>4</v>
      </c>
      <c r="E17" s="837" t="str">
        <f>'Internal Pricelist'!E10</f>
        <v>G</v>
      </c>
      <c r="F17" s="838" t="str">
        <f>'Internal Pricelist'!F10</f>
        <v>GF</v>
      </c>
      <c r="G17" s="839" t="str">
        <f t="shared" si="3"/>
        <v>COMM C</v>
      </c>
      <c r="H17" s="839" t="str">
        <f>'Internal Pricelist'!I10</f>
        <v>Comm.</v>
      </c>
      <c r="I17" s="839">
        <f>'Internal Pricelist'!J10</f>
        <v>53.99</v>
      </c>
      <c r="J17" s="839">
        <f>'Internal Pricelist'!K11</f>
        <v>0</v>
      </c>
      <c r="K17" s="839">
        <f>'Internal Pricelist'!L10</f>
        <v>0</v>
      </c>
      <c r="L17" s="840">
        <f t="shared" si="0"/>
        <v>53.99</v>
      </c>
      <c r="M17" s="851" t="str">
        <f>'Internal Pricelist'!AA10</f>
        <v>INNER</v>
      </c>
      <c r="N17" s="841"/>
      <c r="O17" s="842">
        <f>'Internal Pricelist'!BM10</f>
        <v>11949031.138939871</v>
      </c>
      <c r="P17" s="843">
        <f t="shared" si="4"/>
        <v>1433883.7366727844</v>
      </c>
      <c r="Q17" s="844">
        <f t="shared" si="13"/>
        <v>1194903.1138939871</v>
      </c>
      <c r="R17" s="843">
        <f t="shared" si="14"/>
        <v>14577817.989506643</v>
      </c>
      <c r="S17" s="845">
        <f>'Internal Pricelist'!BS10</f>
        <v>0.4</v>
      </c>
      <c r="T17" s="844">
        <f t="shared" si="15"/>
        <v>5831127.1958026579</v>
      </c>
      <c r="U17" s="839">
        <f>'Internal Pricelist'!BU10</f>
        <v>200000</v>
      </c>
      <c r="V17" s="844">
        <f t="shared" si="5"/>
        <v>5631127.1958026579</v>
      </c>
      <c r="W17" s="846">
        <f>'Internal Pricelist'!BW10</f>
        <v>7</v>
      </c>
      <c r="X17" s="844">
        <f t="shared" si="6"/>
        <v>804446.74225752254</v>
      </c>
      <c r="Y17" s="847">
        <f t="shared" si="7"/>
        <v>0.6</v>
      </c>
      <c r="Z17" s="844">
        <f t="shared" si="8"/>
        <v>8746690.7937039863</v>
      </c>
      <c r="AA17" s="844">
        <f t="shared" si="9"/>
        <v>78617.729617857956</v>
      </c>
      <c r="AC17" s="849">
        <f t="shared" si="10"/>
        <v>221319.3394876805</v>
      </c>
      <c r="AD17" s="873">
        <f t="shared" si="11"/>
        <v>0</v>
      </c>
      <c r="AG17" s="841"/>
      <c r="AH17" s="850"/>
      <c r="AI17" s="850"/>
      <c r="AK17" s="872">
        <f>O17-'Internal Pricelist'!AK10</f>
        <v>3094671.1389398705</v>
      </c>
      <c r="AL17" s="872">
        <f>P17-'Internal Pricelist'!BP10</f>
        <v>0</v>
      </c>
      <c r="AM17" s="872">
        <f>'Internal Pricelist'!BN10+'Internal Pricelist'!BO10</f>
        <v>1194903.1138939871</v>
      </c>
      <c r="AN17" s="872">
        <f t="shared" si="2"/>
        <v>0</v>
      </c>
      <c r="AO17" s="872">
        <f>R17-'Internal Pricelist'!BQ10</f>
        <v>0</v>
      </c>
      <c r="AS17" s="873">
        <f>'Internal Pricelist'!AK10-PriceLink_Fitted!O17</f>
        <v>-3094671.1389398705</v>
      </c>
      <c r="AT17" s="873">
        <f>'Internal Pricelist'!BP10-PriceLink_Fitted!P17</f>
        <v>0</v>
      </c>
      <c r="AU17" s="849">
        <f>'Internal Pricelist'!BN10+'Internal Pricelist'!BO10</f>
        <v>1194903.1138939871</v>
      </c>
      <c r="AV17" s="873">
        <f>PriceLink_Fitted!Q17-PriceLink_Fitted!AU17</f>
        <v>0</v>
      </c>
      <c r="AW17" s="873">
        <f>'Internal Pricelist'!BQ10-PriceLink_Fitted!R17</f>
        <v>0</v>
      </c>
    </row>
    <row r="18" spans="1:49" s="848" customFormat="1" ht="12.6" hidden="1" customHeight="1" x14ac:dyDescent="0.2">
      <c r="A18" s="835">
        <f t="shared" si="12"/>
        <v>5</v>
      </c>
      <c r="B18" s="836" t="str">
        <f>'Internal Pricelist'!H11</f>
        <v>COMM D</v>
      </c>
      <c r="C18" s="836" t="str">
        <f>'Internal Pricelist'!C11</f>
        <v>Sold</v>
      </c>
      <c r="D18" s="836">
        <v>5</v>
      </c>
      <c r="E18" s="837" t="str">
        <f>'Internal Pricelist'!E11</f>
        <v>G</v>
      </c>
      <c r="F18" s="838" t="str">
        <f>'Internal Pricelist'!F11</f>
        <v>GF</v>
      </c>
      <c r="G18" s="839" t="str">
        <f t="shared" si="3"/>
        <v>COMM D</v>
      </c>
      <c r="H18" s="839" t="str">
        <f>'Internal Pricelist'!I11</f>
        <v>Comm.</v>
      </c>
      <c r="I18" s="839">
        <f>'Internal Pricelist'!J11</f>
        <v>58.67</v>
      </c>
      <c r="J18" s="839">
        <f>'Internal Pricelist'!K11</f>
        <v>0</v>
      </c>
      <c r="K18" s="839">
        <f>'Internal Pricelist'!L11</f>
        <v>0</v>
      </c>
      <c r="L18" s="840">
        <f t="shared" si="0"/>
        <v>58.67</v>
      </c>
      <c r="M18" s="851" t="str">
        <f>'Internal Pricelist'!AA11</f>
        <v>INNER</v>
      </c>
      <c r="N18" s="841"/>
      <c r="O18" s="842">
        <f>'Internal Pricelist'!BM11</f>
        <v>12984805.647742217</v>
      </c>
      <c r="P18" s="843">
        <f t="shared" si="4"/>
        <v>1558176.677729066</v>
      </c>
      <c r="Q18" s="844">
        <f t="shared" si="13"/>
        <v>1298480.5647742217</v>
      </c>
      <c r="R18" s="843">
        <f t="shared" si="14"/>
        <v>15841462.890245505</v>
      </c>
      <c r="S18" s="845">
        <f>'Internal Pricelist'!BS11</f>
        <v>0.4</v>
      </c>
      <c r="T18" s="844">
        <f t="shared" si="15"/>
        <v>6336585.1560982019</v>
      </c>
      <c r="U18" s="839">
        <f>'Internal Pricelist'!BU11</f>
        <v>200000</v>
      </c>
      <c r="V18" s="844">
        <f t="shared" si="5"/>
        <v>6136585.1560982019</v>
      </c>
      <c r="W18" s="846">
        <f>'Internal Pricelist'!BW11</f>
        <v>7</v>
      </c>
      <c r="X18" s="844">
        <f t="shared" si="6"/>
        <v>876655.02229974314</v>
      </c>
      <c r="Y18" s="847">
        <f t="shared" si="7"/>
        <v>0.6</v>
      </c>
      <c r="Z18" s="844">
        <f t="shared" si="8"/>
        <v>9504877.7341473028</v>
      </c>
      <c r="AA18" s="844">
        <f t="shared" si="9"/>
        <v>85432.528184473529</v>
      </c>
      <c r="AC18" s="849">
        <f t="shared" si="10"/>
        <v>221319.33948768053</v>
      </c>
      <c r="AD18" s="873">
        <f t="shared" si="11"/>
        <v>0</v>
      </c>
      <c r="AG18" s="841"/>
      <c r="AH18" s="850"/>
      <c r="AI18" s="850"/>
      <c r="AK18" s="872">
        <f>O18-'Internal Pricelist'!AK11</f>
        <v>3362925.6477422174</v>
      </c>
      <c r="AL18" s="872">
        <f>P18-'Internal Pricelist'!BP11</f>
        <v>0</v>
      </c>
      <c r="AM18" s="872">
        <f>'Internal Pricelist'!BN11+'Internal Pricelist'!BO11</f>
        <v>1298480.5647742217</v>
      </c>
      <c r="AN18" s="872">
        <f t="shared" si="2"/>
        <v>0</v>
      </c>
      <c r="AO18" s="872">
        <f>R18-'Internal Pricelist'!BQ11</f>
        <v>0</v>
      </c>
      <c r="AS18" s="873">
        <f>'Internal Pricelist'!AK11-PriceLink_Fitted!O18</f>
        <v>-3362925.6477422174</v>
      </c>
      <c r="AT18" s="873">
        <f>'Internal Pricelist'!BP11-PriceLink_Fitted!P18</f>
        <v>0</v>
      </c>
      <c r="AU18" s="849">
        <f>'Internal Pricelist'!BN11+'Internal Pricelist'!BO11</f>
        <v>1298480.5647742217</v>
      </c>
      <c r="AV18" s="873">
        <f>PriceLink_Fitted!Q18-PriceLink_Fitted!AU18</f>
        <v>0</v>
      </c>
      <c r="AW18" s="873">
        <f>'Internal Pricelist'!BQ11-PriceLink_Fitted!R18</f>
        <v>0</v>
      </c>
    </row>
    <row r="19" spans="1:49" s="848" customFormat="1" ht="12.6" hidden="1" customHeight="1" x14ac:dyDescent="0.2">
      <c r="A19" s="835">
        <f t="shared" si="12"/>
        <v>6</v>
      </c>
      <c r="B19" s="836" t="str">
        <f>'Internal Pricelist'!H12</f>
        <v>COMM E</v>
      </c>
      <c r="C19" s="836" t="str">
        <f>'Internal Pricelist'!C12</f>
        <v>Sold</v>
      </c>
      <c r="D19" s="836">
        <v>6</v>
      </c>
      <c r="E19" s="837" t="str">
        <f>'Internal Pricelist'!E12</f>
        <v>G</v>
      </c>
      <c r="F19" s="838" t="str">
        <f>'Internal Pricelist'!F12</f>
        <v>GF</v>
      </c>
      <c r="G19" s="839" t="str">
        <f t="shared" si="3"/>
        <v>COMM E</v>
      </c>
      <c r="H19" s="839" t="str">
        <f>'Internal Pricelist'!I12</f>
        <v>Comm.</v>
      </c>
      <c r="I19" s="839">
        <f>'Internal Pricelist'!J12</f>
        <v>63.33</v>
      </c>
      <c r="J19" s="839">
        <f>'Internal Pricelist'!K12</f>
        <v>0</v>
      </c>
      <c r="K19" s="839">
        <f>'Internal Pricelist'!L12</f>
        <v>0</v>
      </c>
      <c r="L19" s="840">
        <f t="shared" si="0"/>
        <v>63.33</v>
      </c>
      <c r="M19" s="851" t="str">
        <f>'Internal Pricelist'!AA12</f>
        <v>INNER</v>
      </c>
      <c r="N19" s="841"/>
      <c r="O19" s="842">
        <f>'Internal Pricelist'!BM12</f>
        <v>14016153.769754803</v>
      </c>
      <c r="P19" s="843">
        <f t="shared" si="4"/>
        <v>1681938.4523705763</v>
      </c>
      <c r="Q19" s="844">
        <f t="shared" si="13"/>
        <v>1401615.3769754805</v>
      </c>
      <c r="R19" s="843">
        <f t="shared" si="14"/>
        <v>17099707.599100858</v>
      </c>
      <c r="S19" s="845">
        <f>'Internal Pricelist'!BS12</f>
        <v>0.4</v>
      </c>
      <c r="T19" s="844">
        <f t="shared" si="15"/>
        <v>6839883.0396403437</v>
      </c>
      <c r="U19" s="839">
        <f>'Internal Pricelist'!BU12</f>
        <v>200000</v>
      </c>
      <c r="V19" s="844">
        <f t="shared" si="5"/>
        <v>6639883.0396403437</v>
      </c>
      <c r="W19" s="846">
        <f>'Internal Pricelist'!BW12</f>
        <v>7</v>
      </c>
      <c r="X19" s="844">
        <f t="shared" si="6"/>
        <v>948554.71994862054</v>
      </c>
      <c r="Y19" s="847">
        <f t="shared" si="7"/>
        <v>0.6</v>
      </c>
      <c r="Z19" s="844">
        <f t="shared" si="8"/>
        <v>10259824.559460515</v>
      </c>
      <c r="AA19" s="844">
        <f t="shared" si="9"/>
        <v>92218.203680291568</v>
      </c>
      <c r="AC19" s="849">
        <f t="shared" si="10"/>
        <v>221319.33948768047</v>
      </c>
      <c r="AD19" s="873">
        <f t="shared" si="11"/>
        <v>0</v>
      </c>
      <c r="AG19" s="841"/>
      <c r="AH19" s="850"/>
      <c r="AI19" s="850"/>
      <c r="AK19" s="872">
        <f>O19-'Internal Pricelist'!AK12</f>
        <v>3630033.7697548028</v>
      </c>
      <c r="AL19" s="872">
        <f>P19-'Internal Pricelist'!BP12</f>
        <v>0</v>
      </c>
      <c r="AM19" s="872">
        <f>'Internal Pricelist'!BN12+'Internal Pricelist'!BO12</f>
        <v>1401615.3769754802</v>
      </c>
      <c r="AN19" s="872">
        <f t="shared" si="2"/>
        <v>0</v>
      </c>
      <c r="AO19" s="872">
        <f>R19-'Internal Pricelist'!BQ12</f>
        <v>0</v>
      </c>
      <c r="AS19" s="873">
        <f>'Internal Pricelist'!AK12-PriceLink_Fitted!O19</f>
        <v>-3630033.7697548028</v>
      </c>
      <c r="AT19" s="873">
        <f>'Internal Pricelist'!BP12-PriceLink_Fitted!P19</f>
        <v>0</v>
      </c>
      <c r="AU19" s="849">
        <f>'Internal Pricelist'!BN12+'Internal Pricelist'!BO12</f>
        <v>1401615.3769754802</v>
      </c>
      <c r="AV19" s="873">
        <f>PriceLink_Fitted!Q19-PriceLink_Fitted!AU19</f>
        <v>0</v>
      </c>
      <c r="AW19" s="873">
        <f>'Internal Pricelist'!BQ12-PriceLink_Fitted!R19</f>
        <v>0</v>
      </c>
    </row>
    <row r="20" spans="1:49" s="848" customFormat="1" ht="12.6" hidden="1" customHeight="1" x14ac:dyDescent="0.2">
      <c r="A20" s="835">
        <f t="shared" si="12"/>
        <v>7</v>
      </c>
      <c r="B20" s="836" t="str">
        <f>'Internal Pricelist'!H13</f>
        <v>COMM F</v>
      </c>
      <c r="C20" s="836" t="str">
        <f>'Internal Pricelist'!C13</f>
        <v>Sold</v>
      </c>
      <c r="D20" s="836">
        <v>7</v>
      </c>
      <c r="E20" s="837" t="str">
        <f>'Internal Pricelist'!E13</f>
        <v>G</v>
      </c>
      <c r="F20" s="838" t="str">
        <f>'Internal Pricelist'!F13</f>
        <v>GF</v>
      </c>
      <c r="G20" s="839" t="str">
        <f t="shared" si="3"/>
        <v>COMM F</v>
      </c>
      <c r="H20" s="839" t="str">
        <f>'Internal Pricelist'!I13</f>
        <v>Comm.</v>
      </c>
      <c r="I20" s="839">
        <f>'Internal Pricelist'!J13</f>
        <v>86.33</v>
      </c>
      <c r="J20" s="839">
        <f>'Internal Pricelist'!K13</f>
        <v>0</v>
      </c>
      <c r="K20" s="839">
        <f>'Internal Pricelist'!L13</f>
        <v>0</v>
      </c>
      <c r="L20" s="840">
        <f t="shared" si="0"/>
        <v>86.33</v>
      </c>
      <c r="M20" s="851" t="str">
        <f>'Internal Pricelist'!AA13</f>
        <v>CORNER</v>
      </c>
      <c r="N20" s="841"/>
      <c r="O20" s="842">
        <f>'Internal Pricelist'!BM13</f>
        <v>19106498.577971455</v>
      </c>
      <c r="P20" s="843">
        <f t="shared" si="4"/>
        <v>2292779.8293565745</v>
      </c>
      <c r="Q20" s="844">
        <f t="shared" si="13"/>
        <v>1910649.8577971456</v>
      </c>
      <c r="R20" s="843">
        <f t="shared" si="14"/>
        <v>23309928.265125174</v>
      </c>
      <c r="S20" s="845">
        <f>'Internal Pricelist'!BS13</f>
        <v>0.4</v>
      </c>
      <c r="T20" s="844">
        <f t="shared" si="15"/>
        <v>9323971.3060500696</v>
      </c>
      <c r="U20" s="839">
        <f>'Internal Pricelist'!BU13</f>
        <v>200000</v>
      </c>
      <c r="V20" s="844">
        <f t="shared" si="5"/>
        <v>9123971.3060500696</v>
      </c>
      <c r="W20" s="846">
        <f>'Internal Pricelist'!BW13</f>
        <v>7</v>
      </c>
      <c r="X20" s="844">
        <f t="shared" si="6"/>
        <v>1303424.472292867</v>
      </c>
      <c r="Y20" s="847">
        <f t="shared" si="7"/>
        <v>0.6</v>
      </c>
      <c r="Z20" s="844">
        <f t="shared" si="8"/>
        <v>13985956.959075104</v>
      </c>
      <c r="AA20" s="844">
        <f t="shared" si="9"/>
        <v>125709.73509741943</v>
      </c>
      <c r="AC20" s="849">
        <f t="shared" ref="AC20" si="16">O20/L20</f>
        <v>221319.33948768047</v>
      </c>
      <c r="AD20" s="873">
        <f t="shared" si="11"/>
        <v>0</v>
      </c>
      <c r="AG20" s="841"/>
      <c r="AH20" s="850"/>
      <c r="AI20" s="850"/>
      <c r="AK20" s="872">
        <f>O20-'Internal Pricelist'!AK13</f>
        <v>4948378.5779714547</v>
      </c>
      <c r="AL20" s="872">
        <f>P20-'Internal Pricelist'!BP13</f>
        <v>0</v>
      </c>
      <c r="AM20" s="872">
        <f>'Internal Pricelist'!BN13+'Internal Pricelist'!BO13</f>
        <v>1910649.8577971456</v>
      </c>
      <c r="AN20" s="872">
        <f t="shared" ref="AN20" si="17">AM20-Q20</f>
        <v>0</v>
      </c>
      <c r="AO20" s="872">
        <f>R20-'Internal Pricelist'!BQ13</f>
        <v>0</v>
      </c>
      <c r="AS20" s="873"/>
      <c r="AT20" s="873"/>
      <c r="AU20" s="849"/>
      <c r="AV20" s="873"/>
      <c r="AW20" s="873"/>
    </row>
    <row r="21" spans="1:49" x14ac:dyDescent="0.2">
      <c r="A21" s="835">
        <f t="shared" si="12"/>
        <v>8</v>
      </c>
      <c r="B21" s="836" t="str">
        <f>'Internal Pricelist'!H14</f>
        <v>C1</v>
      </c>
      <c r="C21" s="836" t="str">
        <f>'Internal Pricelist'!C14</f>
        <v>Unsold</v>
      </c>
      <c r="D21" s="836">
        <v>8</v>
      </c>
      <c r="E21" s="837" t="str">
        <f>'Internal Pricelist'!E14</f>
        <v>G</v>
      </c>
      <c r="F21" s="838" t="str">
        <f>'Internal Pricelist'!F14</f>
        <v>GF</v>
      </c>
      <c r="G21" s="839" t="str">
        <f t="shared" si="3"/>
        <v>C1</v>
      </c>
      <c r="H21" s="839" t="str">
        <f>'Internal Pricelist'!I14</f>
        <v>Comm.</v>
      </c>
      <c r="I21" s="839">
        <f>'Internal Pricelist'!J14</f>
        <v>85.62</v>
      </c>
      <c r="J21" s="839">
        <f>'Internal Pricelist'!K14</f>
        <v>0</v>
      </c>
      <c r="K21" s="839">
        <f>'Internal Pricelist'!L14</f>
        <v>0</v>
      </c>
      <c r="L21" s="840">
        <f t="shared" si="0"/>
        <v>85.62</v>
      </c>
      <c r="M21" s="851" t="str">
        <f>'Internal Pricelist'!AA14</f>
        <v>INNER</v>
      </c>
      <c r="N21" s="841"/>
      <c r="O21" s="842">
        <f>'Internal Pricelist'!BM14</f>
        <v>18949361.846935205</v>
      </c>
      <c r="P21" s="843">
        <f t="shared" si="4"/>
        <v>2273923.4216322247</v>
      </c>
      <c r="Q21" s="844">
        <f t="shared" si="13"/>
        <v>1894936.1846935207</v>
      </c>
      <c r="R21" s="843">
        <f t="shared" si="14"/>
        <v>23118221.453260947</v>
      </c>
      <c r="S21" s="845">
        <f>'Internal Pricelist'!BS14</f>
        <v>0.4</v>
      </c>
      <c r="T21" s="844">
        <f t="shared" si="15"/>
        <v>9247288.5813043788</v>
      </c>
      <c r="U21" s="839">
        <f>'Internal Pricelist'!BU14</f>
        <v>200000</v>
      </c>
      <c r="V21" s="844">
        <f t="shared" si="5"/>
        <v>9047288.5813043788</v>
      </c>
      <c r="W21" s="846">
        <f>'Internal Pricelist'!BW14</f>
        <v>7</v>
      </c>
      <c r="X21" s="844">
        <f t="shared" si="6"/>
        <v>1292469.7973291969</v>
      </c>
      <c r="Y21" s="847">
        <f t="shared" si="7"/>
        <v>0.6</v>
      </c>
      <c r="Z21" s="844">
        <f t="shared" si="8"/>
        <v>13870932.871956568</v>
      </c>
      <c r="AA21" s="844">
        <f t="shared" si="9"/>
        <v>124675.8660841081</v>
      </c>
      <c r="AC21" s="849">
        <f t="shared" si="10"/>
        <v>221319.3394876805</v>
      </c>
      <c r="AD21" s="873">
        <f t="shared" si="11"/>
        <v>0</v>
      </c>
      <c r="AG21" s="882">
        <f t="shared" ref="AG21:AG84" si="18">W21</f>
        <v>7</v>
      </c>
      <c r="AH21" s="853">
        <f t="shared" ref="AH21:AH84" si="19">X21*W21</f>
        <v>9047288.5813043788</v>
      </c>
      <c r="AI21" s="854">
        <f t="shared" ref="AI21:AI84" si="20">R21-U21-AH21-Z21</f>
        <v>0</v>
      </c>
      <c r="AK21" s="872">
        <f>O21-'Internal Pricelist'!AK21</f>
        <v>3463046.3223761823</v>
      </c>
      <c r="AL21" s="872">
        <f>P21-'Internal Pricelist'!BP21</f>
        <v>-233945.69275305513</v>
      </c>
      <c r="AM21" s="872">
        <f>'Internal Pricelist'!BN21+'Internal Pricelist'!BO21</f>
        <v>2089890.9286543997</v>
      </c>
      <c r="AN21" s="872">
        <f t="shared" si="2"/>
        <v>194954.74396087904</v>
      </c>
      <c r="AO21" s="872">
        <f>R21-'Internal Pricelist'!BQ21</f>
        <v>-2378447.8763227314</v>
      </c>
      <c r="AS21" s="873">
        <f>'Internal Pricelist'!AK21-PriceLink_Fitted!O21</f>
        <v>-3463046.3223761823</v>
      </c>
      <c r="AT21" s="873">
        <f>'Internal Pricelist'!BP21-PriceLink_Fitted!P21</f>
        <v>233945.69275305513</v>
      </c>
      <c r="AU21" s="849">
        <f>'Internal Pricelist'!BN21+'Internal Pricelist'!BO21</f>
        <v>2089890.9286543997</v>
      </c>
      <c r="AV21" s="873">
        <f>PriceLink_Fitted!Q21-PriceLink_Fitted!AU21</f>
        <v>-194954.74396087904</v>
      </c>
      <c r="AW21" s="873">
        <f>'Internal Pricelist'!BQ21-PriceLink_Fitted!R21</f>
        <v>2378447.8763227314</v>
      </c>
    </row>
    <row r="22" spans="1:49" s="902" customFormat="1" hidden="1" x14ac:dyDescent="0.25">
      <c r="A22" s="905">
        <f t="shared" si="12"/>
        <v>9</v>
      </c>
      <c r="B22" s="906" t="str">
        <f>'Internal Pricelist'!H15</f>
        <v>COMM A - M</v>
      </c>
      <c r="C22" s="906" t="str">
        <f>'Internal Pricelist'!C15</f>
        <v>Sold</v>
      </c>
      <c r="D22" s="906">
        <v>9</v>
      </c>
      <c r="E22" s="907" t="str">
        <f>'Internal Pricelist'!E15</f>
        <v>G</v>
      </c>
      <c r="F22" s="908" t="str">
        <f>'Internal Pricelist'!F15</f>
        <v>GF</v>
      </c>
      <c r="G22" s="899" t="str">
        <f t="shared" si="3"/>
        <v>COMM A - M</v>
      </c>
      <c r="H22" s="899" t="str">
        <f>'Internal Pricelist'!I15</f>
        <v>Comm. w/ Mezzanine</v>
      </c>
      <c r="I22" s="899">
        <f>'Internal Pricelist'!J15</f>
        <v>44.23</v>
      </c>
      <c r="J22" s="899">
        <f>'Internal Pricelist'!K15</f>
        <v>0</v>
      </c>
      <c r="K22" s="899">
        <f>'Internal Pricelist'!L15</f>
        <v>37.15</v>
      </c>
      <c r="L22" s="897">
        <f>I22+K22</f>
        <v>81.38</v>
      </c>
      <c r="M22" s="898" t="str">
        <f>'Internal Pricelist'!AA15</f>
        <v>CORNER</v>
      </c>
      <c r="N22" s="850"/>
      <c r="O22" s="842">
        <f>'Internal Pricelist'!BM15</f>
        <v>13398188.676529046</v>
      </c>
      <c r="P22" s="899">
        <f t="shared" si="4"/>
        <v>1607782.6411834855</v>
      </c>
      <c r="Q22" s="900">
        <f t="shared" si="13"/>
        <v>1339818.8676529047</v>
      </c>
      <c r="R22" s="899">
        <f t="shared" si="14"/>
        <v>16345790.185365437</v>
      </c>
      <c r="S22" s="909">
        <f>'Internal Pricelist'!BS15</f>
        <v>0.4</v>
      </c>
      <c r="T22" s="900">
        <f t="shared" si="15"/>
        <v>6538316.0741461748</v>
      </c>
      <c r="U22" s="899">
        <f>'Internal Pricelist'!BU15</f>
        <v>200000</v>
      </c>
      <c r="V22" s="900">
        <f t="shared" si="5"/>
        <v>6338316.0741461748</v>
      </c>
      <c r="W22" s="910">
        <f>'Internal Pricelist'!BW15</f>
        <v>7</v>
      </c>
      <c r="X22" s="900">
        <f t="shared" si="6"/>
        <v>905473.72487802501</v>
      </c>
      <c r="Y22" s="901">
        <f t="shared" si="7"/>
        <v>0.6</v>
      </c>
      <c r="Z22" s="900">
        <f t="shared" si="8"/>
        <v>9807474.1112192608</v>
      </c>
      <c r="AA22" s="900">
        <f t="shared" si="9"/>
        <v>88152.349968171504</v>
      </c>
      <c r="AC22" s="849">
        <f t="shared" si="10"/>
        <v>164637.36392884058</v>
      </c>
      <c r="AD22" s="873">
        <f t="shared" si="11"/>
        <v>0</v>
      </c>
      <c r="AG22" s="850">
        <f t="shared" si="18"/>
        <v>7</v>
      </c>
      <c r="AH22" s="903">
        <f t="shared" si="19"/>
        <v>6338316.0741461748</v>
      </c>
      <c r="AI22" s="904">
        <f t="shared" si="20"/>
        <v>0</v>
      </c>
      <c r="AK22" s="872">
        <f>O22-'Internal Pricelist'!AK22</f>
        <v>5362159.0872184765</v>
      </c>
      <c r="AL22" s="872">
        <f>P22-'Internal Pricelist'!BP22</f>
        <v>306420.1332739694</v>
      </c>
      <c r="AM22" s="872">
        <f>'Internal Pricelist'!BN22+'Internal Pricelist'!BO22</f>
        <v>1084468.7565912635</v>
      </c>
      <c r="AN22" s="872">
        <f t="shared" si="2"/>
        <v>-255350.11106164125</v>
      </c>
      <c r="AO22" s="872">
        <f>R22-'Internal Pricelist'!BQ22</f>
        <v>3115271.3549520243</v>
      </c>
      <c r="AS22" s="873">
        <f>'Internal Pricelist'!AK22-PriceLink_Fitted!O22</f>
        <v>-5362159.0872184765</v>
      </c>
      <c r="AT22" s="873">
        <f>'Internal Pricelist'!BP22-PriceLink_Fitted!P22</f>
        <v>-306420.1332739694</v>
      </c>
      <c r="AU22" s="849">
        <f>'Internal Pricelist'!BN22+'Internal Pricelist'!BO22</f>
        <v>1084468.7565912635</v>
      </c>
      <c r="AV22" s="873">
        <f>PriceLink_Fitted!Q22-PriceLink_Fitted!AU22</f>
        <v>255350.11106164125</v>
      </c>
      <c r="AW22" s="873">
        <f>'Internal Pricelist'!BQ22-PriceLink_Fitted!R22</f>
        <v>-3115271.3549520243</v>
      </c>
    </row>
    <row r="23" spans="1:49" hidden="1" x14ac:dyDescent="0.2">
      <c r="A23" s="905">
        <f t="shared" si="12"/>
        <v>10</v>
      </c>
      <c r="B23" s="906" t="str">
        <f>'Internal Pricelist'!H16</f>
        <v>COMM B - M</v>
      </c>
      <c r="C23" s="906" t="str">
        <f>'Internal Pricelist'!C16</f>
        <v>Sold</v>
      </c>
      <c r="D23" s="906">
        <v>10</v>
      </c>
      <c r="E23" s="907" t="str">
        <f>'Internal Pricelist'!E16</f>
        <v>G</v>
      </c>
      <c r="F23" s="908" t="str">
        <f>'Internal Pricelist'!F16</f>
        <v>GF</v>
      </c>
      <c r="G23" s="899" t="str">
        <f t="shared" si="3"/>
        <v>COMM B - M</v>
      </c>
      <c r="H23" s="899" t="str">
        <f>'Internal Pricelist'!I16</f>
        <v>Comm. w/ Mezzanine</v>
      </c>
      <c r="I23" s="899">
        <f>'Internal Pricelist'!J16</f>
        <v>47.78</v>
      </c>
      <c r="J23" s="899">
        <f>'Internal Pricelist'!K16</f>
        <v>0</v>
      </c>
      <c r="K23" s="899">
        <f>'Internal Pricelist'!L16</f>
        <v>41.72</v>
      </c>
      <c r="L23" s="896">
        <f t="shared" ref="L23:L27" si="21">I23+K23</f>
        <v>89.5</v>
      </c>
      <c r="M23" s="851" t="str">
        <f>'Internal Pricelist'!AA16</f>
        <v>INNER</v>
      </c>
      <c r="N23" s="850"/>
      <c r="O23" s="842">
        <f>'Internal Pricelist'!BM16</f>
        <v>14693252.623999929</v>
      </c>
      <c r="P23" s="843">
        <f t="shared" si="4"/>
        <v>1763190.3148799913</v>
      </c>
      <c r="Q23" s="844">
        <f t="shared" si="13"/>
        <v>1469325.2623999929</v>
      </c>
      <c r="R23" s="843">
        <f t="shared" si="14"/>
        <v>17925768.201279912</v>
      </c>
      <c r="S23" s="909">
        <f>'Internal Pricelist'!BS16</f>
        <v>0.4</v>
      </c>
      <c r="T23" s="844">
        <f t="shared" si="15"/>
        <v>7170307.280511965</v>
      </c>
      <c r="U23" s="899">
        <f>'Internal Pricelist'!BU16</f>
        <v>200000</v>
      </c>
      <c r="V23" s="844">
        <f t="shared" si="5"/>
        <v>6970307.280511965</v>
      </c>
      <c r="W23" s="910">
        <f>'Internal Pricelist'!BW16</f>
        <v>7</v>
      </c>
      <c r="X23" s="844">
        <f t="shared" si="6"/>
        <v>995758.18293028069</v>
      </c>
      <c r="Y23" s="847">
        <f t="shared" si="7"/>
        <v>0.6</v>
      </c>
      <c r="Z23" s="844">
        <f t="shared" si="8"/>
        <v>10755460.920767946</v>
      </c>
      <c r="AA23" s="844">
        <f t="shared" si="9"/>
        <v>96673.123416347036</v>
      </c>
      <c r="AC23" s="849">
        <f t="shared" si="10"/>
        <v>164170.42037988748</v>
      </c>
      <c r="AD23" s="873">
        <f t="shared" si="11"/>
        <v>0</v>
      </c>
      <c r="AG23" s="882">
        <f t="shared" si="18"/>
        <v>7</v>
      </c>
      <c r="AH23" s="853">
        <f t="shared" si="19"/>
        <v>6970307.280511965</v>
      </c>
      <c r="AI23" s="854">
        <f t="shared" si="20"/>
        <v>0</v>
      </c>
      <c r="AK23" s="872">
        <f>O23-'Internal Pricelist'!AK23</f>
        <v>5984575.4898319263</v>
      </c>
      <c r="AL23" s="872">
        <f>P23-'Internal Pricelist'!BP23</f>
        <v>352898.60428570211</v>
      </c>
      <c r="AM23" s="872">
        <f>'Internal Pricelist'!BN23+'Internal Pricelist'!BO23</f>
        <v>1175243.0921619078</v>
      </c>
      <c r="AN23" s="872">
        <f t="shared" si="2"/>
        <v>-294082.17023808509</v>
      </c>
      <c r="AO23" s="872">
        <f>R23-'Internal Pricelist'!BQ23</f>
        <v>3587802.4769046362</v>
      </c>
      <c r="AS23" s="873">
        <f>'Internal Pricelist'!AK23-PriceLink_Fitted!O23</f>
        <v>-5984575.4898319263</v>
      </c>
      <c r="AT23" s="873">
        <f>'Internal Pricelist'!BP23-PriceLink_Fitted!P23</f>
        <v>-352898.60428570211</v>
      </c>
      <c r="AU23" s="849">
        <f>'Internal Pricelist'!BN23+'Internal Pricelist'!BO23</f>
        <v>1175243.0921619078</v>
      </c>
      <c r="AV23" s="873">
        <f>PriceLink_Fitted!Q23-PriceLink_Fitted!AU23</f>
        <v>294082.17023808509</v>
      </c>
      <c r="AW23" s="873">
        <f>'Internal Pricelist'!BQ23-PriceLink_Fitted!R23</f>
        <v>-3587802.4769046362</v>
      </c>
    </row>
    <row r="24" spans="1:49" hidden="1" x14ac:dyDescent="0.2">
      <c r="A24" s="905">
        <f t="shared" si="12"/>
        <v>11</v>
      </c>
      <c r="B24" s="906" t="str">
        <f>'Internal Pricelist'!H17</f>
        <v>COMM C - M</v>
      </c>
      <c r="C24" s="906" t="str">
        <f>'Internal Pricelist'!C17</f>
        <v>Sold</v>
      </c>
      <c r="D24" s="906">
        <v>11</v>
      </c>
      <c r="E24" s="907" t="str">
        <f>'Internal Pricelist'!E17</f>
        <v>G</v>
      </c>
      <c r="F24" s="908" t="str">
        <f>'Internal Pricelist'!F17</f>
        <v>GF</v>
      </c>
      <c r="G24" s="899" t="str">
        <f t="shared" si="3"/>
        <v>COMM C - M</v>
      </c>
      <c r="H24" s="899" t="str">
        <f>'Internal Pricelist'!I17</f>
        <v>Comm. w/ Mezzanine</v>
      </c>
      <c r="I24" s="899">
        <f>'Internal Pricelist'!J17</f>
        <v>53.99</v>
      </c>
      <c r="J24" s="899">
        <f>'Internal Pricelist'!K17</f>
        <v>0</v>
      </c>
      <c r="K24" s="899">
        <f>'Internal Pricelist'!L17</f>
        <v>46.69</v>
      </c>
      <c r="L24" s="896">
        <f t="shared" si="21"/>
        <v>100.68</v>
      </c>
      <c r="M24" s="851" t="str">
        <f>'Internal Pricelist'!AA17</f>
        <v>INNER</v>
      </c>
      <c r="N24" s="850"/>
      <c r="O24" s="842">
        <f>'Internal Pricelist'!BM17</f>
        <v>16540369.998905392</v>
      </c>
      <c r="P24" s="843">
        <f t="shared" si="4"/>
        <v>1984844.3998686471</v>
      </c>
      <c r="Q24" s="844">
        <f t="shared" si="13"/>
        <v>1654036.9998905393</v>
      </c>
      <c r="R24" s="843">
        <f t="shared" si="14"/>
        <v>20179251.398664579</v>
      </c>
      <c r="S24" s="909">
        <f>'Internal Pricelist'!BS17</f>
        <v>0.4</v>
      </c>
      <c r="T24" s="844">
        <f t="shared" si="15"/>
        <v>8071700.5594658321</v>
      </c>
      <c r="U24" s="899">
        <f>'Internal Pricelist'!BU17</f>
        <v>200000</v>
      </c>
      <c r="V24" s="844">
        <f t="shared" si="5"/>
        <v>7871700.5594658321</v>
      </c>
      <c r="W24" s="910">
        <f>'Internal Pricelist'!BW17</f>
        <v>7</v>
      </c>
      <c r="X24" s="844">
        <f t="shared" si="6"/>
        <v>1124528.6513522617</v>
      </c>
      <c r="Y24" s="847">
        <f t="shared" si="7"/>
        <v>0.6</v>
      </c>
      <c r="Z24" s="844">
        <f t="shared" si="8"/>
        <v>12107550.839198748</v>
      </c>
      <c r="AA24" s="844">
        <f t="shared" si="9"/>
        <v>108826.08985054861</v>
      </c>
      <c r="AC24" s="849">
        <f t="shared" si="10"/>
        <v>164286.55143926688</v>
      </c>
      <c r="AD24" s="873">
        <f t="shared" si="11"/>
        <v>0</v>
      </c>
      <c r="AG24" s="882">
        <f t="shared" si="18"/>
        <v>7</v>
      </c>
      <c r="AH24" s="853">
        <f t="shared" si="19"/>
        <v>7871700.5594658311</v>
      </c>
      <c r="AI24" s="854">
        <f t="shared" si="20"/>
        <v>0</v>
      </c>
      <c r="AK24" s="872">
        <f>O24-'Internal Pricelist'!AK24</f>
        <v>7156064.9354537632</v>
      </c>
      <c r="AL24" s="872">
        <f>P24-'Internal Pricelist'!BP24</f>
        <v>465140.84021449345</v>
      </c>
      <c r="AM24" s="872">
        <f>'Internal Pricelist'!BN24+'Internal Pricelist'!BO24</f>
        <v>1266419.6330451281</v>
      </c>
      <c r="AN24" s="872">
        <f t="shared" si="2"/>
        <v>-387617.36684541125</v>
      </c>
      <c r="AO24" s="872">
        <f>R24-'Internal Pricelist'!BQ24</f>
        <v>4728931.8755140156</v>
      </c>
      <c r="AS24" s="873">
        <f>'Internal Pricelist'!AK24-PriceLink_Fitted!O24</f>
        <v>-7156064.9354537632</v>
      </c>
      <c r="AT24" s="873">
        <f>'Internal Pricelist'!BP24-PriceLink_Fitted!P24</f>
        <v>-465140.84021449345</v>
      </c>
      <c r="AU24" s="849">
        <f>'Internal Pricelist'!BN24+'Internal Pricelist'!BO24</f>
        <v>1266419.6330451281</v>
      </c>
      <c r="AV24" s="873">
        <f>PriceLink_Fitted!Q24-PriceLink_Fitted!AU24</f>
        <v>387617.36684541125</v>
      </c>
      <c r="AW24" s="873">
        <f>'Internal Pricelist'!BQ24-PriceLink_Fitted!R24</f>
        <v>-4728931.8755140156</v>
      </c>
    </row>
    <row r="25" spans="1:49" hidden="1" x14ac:dyDescent="0.2">
      <c r="A25" s="905">
        <f t="shared" si="12"/>
        <v>12</v>
      </c>
      <c r="B25" s="906" t="str">
        <f>'Internal Pricelist'!H18</f>
        <v>COMM D - M</v>
      </c>
      <c r="C25" s="906" t="str">
        <f>'Internal Pricelist'!C18</f>
        <v>Sold</v>
      </c>
      <c r="D25" s="906">
        <v>12</v>
      </c>
      <c r="E25" s="907" t="str">
        <f>'Internal Pricelist'!E18</f>
        <v>G</v>
      </c>
      <c r="F25" s="908" t="str">
        <f>'Internal Pricelist'!F18</f>
        <v>GF</v>
      </c>
      <c r="G25" s="899" t="str">
        <f t="shared" si="3"/>
        <v>COMM D - M</v>
      </c>
      <c r="H25" s="899" t="str">
        <f>'Internal Pricelist'!I18</f>
        <v>Comm. w/ Mezzanine</v>
      </c>
      <c r="I25" s="899">
        <f>'Internal Pricelist'!J18</f>
        <v>58.67</v>
      </c>
      <c r="J25" s="899">
        <f>'Internal Pricelist'!K18</f>
        <v>0</v>
      </c>
      <c r="K25" s="899">
        <f>'Internal Pricelist'!L18</f>
        <v>51.1</v>
      </c>
      <c r="L25" s="896">
        <f t="shared" si="21"/>
        <v>109.77000000000001</v>
      </c>
      <c r="M25" s="851" t="str">
        <f>'Internal Pricelist'!AA18</f>
        <v>INNER</v>
      </c>
      <c r="N25" s="850"/>
      <c r="O25" s="842">
        <f>'Internal Pricelist'!BM18</f>
        <v>18024316.170170292</v>
      </c>
      <c r="P25" s="843">
        <f t="shared" si="4"/>
        <v>2162917.9404204348</v>
      </c>
      <c r="Q25" s="844">
        <f t="shared" si="13"/>
        <v>1802431.6170170293</v>
      </c>
      <c r="R25" s="843">
        <f t="shared" si="14"/>
        <v>21989665.727607757</v>
      </c>
      <c r="S25" s="909">
        <f>'Internal Pricelist'!BS18</f>
        <v>0.4</v>
      </c>
      <c r="T25" s="844">
        <f t="shared" si="15"/>
        <v>8795866.2910431027</v>
      </c>
      <c r="U25" s="899">
        <f>'Internal Pricelist'!BU18</f>
        <v>200000</v>
      </c>
      <c r="V25" s="844">
        <f t="shared" si="5"/>
        <v>8595866.2910431027</v>
      </c>
      <c r="W25" s="910">
        <f>'Internal Pricelist'!BW18</f>
        <v>7</v>
      </c>
      <c r="X25" s="844">
        <f t="shared" si="6"/>
        <v>1227980.8987204432</v>
      </c>
      <c r="Y25" s="847">
        <f t="shared" si="7"/>
        <v>0.6</v>
      </c>
      <c r="Z25" s="844">
        <f t="shared" si="8"/>
        <v>13193799.436564654</v>
      </c>
      <c r="AA25" s="844">
        <f t="shared" si="9"/>
        <v>118589.59933541132</v>
      </c>
      <c r="AC25" s="849">
        <f t="shared" si="10"/>
        <v>164200.74856673309</v>
      </c>
      <c r="AD25" s="873">
        <f t="shared" si="11"/>
        <v>0</v>
      </c>
      <c r="AG25" s="882">
        <f t="shared" si="18"/>
        <v>7</v>
      </c>
      <c r="AH25" s="853">
        <f t="shared" si="19"/>
        <v>8595866.2910431027</v>
      </c>
      <c r="AI25" s="854">
        <f t="shared" si="20"/>
        <v>0</v>
      </c>
      <c r="AK25" s="872">
        <f>O25-'Internal Pricelist'!AK25</f>
        <v>4940768.3734737858</v>
      </c>
      <c r="AL25" s="872">
        <f>P25-'Internal Pricelist'!BP25</f>
        <v>44155.386868945789</v>
      </c>
      <c r="AM25" s="872">
        <f>'Internal Pricelist'!BN25+'Internal Pricelist'!BO25</f>
        <v>1765635.4612929076</v>
      </c>
      <c r="AN25" s="872">
        <f t="shared" si="2"/>
        <v>-36796.155724121723</v>
      </c>
      <c r="AO25" s="872">
        <f>R25-'Internal Pricelist'!BQ25</f>
        <v>448913.09983428568</v>
      </c>
      <c r="AS25" s="873">
        <f>'Internal Pricelist'!AK25-PriceLink_Fitted!O25</f>
        <v>-4940768.3734737858</v>
      </c>
      <c r="AT25" s="873">
        <f>'Internal Pricelist'!BP25-PriceLink_Fitted!P25</f>
        <v>-44155.386868945789</v>
      </c>
      <c r="AU25" s="849">
        <f>'Internal Pricelist'!BN25+'Internal Pricelist'!BO25</f>
        <v>1765635.4612929076</v>
      </c>
      <c r="AV25" s="873">
        <f>PriceLink_Fitted!Q25-PriceLink_Fitted!AU25</f>
        <v>36796.155724121723</v>
      </c>
      <c r="AW25" s="873">
        <f>'Internal Pricelist'!BQ25-PriceLink_Fitted!R25</f>
        <v>-448913.09983428568</v>
      </c>
    </row>
    <row r="26" spans="1:49" hidden="1" x14ac:dyDescent="0.2">
      <c r="A26" s="905">
        <f t="shared" si="12"/>
        <v>13</v>
      </c>
      <c r="B26" s="906" t="str">
        <f>'Internal Pricelist'!H19</f>
        <v>COMM E - M</v>
      </c>
      <c r="C26" s="906" t="str">
        <f>'Internal Pricelist'!C19</f>
        <v>Sold</v>
      </c>
      <c r="D26" s="906">
        <v>13</v>
      </c>
      <c r="E26" s="907" t="str">
        <f>'Internal Pricelist'!E19</f>
        <v>G</v>
      </c>
      <c r="F26" s="908" t="str">
        <f>'Internal Pricelist'!F19</f>
        <v>GF</v>
      </c>
      <c r="G26" s="899" t="str">
        <f t="shared" si="3"/>
        <v>COMM E - M</v>
      </c>
      <c r="H26" s="899" t="str">
        <f>'Internal Pricelist'!I19</f>
        <v>Comm. w/ Mezzanine</v>
      </c>
      <c r="I26" s="899">
        <f>'Internal Pricelist'!J19</f>
        <v>63.33</v>
      </c>
      <c r="J26" s="899">
        <f>'Internal Pricelist'!K19</f>
        <v>0</v>
      </c>
      <c r="K26" s="899">
        <f>'Internal Pricelist'!L19</f>
        <v>55.75</v>
      </c>
      <c r="L26" s="896">
        <f t="shared" si="21"/>
        <v>119.08</v>
      </c>
      <c r="M26" s="851" t="str">
        <f>'Internal Pricelist'!AA19</f>
        <v>INNER</v>
      </c>
      <c r="N26" s="850"/>
      <c r="O26" s="842">
        <f>'Internal Pricelist'!BM19</f>
        <v>19537725.478504486</v>
      </c>
      <c r="P26" s="843">
        <f t="shared" si="4"/>
        <v>2344527.0574205383</v>
      </c>
      <c r="Q26" s="844">
        <f t="shared" si="13"/>
        <v>1953772.5478504486</v>
      </c>
      <c r="R26" s="843">
        <f t="shared" si="14"/>
        <v>23836025.083775472</v>
      </c>
      <c r="S26" s="909">
        <f>'Internal Pricelist'!BS19</f>
        <v>0.4</v>
      </c>
      <c r="T26" s="844">
        <f t="shared" si="15"/>
        <v>9534410.0335101895</v>
      </c>
      <c r="U26" s="899">
        <f>'Internal Pricelist'!BU19</f>
        <v>200000</v>
      </c>
      <c r="V26" s="844">
        <f t="shared" si="5"/>
        <v>9334410.0335101895</v>
      </c>
      <c r="W26" s="910">
        <f>'Internal Pricelist'!BW19</f>
        <v>7</v>
      </c>
      <c r="X26" s="844">
        <f t="shared" si="6"/>
        <v>1333487.1476443128</v>
      </c>
      <c r="Y26" s="847">
        <f t="shared" si="7"/>
        <v>0.6</v>
      </c>
      <c r="Z26" s="844">
        <f t="shared" si="8"/>
        <v>14301615.050265282</v>
      </c>
      <c r="AA26" s="844">
        <f t="shared" si="9"/>
        <v>128546.95926026988</v>
      </c>
      <c r="AC26" s="849">
        <f t="shared" si="10"/>
        <v>164072.26636298696</v>
      </c>
      <c r="AD26" s="873">
        <f t="shared" si="11"/>
        <v>0</v>
      </c>
      <c r="AG26" s="882">
        <f t="shared" si="18"/>
        <v>7</v>
      </c>
      <c r="AH26" s="853">
        <f t="shared" si="19"/>
        <v>9334410.0335101895</v>
      </c>
      <c r="AI26" s="854">
        <f t="shared" si="20"/>
        <v>0</v>
      </c>
      <c r="AK26" s="872">
        <f>O26-'Internal Pricelist'!AK26</f>
        <v>10383991.974728854</v>
      </c>
      <c r="AL26" s="872">
        <f>P26-'Internal Pricelist'!BP26</f>
        <v>862162.48212648463</v>
      </c>
      <c r="AM26" s="872">
        <f>'Internal Pricelist'!BN26+'Internal Pricelist'!BO26</f>
        <v>1235303.8127450447</v>
      </c>
      <c r="AN26" s="872">
        <f t="shared" si="2"/>
        <v>-718468.73510540393</v>
      </c>
      <c r="AO26" s="872">
        <f>R26-'Internal Pricelist'!BQ26</f>
        <v>8765318.5682859272</v>
      </c>
      <c r="AS26" s="873">
        <f>'Internal Pricelist'!AK26-PriceLink_Fitted!O26</f>
        <v>-10383991.974728854</v>
      </c>
      <c r="AT26" s="873">
        <f>'Internal Pricelist'!BP26-PriceLink_Fitted!P26</f>
        <v>-862162.48212648463</v>
      </c>
      <c r="AU26" s="849">
        <f>'Internal Pricelist'!BN26+'Internal Pricelist'!BO26</f>
        <v>1235303.8127450447</v>
      </c>
      <c r="AV26" s="873">
        <f>PriceLink_Fitted!Q26-PriceLink_Fitted!AU26</f>
        <v>718468.73510540393</v>
      </c>
      <c r="AW26" s="873">
        <f>'Internal Pricelist'!BQ26-PriceLink_Fitted!R26</f>
        <v>-8765318.5682859272</v>
      </c>
    </row>
    <row r="27" spans="1:49" hidden="1" x14ac:dyDescent="0.2">
      <c r="A27" s="905">
        <f t="shared" si="12"/>
        <v>14</v>
      </c>
      <c r="B27" s="906" t="str">
        <f>'Internal Pricelist'!H20</f>
        <v>COMM F - M</v>
      </c>
      <c r="C27" s="906" t="str">
        <f>'Internal Pricelist'!C20</f>
        <v>Sold</v>
      </c>
      <c r="D27" s="906">
        <v>14</v>
      </c>
      <c r="E27" s="907" t="str">
        <f>'Internal Pricelist'!E20</f>
        <v>G</v>
      </c>
      <c r="F27" s="908" t="str">
        <f>'Internal Pricelist'!F20</f>
        <v>GF</v>
      </c>
      <c r="G27" s="899" t="str">
        <f t="shared" si="3"/>
        <v>COMM F - M</v>
      </c>
      <c r="H27" s="899" t="str">
        <f>'Internal Pricelist'!I20</f>
        <v>Comm. w/ Mezzanine</v>
      </c>
      <c r="I27" s="899">
        <f>'Internal Pricelist'!J20</f>
        <v>86.33</v>
      </c>
      <c r="J27" s="899">
        <f>'Internal Pricelist'!K20</f>
        <v>0</v>
      </c>
      <c r="K27" s="899">
        <f>'Internal Pricelist'!L20</f>
        <v>78.78</v>
      </c>
      <c r="L27" s="896">
        <f t="shared" si="21"/>
        <v>165.11</v>
      </c>
      <c r="M27" s="851" t="str">
        <f>'Internal Pricelist'!AA20</f>
        <v>CORNER</v>
      </c>
      <c r="N27" s="850"/>
      <c r="O27" s="842">
        <f>'Internal Pricelist'!BM20</f>
        <v>27018319.153188087</v>
      </c>
      <c r="P27" s="843">
        <f t="shared" si="4"/>
        <v>3242198.2983825705</v>
      </c>
      <c r="Q27" s="844">
        <f t="shared" si="13"/>
        <v>2701831.915318809</v>
      </c>
      <c r="R27" s="843">
        <f t="shared" si="14"/>
        <v>32962349.366889466</v>
      </c>
      <c r="S27" s="909">
        <f>'Internal Pricelist'!BS20</f>
        <v>0.4</v>
      </c>
      <c r="T27" s="844">
        <f t="shared" si="15"/>
        <v>13184939.746755786</v>
      </c>
      <c r="U27" s="899">
        <f>'Internal Pricelist'!BU20</f>
        <v>200000</v>
      </c>
      <c r="V27" s="844">
        <f t="shared" si="5"/>
        <v>12984939.746755786</v>
      </c>
      <c r="W27" s="910">
        <f>'Internal Pricelist'!BW20</f>
        <v>7</v>
      </c>
      <c r="X27" s="844">
        <f t="shared" si="6"/>
        <v>1854991.3923936838</v>
      </c>
      <c r="Y27" s="847">
        <f t="shared" si="7"/>
        <v>0.6</v>
      </c>
      <c r="Z27" s="844">
        <f t="shared" si="8"/>
        <v>19777409.620133679</v>
      </c>
      <c r="AA27" s="844">
        <f t="shared" si="9"/>
        <v>177764.94890804909</v>
      </c>
      <c r="AC27" s="849">
        <f t="shared" si="10"/>
        <v>163638.29660946087</v>
      </c>
      <c r="AD27" s="873">
        <f t="shared" si="11"/>
        <v>0</v>
      </c>
      <c r="AG27" s="882">
        <f t="shared" si="18"/>
        <v>7</v>
      </c>
      <c r="AH27" s="853">
        <f t="shared" si="19"/>
        <v>12984939.746755786</v>
      </c>
      <c r="AI27" s="854">
        <f t="shared" si="20"/>
        <v>0</v>
      </c>
      <c r="AK27" s="872">
        <f>O27-'Internal Pricelist'!AK27</f>
        <v>12087370.528624786</v>
      </c>
      <c r="AL27" s="872">
        <f>P27-'Internal Pricelist'!BP27</f>
        <v>824265.84410488233</v>
      </c>
      <c r="AM27" s="872">
        <f>'Internal Pricelist'!BN27+'Internal Pricelist'!BO27</f>
        <v>2014943.7118980736</v>
      </c>
      <c r="AN27" s="872">
        <f t="shared" si="2"/>
        <v>-686888.20342073543</v>
      </c>
      <c r="AO27" s="872">
        <f>R27-'Internal Pricelist'!BQ27</f>
        <v>8380036.0817329697</v>
      </c>
      <c r="AS27" s="873">
        <f>'Internal Pricelist'!AK27-PriceLink_Fitted!O27</f>
        <v>-12087370.528624786</v>
      </c>
      <c r="AT27" s="873">
        <f>'Internal Pricelist'!BP27-PriceLink_Fitted!P27</f>
        <v>-824265.84410488233</v>
      </c>
      <c r="AU27" s="849">
        <f>'Internal Pricelist'!BN27+'Internal Pricelist'!BO27</f>
        <v>2014943.7118980736</v>
      </c>
      <c r="AV27" s="873">
        <f>PriceLink_Fitted!Q27-PriceLink_Fitted!AU27</f>
        <v>686888.20342073543</v>
      </c>
      <c r="AW27" s="873">
        <f>'Internal Pricelist'!BQ27-PriceLink_Fitted!R27</f>
        <v>-8380036.0817329697</v>
      </c>
    </row>
    <row r="28" spans="1:49" hidden="1" x14ac:dyDescent="0.2">
      <c r="A28" s="835">
        <f t="shared" si="12"/>
        <v>15</v>
      </c>
      <c r="B28" s="836" t="str">
        <f>'Internal Pricelist'!H21</f>
        <v>5A</v>
      </c>
      <c r="C28" s="836" t="str">
        <f>'Internal Pricelist'!C21</f>
        <v>Sold</v>
      </c>
      <c r="D28" s="836">
        <v>15</v>
      </c>
      <c r="E28" s="837" t="str">
        <f>'Internal Pricelist'!E21</f>
        <v>4th</v>
      </c>
      <c r="F28" s="838" t="str">
        <f>'Internal Pricelist'!F21</f>
        <v>5th</v>
      </c>
      <c r="G28" s="839" t="str">
        <f t="shared" si="3"/>
        <v>5A</v>
      </c>
      <c r="H28" s="839" t="str">
        <f>'Internal Pricelist'!I21</f>
        <v>3-BR</v>
      </c>
      <c r="I28" s="839">
        <f>'Internal Pricelist'!J21</f>
        <v>99.98</v>
      </c>
      <c r="J28" s="839">
        <f>'Internal Pricelist'!K21</f>
        <v>10.29</v>
      </c>
      <c r="K28" s="839">
        <f>'Internal Pricelist'!L21</f>
        <v>0</v>
      </c>
      <c r="L28" s="840">
        <f t="shared" si="0"/>
        <v>110.27000000000001</v>
      </c>
      <c r="M28" s="851" t="str">
        <f>'Internal Pricelist'!AA21</f>
        <v>CORNER</v>
      </c>
      <c r="N28" s="841"/>
      <c r="O28" s="842">
        <f>'Internal Pricelist'!BM21</f>
        <v>20898909.286543999</v>
      </c>
      <c r="P28" s="843">
        <f t="shared" si="4"/>
        <v>2507869.1143852798</v>
      </c>
      <c r="Q28" s="844">
        <f t="shared" si="13"/>
        <v>2089890.9286543999</v>
      </c>
      <c r="R28" s="843">
        <f t="shared" si="14"/>
        <v>25496669.329583678</v>
      </c>
      <c r="S28" s="845">
        <f>'Internal Pricelist'!BS21</f>
        <v>0.15</v>
      </c>
      <c r="T28" s="844">
        <f t="shared" si="15"/>
        <v>3824500.3994375514</v>
      </c>
      <c r="U28" s="839">
        <f>'Internal Pricelist'!BU21</f>
        <v>50000</v>
      </c>
      <c r="V28" s="844">
        <f t="shared" si="5"/>
        <v>3774500.3994375514</v>
      </c>
      <c r="W28" s="846">
        <f>'Internal Pricelist'!BW21</f>
        <v>7</v>
      </c>
      <c r="X28" s="844">
        <f t="shared" si="6"/>
        <v>539214.34277679306</v>
      </c>
      <c r="Y28" s="847">
        <f t="shared" si="7"/>
        <v>0.85</v>
      </c>
      <c r="Z28" s="844">
        <f t="shared" si="8"/>
        <v>21672168.930146124</v>
      </c>
      <c r="AA28" s="844">
        <f t="shared" si="9"/>
        <v>194795.58125104933</v>
      </c>
      <c r="AC28" s="849">
        <f t="shared" si="10"/>
        <v>189524.88697328372</v>
      </c>
      <c r="AD28" s="873">
        <f t="shared" si="11"/>
        <v>0</v>
      </c>
      <c r="AG28" s="882">
        <f t="shared" si="18"/>
        <v>7</v>
      </c>
      <c r="AH28" s="853">
        <f t="shared" si="19"/>
        <v>3774500.3994375514</v>
      </c>
      <c r="AI28" s="854">
        <f t="shared" si="20"/>
        <v>0</v>
      </c>
      <c r="AK28" s="872">
        <f>O28-'Internal Pricelist'!AK28</f>
        <v>10597499.241484895</v>
      </c>
      <c r="AL28" s="872">
        <f>P28-'Internal Pricelist'!BP28</f>
        <v>839648.67514315434</v>
      </c>
      <c r="AM28" s="872">
        <f>'Internal Pricelist'!BN28+'Internal Pricelist'!BO28</f>
        <v>1390183.699368438</v>
      </c>
      <c r="AN28" s="872">
        <f t="shared" si="2"/>
        <v>-699707.22928596195</v>
      </c>
      <c r="AO28" s="872">
        <f>R28-'Internal Pricelist'!BQ28</f>
        <v>8536428.1972887367</v>
      </c>
      <c r="AS28" s="873">
        <f>'Internal Pricelist'!AK28-PriceLink_Fitted!O28</f>
        <v>-10597499.241484895</v>
      </c>
      <c r="AT28" s="873">
        <f>'Internal Pricelist'!BP28-PriceLink_Fitted!P28</f>
        <v>-839648.67514315434</v>
      </c>
      <c r="AU28" s="849">
        <f>'Internal Pricelist'!BN28+'Internal Pricelist'!BO28</f>
        <v>1390183.699368438</v>
      </c>
      <c r="AV28" s="873">
        <f>PriceLink_Fitted!Q28-PriceLink_Fitted!AU28</f>
        <v>699707.22928596195</v>
      </c>
      <c r="AW28" s="873">
        <f>'Internal Pricelist'!BQ28-PriceLink_Fitted!R28</f>
        <v>-8536428.1972887367</v>
      </c>
    </row>
    <row r="29" spans="1:49" hidden="1" x14ac:dyDescent="0.2">
      <c r="A29" s="835">
        <f t="shared" si="12"/>
        <v>16</v>
      </c>
      <c r="B29" s="836" t="str">
        <f>'Internal Pricelist'!H22</f>
        <v>5B</v>
      </c>
      <c r="C29" s="836" t="str">
        <f>'Internal Pricelist'!C22</f>
        <v>Sold</v>
      </c>
      <c r="D29" s="836">
        <v>16</v>
      </c>
      <c r="E29" s="837" t="str">
        <f>'Internal Pricelist'!E22</f>
        <v>4th</v>
      </c>
      <c r="F29" s="838" t="str">
        <f>'Internal Pricelist'!F22</f>
        <v>5th</v>
      </c>
      <c r="G29" s="839" t="str">
        <f t="shared" si="3"/>
        <v>5B</v>
      </c>
      <c r="H29" s="839" t="str">
        <f>'Internal Pricelist'!I22</f>
        <v>1-BR</v>
      </c>
      <c r="I29" s="839">
        <f>'Internal Pricelist'!J22</f>
        <v>52.86</v>
      </c>
      <c r="J29" s="839">
        <f>'Internal Pricelist'!K22</f>
        <v>5.09</v>
      </c>
      <c r="K29" s="839">
        <f>'Internal Pricelist'!L22</f>
        <v>0</v>
      </c>
      <c r="L29" s="840">
        <f t="shared" si="0"/>
        <v>57.95</v>
      </c>
      <c r="M29" s="851" t="str">
        <f>'Internal Pricelist'!AA22</f>
        <v>INNER</v>
      </c>
      <c r="N29" s="841"/>
      <c r="O29" s="842">
        <f>'Internal Pricelist'!BM22</f>
        <v>10844687.565912634</v>
      </c>
      <c r="P29" s="843">
        <f t="shared" si="4"/>
        <v>1301362.5079095161</v>
      </c>
      <c r="Q29" s="844">
        <f t="shared" si="13"/>
        <v>1084468.7565912635</v>
      </c>
      <c r="R29" s="843">
        <f t="shared" si="14"/>
        <v>13230518.830413414</v>
      </c>
      <c r="S29" s="845">
        <f>'Internal Pricelist'!BS22</f>
        <v>0.15</v>
      </c>
      <c r="T29" s="844">
        <f t="shared" si="15"/>
        <v>1984577.824562012</v>
      </c>
      <c r="U29" s="839">
        <f>'Internal Pricelist'!BU22</f>
        <v>50000</v>
      </c>
      <c r="V29" s="844">
        <f t="shared" si="5"/>
        <v>1934577.824562012</v>
      </c>
      <c r="W29" s="846">
        <f>'Internal Pricelist'!BW22</f>
        <v>7</v>
      </c>
      <c r="X29" s="844">
        <f t="shared" si="6"/>
        <v>276368.26065171597</v>
      </c>
      <c r="Y29" s="847">
        <f t="shared" si="7"/>
        <v>0.85</v>
      </c>
      <c r="Z29" s="844">
        <f t="shared" si="8"/>
        <v>11245941.005851401</v>
      </c>
      <c r="AA29" s="844">
        <f t="shared" si="9"/>
        <v>101081.69708397817</v>
      </c>
      <c r="AC29" s="849">
        <f t="shared" si="10"/>
        <v>187138.69829012311</v>
      </c>
      <c r="AD29" s="873">
        <f t="shared" si="11"/>
        <v>0</v>
      </c>
      <c r="AG29" s="882">
        <f t="shared" si="18"/>
        <v>7</v>
      </c>
      <c r="AH29" s="853">
        <f t="shared" si="19"/>
        <v>1934577.8245620118</v>
      </c>
      <c r="AI29" s="854">
        <f t="shared" si="20"/>
        <v>0</v>
      </c>
      <c r="AK29" s="872">
        <f>O29-'Internal Pricelist'!AK29</f>
        <v>518811.39792746492</v>
      </c>
      <c r="AL29" s="872">
        <f>P29-'Internal Pricelist'!BP29</f>
        <v>-370819.99925881973</v>
      </c>
      <c r="AM29" s="872">
        <f>'Internal Pricelist'!BN29+'Internal Pricelist'!BO29</f>
        <v>1393485.4226402799</v>
      </c>
      <c r="AN29" s="872">
        <f t="shared" si="2"/>
        <v>309016.66604901641</v>
      </c>
      <c r="AO29" s="872">
        <f>R29-'Internal Pricelist'!BQ29</f>
        <v>-3770003.3257979993</v>
      </c>
      <c r="AS29" s="873">
        <f>'Internal Pricelist'!AK29-PriceLink_Fitted!O29</f>
        <v>-518811.39792746492</v>
      </c>
      <c r="AT29" s="873">
        <f>'Internal Pricelist'!BP29-PriceLink_Fitted!P29</f>
        <v>370819.99925881973</v>
      </c>
      <c r="AU29" s="849">
        <f>'Internal Pricelist'!BN29+'Internal Pricelist'!BO29</f>
        <v>1393485.4226402799</v>
      </c>
      <c r="AV29" s="873">
        <f>PriceLink_Fitted!Q29-PriceLink_Fitted!AU29</f>
        <v>-309016.66604901641</v>
      </c>
      <c r="AW29" s="873">
        <f>'Internal Pricelist'!BQ29-PriceLink_Fitted!R29</f>
        <v>3770003.3257979993</v>
      </c>
    </row>
    <row r="30" spans="1:49" hidden="1" x14ac:dyDescent="0.2">
      <c r="A30" s="835">
        <f t="shared" si="12"/>
        <v>17</v>
      </c>
      <c r="B30" s="836" t="str">
        <f>'Internal Pricelist'!H23</f>
        <v>5C</v>
      </c>
      <c r="C30" s="836" t="str">
        <f>'Internal Pricelist'!C23</f>
        <v>Sold</v>
      </c>
      <c r="D30" s="836">
        <v>17</v>
      </c>
      <c r="E30" s="837" t="str">
        <f>'Internal Pricelist'!E23</f>
        <v>4th</v>
      </c>
      <c r="F30" s="838" t="str">
        <f>'Internal Pricelist'!F23</f>
        <v>5th</v>
      </c>
      <c r="G30" s="839" t="str">
        <f t="shared" si="3"/>
        <v>5C</v>
      </c>
      <c r="H30" s="839" t="str">
        <f>'Internal Pricelist'!I23</f>
        <v>2-BR</v>
      </c>
      <c r="I30" s="839">
        <f>'Internal Pricelist'!J23</f>
        <v>57.5</v>
      </c>
      <c r="J30" s="839">
        <f>'Internal Pricelist'!K23</f>
        <v>5.09</v>
      </c>
      <c r="K30" s="839">
        <f>'Internal Pricelist'!L23</f>
        <v>0</v>
      </c>
      <c r="L30" s="840">
        <f t="shared" si="0"/>
        <v>62.59</v>
      </c>
      <c r="M30" s="851" t="str">
        <f>'Internal Pricelist'!AA23</f>
        <v>INNER</v>
      </c>
      <c r="N30" s="841"/>
      <c r="O30" s="842">
        <f>'Internal Pricelist'!BM23</f>
        <v>11752430.921619078</v>
      </c>
      <c r="P30" s="843">
        <f t="shared" si="4"/>
        <v>1410291.7105942892</v>
      </c>
      <c r="Q30" s="844">
        <f t="shared" si="13"/>
        <v>1175243.0921619078</v>
      </c>
      <c r="R30" s="843">
        <f t="shared" si="14"/>
        <v>14337965.724375274</v>
      </c>
      <c r="S30" s="845">
        <f>'Internal Pricelist'!BS23</f>
        <v>0.15</v>
      </c>
      <c r="T30" s="844">
        <f t="shared" si="15"/>
        <v>2150694.8586562909</v>
      </c>
      <c r="U30" s="839">
        <f>'Internal Pricelist'!BU23</f>
        <v>50000</v>
      </c>
      <c r="V30" s="844">
        <f t="shared" si="5"/>
        <v>2100694.8586562909</v>
      </c>
      <c r="W30" s="846">
        <f>'Internal Pricelist'!BW23</f>
        <v>7</v>
      </c>
      <c r="X30" s="844">
        <f t="shared" si="6"/>
        <v>300099.26552232727</v>
      </c>
      <c r="Y30" s="847">
        <f t="shared" si="7"/>
        <v>0.85</v>
      </c>
      <c r="Z30" s="844">
        <f t="shared" si="8"/>
        <v>12187270.865718983</v>
      </c>
      <c r="AA30" s="844">
        <f t="shared" si="9"/>
        <v>109542.63598644354</v>
      </c>
      <c r="AC30" s="849">
        <f t="shared" si="10"/>
        <v>187768.50809424953</v>
      </c>
      <c r="AD30" s="873">
        <f t="shared" si="11"/>
        <v>0</v>
      </c>
      <c r="AG30" s="882">
        <f t="shared" si="18"/>
        <v>7</v>
      </c>
      <c r="AH30" s="853">
        <f t="shared" si="19"/>
        <v>2100694.8586562909</v>
      </c>
      <c r="AI30" s="854">
        <f t="shared" si="20"/>
        <v>0</v>
      </c>
      <c r="AK30" s="872">
        <f>O30-'Internal Pricelist'!AK30</f>
        <v>1426554.7536339089</v>
      </c>
      <c r="AL30" s="872">
        <f>P30-'Internal Pricelist'!BP30</f>
        <v>-261890.7965740466</v>
      </c>
      <c r="AM30" s="872">
        <f>'Internal Pricelist'!BN30+'Internal Pricelist'!BO30</f>
        <v>1393485.4226402799</v>
      </c>
      <c r="AN30" s="872">
        <f t="shared" si="2"/>
        <v>218242.33047837205</v>
      </c>
      <c r="AO30" s="872">
        <f>R30-'Internal Pricelist'!BQ30</f>
        <v>-2662556.4318361394</v>
      </c>
      <c r="AS30" s="873">
        <f>'Internal Pricelist'!AK30-PriceLink_Fitted!O30</f>
        <v>-1426554.7536339089</v>
      </c>
      <c r="AT30" s="873">
        <f>'Internal Pricelist'!BP30-PriceLink_Fitted!P30</f>
        <v>261890.7965740466</v>
      </c>
      <c r="AU30" s="849">
        <f>'Internal Pricelist'!BN30+'Internal Pricelist'!BO30</f>
        <v>1393485.4226402799</v>
      </c>
      <c r="AV30" s="873">
        <f>PriceLink_Fitted!Q30-PriceLink_Fitted!AU30</f>
        <v>-218242.33047837205</v>
      </c>
      <c r="AW30" s="873">
        <f>'Internal Pricelist'!BQ30-PriceLink_Fitted!R30</f>
        <v>2662556.4318361394</v>
      </c>
    </row>
    <row r="31" spans="1:49" x14ac:dyDescent="0.2">
      <c r="A31" s="835">
        <f t="shared" si="12"/>
        <v>18</v>
      </c>
      <c r="B31" s="836" t="str">
        <f>'Internal Pricelist'!H24</f>
        <v>5D</v>
      </c>
      <c r="C31" s="836" t="str">
        <f>'Internal Pricelist'!C24</f>
        <v>Unsold</v>
      </c>
      <c r="D31" s="836">
        <v>18</v>
      </c>
      <c r="E31" s="837" t="str">
        <f>'Internal Pricelist'!E24</f>
        <v>4th</v>
      </c>
      <c r="F31" s="838" t="str">
        <f>'Internal Pricelist'!F24</f>
        <v>5th</v>
      </c>
      <c r="G31" s="839" t="str">
        <f t="shared" si="3"/>
        <v>5D</v>
      </c>
      <c r="H31" s="839" t="str">
        <f>'Internal Pricelist'!I24</f>
        <v>2-BR</v>
      </c>
      <c r="I31" s="839">
        <f>'Internal Pricelist'!J24</f>
        <v>62.11</v>
      </c>
      <c r="J31" s="839">
        <f>'Internal Pricelist'!K24</f>
        <v>5.19</v>
      </c>
      <c r="K31" s="839">
        <f>'Internal Pricelist'!L24</f>
        <v>0</v>
      </c>
      <c r="L31" s="840">
        <f t="shared" si="0"/>
        <v>67.3</v>
      </c>
      <c r="M31" s="851" t="str">
        <f>'Internal Pricelist'!AA24</f>
        <v>INNER</v>
      </c>
      <c r="N31" s="841"/>
      <c r="O31" s="842">
        <f>'Internal Pricelist'!BM24</f>
        <v>12664196.330451282</v>
      </c>
      <c r="P31" s="843">
        <f t="shared" si="4"/>
        <v>1519703.5596541537</v>
      </c>
      <c r="Q31" s="844">
        <f t="shared" si="13"/>
        <v>1266419.6330451283</v>
      </c>
      <c r="R31" s="843">
        <f t="shared" si="14"/>
        <v>15450319.523150563</v>
      </c>
      <c r="S31" s="845">
        <f>'Internal Pricelist'!BS24</f>
        <v>0.15</v>
      </c>
      <c r="T31" s="844">
        <f t="shared" si="15"/>
        <v>2317547.9284725846</v>
      </c>
      <c r="U31" s="839">
        <f>'Internal Pricelist'!BU24</f>
        <v>50000</v>
      </c>
      <c r="V31" s="844">
        <f t="shared" si="5"/>
        <v>2267547.9284725846</v>
      </c>
      <c r="W31" s="846">
        <f>'Internal Pricelist'!BW24</f>
        <v>7</v>
      </c>
      <c r="X31" s="844">
        <f t="shared" si="6"/>
        <v>323935.41835322639</v>
      </c>
      <c r="Y31" s="847">
        <f t="shared" si="7"/>
        <v>0.85</v>
      </c>
      <c r="Z31" s="844">
        <f t="shared" si="8"/>
        <v>13132771.594677979</v>
      </c>
      <c r="AA31" s="844">
        <f t="shared" si="9"/>
        <v>118041.06383944277</v>
      </c>
      <c r="AC31" s="849">
        <f t="shared" si="10"/>
        <v>188175.27979868176</v>
      </c>
      <c r="AD31" s="873">
        <f t="shared" si="11"/>
        <v>0</v>
      </c>
      <c r="AG31" s="882">
        <f t="shared" si="18"/>
        <v>7</v>
      </c>
      <c r="AH31" s="853">
        <f t="shared" si="19"/>
        <v>2267547.9284725846</v>
      </c>
      <c r="AI31" s="854">
        <f t="shared" si="20"/>
        <v>0</v>
      </c>
      <c r="AK31" s="872">
        <f>O31-'Internal Pricelist'!AK31</f>
        <v>2338320.1624661125</v>
      </c>
      <c r="AL31" s="872">
        <f>P31-'Internal Pricelist'!BP31</f>
        <v>-152478.94751418219</v>
      </c>
      <c r="AM31" s="872">
        <f>'Internal Pricelist'!BN31+'Internal Pricelist'!BO31</f>
        <v>1393485.4226402799</v>
      </c>
      <c r="AN31" s="872">
        <f t="shared" si="2"/>
        <v>127065.78959515155</v>
      </c>
      <c r="AO31" s="872">
        <f>R31-'Internal Pricelist'!BQ31</f>
        <v>-1550202.6330608502</v>
      </c>
      <c r="AS31" s="873">
        <f>'Internal Pricelist'!AK31-PriceLink_Fitted!O31</f>
        <v>-2338320.1624661125</v>
      </c>
      <c r="AT31" s="873">
        <f>'Internal Pricelist'!BP31-PriceLink_Fitted!P31</f>
        <v>152478.94751418219</v>
      </c>
      <c r="AU31" s="849">
        <f>'Internal Pricelist'!BN31+'Internal Pricelist'!BO31</f>
        <v>1393485.4226402799</v>
      </c>
      <c r="AV31" s="873">
        <f>PriceLink_Fitted!Q31-PriceLink_Fitted!AU31</f>
        <v>-127065.78959515155</v>
      </c>
      <c r="AW31" s="873">
        <f>'Internal Pricelist'!BQ31-PriceLink_Fitted!R31</f>
        <v>1550202.6330608502</v>
      </c>
    </row>
    <row r="32" spans="1:49" hidden="1" x14ac:dyDescent="0.2">
      <c r="A32" s="835">
        <f t="shared" si="12"/>
        <v>19</v>
      </c>
      <c r="B32" s="836" t="str">
        <f>'Internal Pricelist'!H25</f>
        <v>5E</v>
      </c>
      <c r="C32" s="836" t="str">
        <f>'Internal Pricelist'!C25</f>
        <v>Sold</v>
      </c>
      <c r="D32" s="836">
        <v>19</v>
      </c>
      <c r="E32" s="837" t="str">
        <f>'Internal Pricelist'!E25</f>
        <v>4th</v>
      </c>
      <c r="F32" s="838" t="str">
        <f>'Internal Pricelist'!F25</f>
        <v>5th</v>
      </c>
      <c r="G32" s="839" t="str">
        <f t="shared" si="3"/>
        <v>5E</v>
      </c>
      <c r="H32" s="839" t="str">
        <f>'Internal Pricelist'!I25</f>
        <v>2-BR</v>
      </c>
      <c r="I32" s="839">
        <f>'Internal Pricelist'!J25</f>
        <v>80.900000000000006</v>
      </c>
      <c r="J32" s="839">
        <f>'Internal Pricelist'!K25</f>
        <v>15.65</v>
      </c>
      <c r="K32" s="839">
        <f>'Internal Pricelist'!L25</f>
        <v>0</v>
      </c>
      <c r="L32" s="840">
        <f t="shared" si="0"/>
        <v>96.550000000000011</v>
      </c>
      <c r="M32" s="851" t="str">
        <f>'Internal Pricelist'!AA25</f>
        <v>CORNER</v>
      </c>
      <c r="N32" s="841"/>
      <c r="O32" s="842">
        <f>'Internal Pricelist'!BM25</f>
        <v>17656354.612929076</v>
      </c>
      <c r="P32" s="843">
        <f t="shared" si="4"/>
        <v>2118762.553551489</v>
      </c>
      <c r="Q32" s="844">
        <f t="shared" si="13"/>
        <v>1765635.4612929076</v>
      </c>
      <c r="R32" s="843">
        <f t="shared" si="14"/>
        <v>21540752.627773471</v>
      </c>
      <c r="S32" s="845">
        <f>'Internal Pricelist'!BS25</f>
        <v>0.15</v>
      </c>
      <c r="T32" s="844">
        <f t="shared" si="15"/>
        <v>3231112.8941660207</v>
      </c>
      <c r="U32" s="839">
        <f>'Internal Pricelist'!BU25</f>
        <v>50000</v>
      </c>
      <c r="V32" s="844">
        <f t="shared" si="5"/>
        <v>3181112.8941660207</v>
      </c>
      <c r="W32" s="846">
        <f>'Internal Pricelist'!BW25</f>
        <v>7</v>
      </c>
      <c r="X32" s="844">
        <f t="shared" si="6"/>
        <v>454444.6991665744</v>
      </c>
      <c r="Y32" s="847">
        <f t="shared" si="7"/>
        <v>0.85</v>
      </c>
      <c r="Z32" s="844">
        <f t="shared" si="8"/>
        <v>18309639.733607449</v>
      </c>
      <c r="AA32" s="844">
        <f t="shared" si="9"/>
        <v>164572.21821689274</v>
      </c>
      <c r="AC32" s="849">
        <f t="shared" si="10"/>
        <v>182872.65264556266</v>
      </c>
      <c r="AD32" s="873">
        <f t="shared" si="11"/>
        <v>0</v>
      </c>
      <c r="AG32" s="882">
        <f t="shared" si="18"/>
        <v>7</v>
      </c>
      <c r="AH32" s="853">
        <f t="shared" si="19"/>
        <v>3181112.8941660207</v>
      </c>
      <c r="AI32" s="854">
        <f t="shared" si="20"/>
        <v>0</v>
      </c>
      <c r="AK32" s="872">
        <f>O32-'Internal Pricelist'!AK32</f>
        <v>4443119.8970793411</v>
      </c>
      <c r="AL32" s="872">
        <f>P32-'Internal Pricelist'!BP32</f>
        <v>-21001.626795501448</v>
      </c>
      <c r="AM32" s="872">
        <f>'Internal Pricelist'!BN32+'Internal Pricelist'!BO32</f>
        <v>1783136.8169558253</v>
      </c>
      <c r="AN32" s="872">
        <f t="shared" si="2"/>
        <v>17501.355662917718</v>
      </c>
      <c r="AO32" s="872">
        <f>R32-'Internal Pricelist'!BQ32</f>
        <v>-213516.53908759728</v>
      </c>
      <c r="AS32" s="873">
        <f>'Internal Pricelist'!AK32-PriceLink_Fitted!O32</f>
        <v>-4443119.8970793411</v>
      </c>
      <c r="AT32" s="873">
        <f>'Internal Pricelist'!BP32-PriceLink_Fitted!P32</f>
        <v>21001.626795501448</v>
      </c>
      <c r="AU32" s="849">
        <f>'Internal Pricelist'!BN32+'Internal Pricelist'!BO32</f>
        <v>1783136.8169558253</v>
      </c>
      <c r="AV32" s="873">
        <f>PriceLink_Fitted!Q32-PriceLink_Fitted!AU32</f>
        <v>-17501.355662917718</v>
      </c>
      <c r="AW32" s="873">
        <f>'Internal Pricelist'!BQ32-PriceLink_Fitted!R32</f>
        <v>213516.53908759728</v>
      </c>
    </row>
    <row r="33" spans="1:49" hidden="1" x14ac:dyDescent="0.2">
      <c r="A33" s="835">
        <f t="shared" si="12"/>
        <v>20</v>
      </c>
      <c r="B33" s="836" t="str">
        <f>'Internal Pricelist'!H26</f>
        <v>5F</v>
      </c>
      <c r="C33" s="836" t="str">
        <f>'Internal Pricelist'!C26</f>
        <v>Sold</v>
      </c>
      <c r="D33" s="836">
        <v>20</v>
      </c>
      <c r="E33" s="837" t="str">
        <f>'Internal Pricelist'!E26</f>
        <v>4th</v>
      </c>
      <c r="F33" s="838" t="str">
        <f>'Internal Pricelist'!F26</f>
        <v>5th</v>
      </c>
      <c r="G33" s="839" t="str">
        <f t="shared" si="3"/>
        <v>5F</v>
      </c>
      <c r="H33" s="839" t="str">
        <f>'Internal Pricelist'!I26</f>
        <v>2-BR</v>
      </c>
      <c r="I33" s="839">
        <f>'Internal Pricelist'!J26</f>
        <v>61.56</v>
      </c>
      <c r="J33" s="839">
        <f>'Internal Pricelist'!K26</f>
        <v>4.0999999999999996</v>
      </c>
      <c r="K33" s="839">
        <f>'Internal Pricelist'!L26</f>
        <v>0</v>
      </c>
      <c r="L33" s="840">
        <f t="shared" si="0"/>
        <v>65.66</v>
      </c>
      <c r="M33" s="851" t="str">
        <f>'Internal Pricelist'!AA26</f>
        <v>INNER</v>
      </c>
      <c r="N33" s="841"/>
      <c r="O33" s="842">
        <f>'Internal Pricelist'!BM26</f>
        <v>12353038.127450448</v>
      </c>
      <c r="P33" s="843">
        <f t="shared" si="4"/>
        <v>1482364.5752940536</v>
      </c>
      <c r="Q33" s="844">
        <f t="shared" si="13"/>
        <v>1235303.8127450447</v>
      </c>
      <c r="R33" s="843">
        <f t="shared" si="14"/>
        <v>15070706.515489545</v>
      </c>
      <c r="S33" s="845">
        <f>'Internal Pricelist'!BS26</f>
        <v>0.15</v>
      </c>
      <c r="T33" s="844">
        <f t="shared" si="15"/>
        <v>2260605.9773234315</v>
      </c>
      <c r="U33" s="839">
        <f>'Internal Pricelist'!BU26</f>
        <v>50000</v>
      </c>
      <c r="V33" s="844">
        <f t="shared" si="5"/>
        <v>2210605.9773234315</v>
      </c>
      <c r="W33" s="846">
        <f>'Internal Pricelist'!BW26</f>
        <v>7</v>
      </c>
      <c r="X33" s="844">
        <f t="shared" si="6"/>
        <v>315800.85390334734</v>
      </c>
      <c r="Y33" s="847">
        <f t="shared" si="7"/>
        <v>0.85</v>
      </c>
      <c r="Z33" s="844">
        <f t="shared" si="8"/>
        <v>12810100.538166113</v>
      </c>
      <c r="AA33" s="844">
        <f t="shared" si="9"/>
        <v>115140.80516165591</v>
      </c>
      <c r="AC33" s="849">
        <f t="shared" si="10"/>
        <v>188136.43203549267</v>
      </c>
      <c r="AD33" s="873">
        <f t="shared" si="11"/>
        <v>0</v>
      </c>
      <c r="AG33" s="882">
        <f t="shared" si="18"/>
        <v>7</v>
      </c>
      <c r="AH33" s="853">
        <f t="shared" si="19"/>
        <v>2210605.9773234315</v>
      </c>
      <c r="AI33" s="854">
        <f t="shared" si="20"/>
        <v>0</v>
      </c>
      <c r="AK33" s="872">
        <f>O33-'Internal Pricelist'!AK33</f>
        <v>4581736.6302604908</v>
      </c>
      <c r="AL33" s="872">
        <f>P33-'Internal Pricelist'!BP33</f>
        <v>223872.39408597769</v>
      </c>
      <c r="AM33" s="872">
        <f>'Internal Pricelist'!BN33+'Internal Pricelist'!BO33</f>
        <v>1048743.4843400633</v>
      </c>
      <c r="AN33" s="872">
        <f t="shared" si="2"/>
        <v>-186560.32840498141</v>
      </c>
      <c r="AO33" s="872">
        <f>R33-'Internal Pricelist'!BQ33</f>
        <v>2276036.0065407716</v>
      </c>
      <c r="AS33" s="873">
        <f>'Internal Pricelist'!AK33-PriceLink_Fitted!O33</f>
        <v>-4581736.6302604908</v>
      </c>
      <c r="AT33" s="873">
        <f>'Internal Pricelist'!BP33-PriceLink_Fitted!P33</f>
        <v>-223872.39408597769</v>
      </c>
      <c r="AU33" s="849">
        <f>'Internal Pricelist'!BN33+'Internal Pricelist'!BO33</f>
        <v>1048743.4843400633</v>
      </c>
      <c r="AV33" s="873">
        <f>PriceLink_Fitted!Q33-PriceLink_Fitted!AU33</f>
        <v>186560.32840498141</v>
      </c>
      <c r="AW33" s="873">
        <f>'Internal Pricelist'!BQ33-PriceLink_Fitted!R33</f>
        <v>-2276036.0065407716</v>
      </c>
    </row>
    <row r="34" spans="1:49" hidden="1" x14ac:dyDescent="0.2">
      <c r="A34" s="835">
        <f t="shared" si="12"/>
        <v>21</v>
      </c>
      <c r="B34" s="836" t="str">
        <f>'Internal Pricelist'!H27</f>
        <v>5G</v>
      </c>
      <c r="C34" s="836" t="str">
        <f>'Internal Pricelist'!C27</f>
        <v>Sold</v>
      </c>
      <c r="D34" s="836">
        <v>21</v>
      </c>
      <c r="E34" s="837" t="str">
        <f>'Internal Pricelist'!E27</f>
        <v>4th</v>
      </c>
      <c r="F34" s="838" t="str">
        <f>'Internal Pricelist'!F27</f>
        <v>5th</v>
      </c>
      <c r="G34" s="839" t="str">
        <f t="shared" si="3"/>
        <v>5G</v>
      </c>
      <c r="H34" s="839" t="str">
        <f>'Internal Pricelist'!I27</f>
        <v>2-BR</v>
      </c>
      <c r="I34" s="839">
        <f>'Internal Pricelist'!J27</f>
        <v>95.44</v>
      </c>
      <c r="J34" s="839">
        <f>'Internal Pricelist'!K27</f>
        <v>13.34</v>
      </c>
      <c r="K34" s="839">
        <f>'Internal Pricelist'!L27</f>
        <v>0</v>
      </c>
      <c r="L34" s="840">
        <f t="shared" si="0"/>
        <v>108.78</v>
      </c>
      <c r="M34" s="851" t="str">
        <f>'Internal Pricelist'!AA27</f>
        <v>CORNER</v>
      </c>
      <c r="N34" s="841"/>
      <c r="O34" s="842">
        <f>'Internal Pricelist'!BM27</f>
        <v>20149437.118980736</v>
      </c>
      <c r="P34" s="843">
        <f t="shared" si="4"/>
        <v>2417932.4542776882</v>
      </c>
      <c r="Q34" s="844">
        <f t="shared" si="13"/>
        <v>2014943.7118980736</v>
      </c>
      <c r="R34" s="843">
        <f t="shared" si="14"/>
        <v>24582313.285156496</v>
      </c>
      <c r="S34" s="845">
        <f>'Internal Pricelist'!BS27</f>
        <v>0.15</v>
      </c>
      <c r="T34" s="844">
        <f t="shared" si="15"/>
        <v>3687346.9927734742</v>
      </c>
      <c r="U34" s="839">
        <f>'Internal Pricelist'!BU27</f>
        <v>50000</v>
      </c>
      <c r="V34" s="844">
        <f t="shared" si="5"/>
        <v>3637346.9927734742</v>
      </c>
      <c r="W34" s="846">
        <f>'Internal Pricelist'!BW27</f>
        <v>7</v>
      </c>
      <c r="X34" s="844">
        <f t="shared" si="6"/>
        <v>519620.99896763917</v>
      </c>
      <c r="Y34" s="847">
        <f t="shared" si="7"/>
        <v>0.85</v>
      </c>
      <c r="Z34" s="844">
        <f t="shared" si="8"/>
        <v>20894966.292383023</v>
      </c>
      <c r="AA34" s="844">
        <f t="shared" si="9"/>
        <v>187809.86422102377</v>
      </c>
      <c r="AC34" s="849">
        <f t="shared" si="10"/>
        <v>185231.08217485508</v>
      </c>
      <c r="AD34" s="873">
        <f t="shared" si="11"/>
        <v>0</v>
      </c>
      <c r="AG34" s="882">
        <f t="shared" si="18"/>
        <v>7</v>
      </c>
      <c r="AH34" s="853">
        <f t="shared" si="19"/>
        <v>3637346.9927734742</v>
      </c>
      <c r="AI34" s="854">
        <f t="shared" si="20"/>
        <v>0</v>
      </c>
      <c r="AK34" s="872">
        <f>O34-'Internal Pricelist'!AK34</f>
        <v>4603545.2419679463</v>
      </c>
      <c r="AL34" s="872">
        <f>P34-'Internal Pricelist'!BP34</f>
        <v>-99584.513015508186</v>
      </c>
      <c r="AM34" s="872">
        <f>'Internal Pricelist'!BN34+'Internal Pricelist'!BO34</f>
        <v>2097930.8060776638</v>
      </c>
      <c r="AN34" s="872">
        <f t="shared" si="2"/>
        <v>82987.094179590233</v>
      </c>
      <c r="AO34" s="872">
        <f>R34-'Internal Pricelist'!BQ34</f>
        <v>-1012442.5489909984</v>
      </c>
      <c r="AS34" s="873">
        <f>'Internal Pricelist'!AK34-PriceLink_Fitted!O34</f>
        <v>-4603545.2419679463</v>
      </c>
      <c r="AT34" s="873">
        <f>'Internal Pricelist'!BP34-PriceLink_Fitted!P34</f>
        <v>99584.513015508186</v>
      </c>
      <c r="AU34" s="849">
        <f>'Internal Pricelist'!BN34+'Internal Pricelist'!BO34</f>
        <v>2097930.8060776638</v>
      </c>
      <c r="AV34" s="873">
        <f>PriceLink_Fitted!Q34-PriceLink_Fitted!AU34</f>
        <v>-82987.094179590233</v>
      </c>
      <c r="AW34" s="873">
        <f>'Internal Pricelist'!BQ34-PriceLink_Fitted!R34</f>
        <v>1012442.5489909984</v>
      </c>
    </row>
    <row r="35" spans="1:49" x14ac:dyDescent="0.2">
      <c r="A35" s="835">
        <f t="shared" si="12"/>
        <v>22</v>
      </c>
      <c r="B35" s="836" t="str">
        <f>'Internal Pricelist'!H28</f>
        <v>5H</v>
      </c>
      <c r="C35" s="836" t="str">
        <f>'Internal Pricelist'!C28</f>
        <v>Unsold</v>
      </c>
      <c r="D35" s="836">
        <v>22</v>
      </c>
      <c r="E35" s="837" t="str">
        <f>'Internal Pricelist'!E28</f>
        <v>4th</v>
      </c>
      <c r="F35" s="838" t="str">
        <f>'Internal Pricelist'!F28</f>
        <v>5th</v>
      </c>
      <c r="G35" s="839" t="str">
        <f t="shared" si="3"/>
        <v>5H</v>
      </c>
      <c r="H35" s="839" t="str">
        <f>'Internal Pricelist'!I28</f>
        <v>2-BR</v>
      </c>
      <c r="I35" s="839">
        <f>'Internal Pricelist'!J28</f>
        <v>69.2</v>
      </c>
      <c r="J35" s="839">
        <f>'Internal Pricelist'!K28</f>
        <v>4.7699999999999996</v>
      </c>
      <c r="K35" s="839">
        <f>'Internal Pricelist'!L28</f>
        <v>0</v>
      </c>
      <c r="L35" s="840">
        <f t="shared" si="0"/>
        <v>73.97</v>
      </c>
      <c r="M35" s="851" t="str">
        <f>'Internal Pricelist'!AA28</f>
        <v>INNER</v>
      </c>
      <c r="N35" s="841"/>
      <c r="O35" s="842">
        <f>'Internal Pricelist'!BM28</f>
        <v>13901836.993684379</v>
      </c>
      <c r="P35" s="843">
        <f t="shared" si="4"/>
        <v>1668220.4392421255</v>
      </c>
      <c r="Q35" s="844">
        <f t="shared" si="13"/>
        <v>1390183.699368438</v>
      </c>
      <c r="R35" s="843">
        <f t="shared" si="14"/>
        <v>16960241.132294945</v>
      </c>
      <c r="S35" s="845">
        <f>'Internal Pricelist'!BS28</f>
        <v>0.15</v>
      </c>
      <c r="T35" s="844">
        <f t="shared" si="15"/>
        <v>2544036.1698442418</v>
      </c>
      <c r="U35" s="839">
        <f>'Internal Pricelist'!BU28</f>
        <v>50000</v>
      </c>
      <c r="V35" s="844">
        <f t="shared" si="5"/>
        <v>2494036.1698442418</v>
      </c>
      <c r="W35" s="846">
        <f>'Internal Pricelist'!BW28</f>
        <v>7</v>
      </c>
      <c r="X35" s="844">
        <f t="shared" si="6"/>
        <v>356290.88140632026</v>
      </c>
      <c r="Y35" s="847">
        <f t="shared" si="7"/>
        <v>0.85</v>
      </c>
      <c r="Z35" s="844">
        <f t="shared" si="8"/>
        <v>14416204.962450704</v>
      </c>
      <c r="AA35" s="844">
        <f t="shared" si="9"/>
        <v>129576.92578653742</v>
      </c>
      <c r="AC35" s="849">
        <f t="shared" si="10"/>
        <v>187938.85350391213</v>
      </c>
      <c r="AD35" s="873">
        <f t="shared" si="11"/>
        <v>0</v>
      </c>
      <c r="AG35" s="882">
        <f t="shared" si="18"/>
        <v>7</v>
      </c>
      <c r="AH35" s="853">
        <f t="shared" si="19"/>
        <v>2494036.1698442418</v>
      </c>
      <c r="AI35" s="854">
        <f t="shared" si="20"/>
        <v>0</v>
      </c>
      <c r="AK35" s="872">
        <f>O35-'Internal Pricelist'!AK35</f>
        <v>5834498.3481962848</v>
      </c>
      <c r="AL35" s="872">
        <f>P35-'Internal Pricelist'!BP35</f>
        <v>361787.71208881051</v>
      </c>
      <c r="AM35" s="872">
        <f>'Internal Pricelist'!BN35+'Internal Pricelist'!BO35</f>
        <v>1088693.939294429</v>
      </c>
      <c r="AN35" s="872">
        <f t="shared" si="2"/>
        <v>-301489.76007400895</v>
      </c>
      <c r="AO35" s="872">
        <f>R35-'Internal Pricelist'!BQ35</f>
        <v>3678175.0729029104</v>
      </c>
      <c r="AS35" s="873">
        <f>'Internal Pricelist'!AK35-PriceLink_Fitted!O35</f>
        <v>-5834498.3481962848</v>
      </c>
      <c r="AT35" s="873">
        <f>'Internal Pricelist'!BP35-PriceLink_Fitted!P35</f>
        <v>-361787.71208881051</v>
      </c>
      <c r="AU35" s="849">
        <f>'Internal Pricelist'!BN35+'Internal Pricelist'!BO35</f>
        <v>1088693.939294429</v>
      </c>
      <c r="AV35" s="873">
        <f>PriceLink_Fitted!Q35-PriceLink_Fitted!AU35</f>
        <v>301489.76007400895</v>
      </c>
      <c r="AW35" s="873">
        <f>'Internal Pricelist'!BQ35-PriceLink_Fitted!R35</f>
        <v>-3678175.0729029104</v>
      </c>
    </row>
    <row r="36" spans="1:49" hidden="1" x14ac:dyDescent="0.2">
      <c r="A36" s="835">
        <f t="shared" si="12"/>
        <v>23</v>
      </c>
      <c r="B36" s="836" t="str">
        <f>'Internal Pricelist'!H29</f>
        <v>5I</v>
      </c>
      <c r="C36" s="836" t="str">
        <f>'Internal Pricelist'!C29</f>
        <v>Sold</v>
      </c>
      <c r="D36" s="836">
        <v>23</v>
      </c>
      <c r="E36" s="837" t="str">
        <f>'Internal Pricelist'!E29</f>
        <v>4th</v>
      </c>
      <c r="F36" s="838" t="str">
        <f>'Internal Pricelist'!F29</f>
        <v>5th</v>
      </c>
      <c r="G36" s="839" t="str">
        <f t="shared" si="3"/>
        <v>5I</v>
      </c>
      <c r="H36" s="839" t="str">
        <f>'Internal Pricelist'!I29</f>
        <v>2-BR</v>
      </c>
      <c r="I36" s="839">
        <f>'Internal Pricelist'!J29</f>
        <v>69.36</v>
      </c>
      <c r="J36" s="839">
        <f>'Internal Pricelist'!K29</f>
        <v>4.79</v>
      </c>
      <c r="K36" s="839">
        <f>'Internal Pricelist'!L29</f>
        <v>0</v>
      </c>
      <c r="L36" s="840">
        <f t="shared" si="0"/>
        <v>74.150000000000006</v>
      </c>
      <c r="M36" s="851" t="str">
        <f>'Internal Pricelist'!AA29</f>
        <v>INNER</v>
      </c>
      <c r="N36" s="841"/>
      <c r="O36" s="842">
        <f>'Internal Pricelist'!BM29</f>
        <v>13934854.226402799</v>
      </c>
      <c r="P36" s="843">
        <f t="shared" si="4"/>
        <v>1672182.5071683358</v>
      </c>
      <c r="Q36" s="844">
        <f t="shared" si="13"/>
        <v>1393485.4226402799</v>
      </c>
      <c r="R36" s="843">
        <f t="shared" si="14"/>
        <v>17000522.156211413</v>
      </c>
      <c r="S36" s="845">
        <f>'Internal Pricelist'!BS29</f>
        <v>0.15</v>
      </c>
      <c r="T36" s="844">
        <f t="shared" si="15"/>
        <v>2550078.3234317121</v>
      </c>
      <c r="U36" s="839">
        <f>'Internal Pricelist'!BU29</f>
        <v>50000</v>
      </c>
      <c r="V36" s="844">
        <f t="shared" si="5"/>
        <v>2500078.3234317121</v>
      </c>
      <c r="W36" s="846">
        <f>'Internal Pricelist'!BW29</f>
        <v>7</v>
      </c>
      <c r="X36" s="844">
        <f t="shared" si="6"/>
        <v>357154.04620453028</v>
      </c>
      <c r="Y36" s="847">
        <f t="shared" si="7"/>
        <v>0.85</v>
      </c>
      <c r="Z36" s="844">
        <f t="shared" si="8"/>
        <v>14450443.832779702</v>
      </c>
      <c r="AA36" s="844">
        <f t="shared" si="9"/>
        <v>129884.67443267496</v>
      </c>
      <c r="AC36" s="849">
        <f t="shared" si="10"/>
        <v>187927.90595283612</v>
      </c>
      <c r="AD36" s="873">
        <f t="shared" si="11"/>
        <v>0</v>
      </c>
      <c r="AG36" s="882">
        <f t="shared" si="18"/>
        <v>7</v>
      </c>
      <c r="AH36" s="853">
        <f t="shared" si="19"/>
        <v>2500078.3234317121</v>
      </c>
      <c r="AI36" s="854">
        <f t="shared" si="20"/>
        <v>0</v>
      </c>
      <c r="AK36" s="872">
        <f>O36-'Internal Pricelist'!AK36</f>
        <v>5192361.1504547913</v>
      </c>
      <c r="AL36" s="872">
        <f>P36-'Internal Pricelist'!BP36</f>
        <v>256414.60981875053</v>
      </c>
      <c r="AM36" s="872">
        <f>'Internal Pricelist'!BN36+'Internal Pricelist'!BO36</f>
        <v>1179806.5811246545</v>
      </c>
      <c r="AN36" s="872">
        <f t="shared" si="2"/>
        <v>-213678.84151562536</v>
      </c>
      <c r="AO36" s="872">
        <f>R36-'Internal Pricelist'!BQ36</f>
        <v>2606881.8664906304</v>
      </c>
      <c r="AS36" s="873">
        <f>'Internal Pricelist'!AK36-PriceLink_Fitted!O36</f>
        <v>-5192361.1504547913</v>
      </c>
      <c r="AT36" s="873">
        <f>'Internal Pricelist'!BP36-PriceLink_Fitted!P36</f>
        <v>-256414.60981875053</v>
      </c>
      <c r="AU36" s="849">
        <f>'Internal Pricelist'!BN36+'Internal Pricelist'!BO36</f>
        <v>1179806.5811246545</v>
      </c>
      <c r="AV36" s="873">
        <f>PriceLink_Fitted!Q36-PriceLink_Fitted!AU36</f>
        <v>213678.84151562536</v>
      </c>
      <c r="AW36" s="873">
        <f>'Internal Pricelist'!BQ36-PriceLink_Fitted!R36</f>
        <v>-2606881.8664906304</v>
      </c>
    </row>
    <row r="37" spans="1:49" x14ac:dyDescent="0.2">
      <c r="A37" s="835">
        <f t="shared" si="12"/>
        <v>24</v>
      </c>
      <c r="B37" s="836" t="str">
        <f>'Internal Pricelist'!H30</f>
        <v>5J</v>
      </c>
      <c r="C37" s="836" t="str">
        <f>'Internal Pricelist'!C30</f>
        <v>Unsold</v>
      </c>
      <c r="D37" s="836">
        <v>24</v>
      </c>
      <c r="E37" s="837" t="str">
        <f>'Internal Pricelist'!E30</f>
        <v>4th</v>
      </c>
      <c r="F37" s="838" t="str">
        <f>'Internal Pricelist'!F30</f>
        <v>5th</v>
      </c>
      <c r="G37" s="839" t="str">
        <f t="shared" si="3"/>
        <v>5J</v>
      </c>
      <c r="H37" s="839" t="str">
        <f>'Internal Pricelist'!I30</f>
        <v>1-BR</v>
      </c>
      <c r="I37" s="839">
        <f>'Internal Pricelist'!J30</f>
        <v>69.36</v>
      </c>
      <c r="J37" s="839">
        <f>'Internal Pricelist'!K30</f>
        <v>4.79</v>
      </c>
      <c r="K37" s="839">
        <f>'Internal Pricelist'!L30</f>
        <v>0</v>
      </c>
      <c r="L37" s="840">
        <f t="shared" si="0"/>
        <v>74.150000000000006</v>
      </c>
      <c r="M37" s="851" t="str">
        <f>'Internal Pricelist'!AA30</f>
        <v>INNER</v>
      </c>
      <c r="N37" s="841"/>
      <c r="O37" s="842">
        <f>'Internal Pricelist'!BM30</f>
        <v>13934854.226402799</v>
      </c>
      <c r="P37" s="843">
        <f t="shared" si="4"/>
        <v>1672182.5071683358</v>
      </c>
      <c r="Q37" s="844">
        <f t="shared" si="13"/>
        <v>1393485.4226402799</v>
      </c>
      <c r="R37" s="843">
        <f t="shared" si="14"/>
        <v>17000522.156211413</v>
      </c>
      <c r="S37" s="845">
        <f>'Internal Pricelist'!BS30</f>
        <v>0.15</v>
      </c>
      <c r="T37" s="844">
        <f t="shared" si="15"/>
        <v>2550078.3234317121</v>
      </c>
      <c r="U37" s="839">
        <f>'Internal Pricelist'!BU30</f>
        <v>50000</v>
      </c>
      <c r="V37" s="844">
        <f t="shared" si="5"/>
        <v>2500078.3234317121</v>
      </c>
      <c r="W37" s="846">
        <f>'Internal Pricelist'!BW30</f>
        <v>7</v>
      </c>
      <c r="X37" s="844">
        <f t="shared" si="6"/>
        <v>357154.04620453028</v>
      </c>
      <c r="Y37" s="847">
        <f t="shared" si="7"/>
        <v>0.85</v>
      </c>
      <c r="Z37" s="844">
        <f t="shared" si="8"/>
        <v>14450443.832779702</v>
      </c>
      <c r="AA37" s="844">
        <f t="shared" si="9"/>
        <v>129884.67443267496</v>
      </c>
      <c r="AC37" s="849">
        <f t="shared" si="10"/>
        <v>187927.90595283612</v>
      </c>
      <c r="AD37" s="873">
        <f t="shared" si="11"/>
        <v>0</v>
      </c>
      <c r="AG37" s="882">
        <f t="shared" si="18"/>
        <v>7</v>
      </c>
      <c r="AH37" s="853">
        <f t="shared" si="19"/>
        <v>2500078.3234317121</v>
      </c>
      <c r="AI37" s="854">
        <f t="shared" si="20"/>
        <v>0</v>
      </c>
      <c r="AK37" s="872">
        <f>O37-'Internal Pricelist'!AK37</f>
        <v>4514188.5161738191</v>
      </c>
      <c r="AL37" s="872">
        <f>P37-'Internal Pricelist'!BP37</f>
        <v>146590.66873751744</v>
      </c>
      <c r="AM37" s="872">
        <f>'Internal Pricelist'!BN37+'Internal Pricelist'!BO37</f>
        <v>1271326.532025682</v>
      </c>
      <c r="AN37" s="872">
        <f t="shared" si="2"/>
        <v>-122158.89061459783</v>
      </c>
      <c r="AO37" s="872">
        <f>R37-'Internal Pricelist'!BQ37</f>
        <v>1490338.4654980935</v>
      </c>
      <c r="AS37" s="873">
        <f>'Internal Pricelist'!AK37-PriceLink_Fitted!O37</f>
        <v>-4514188.5161738191</v>
      </c>
      <c r="AT37" s="873">
        <f>'Internal Pricelist'!BP37-PriceLink_Fitted!P37</f>
        <v>-146590.66873751744</v>
      </c>
      <c r="AU37" s="849">
        <f>'Internal Pricelist'!BN37+'Internal Pricelist'!BO37</f>
        <v>1271326.532025682</v>
      </c>
      <c r="AV37" s="873">
        <f>PriceLink_Fitted!Q37-PriceLink_Fitted!AU37</f>
        <v>122158.89061459783</v>
      </c>
      <c r="AW37" s="873">
        <f>'Internal Pricelist'!BQ37-PriceLink_Fitted!R37</f>
        <v>-1490338.4654980935</v>
      </c>
    </row>
    <row r="38" spans="1:49" x14ac:dyDescent="0.2">
      <c r="A38" s="835">
        <f t="shared" si="12"/>
        <v>25</v>
      </c>
      <c r="B38" s="836" t="str">
        <f>'Internal Pricelist'!H31</f>
        <v>5K</v>
      </c>
      <c r="C38" s="836" t="str">
        <f>'Internal Pricelist'!C31</f>
        <v>Unsold</v>
      </c>
      <c r="D38" s="836">
        <v>25</v>
      </c>
      <c r="E38" s="837" t="str">
        <f>'Internal Pricelist'!E31</f>
        <v>4th</v>
      </c>
      <c r="F38" s="838" t="str">
        <f>'Internal Pricelist'!F31</f>
        <v>5th</v>
      </c>
      <c r="G38" s="839" t="str">
        <f t="shared" si="3"/>
        <v>5K</v>
      </c>
      <c r="H38" s="839" t="str">
        <f>'Internal Pricelist'!I31</f>
        <v>1-BR</v>
      </c>
      <c r="I38" s="839">
        <f>'Internal Pricelist'!J31</f>
        <v>69.36</v>
      </c>
      <c r="J38" s="839">
        <f>'Internal Pricelist'!K31</f>
        <v>4.79</v>
      </c>
      <c r="K38" s="839">
        <f>'Internal Pricelist'!L31</f>
        <v>0</v>
      </c>
      <c r="L38" s="840">
        <f t="shared" si="0"/>
        <v>74.150000000000006</v>
      </c>
      <c r="M38" s="851" t="str">
        <f>'Internal Pricelist'!AA31</f>
        <v>INNER</v>
      </c>
      <c r="N38" s="841"/>
      <c r="O38" s="842">
        <f>'Internal Pricelist'!BM31</f>
        <v>13934854.226402799</v>
      </c>
      <c r="P38" s="843">
        <f t="shared" si="4"/>
        <v>1672182.5071683358</v>
      </c>
      <c r="Q38" s="844">
        <f t="shared" si="13"/>
        <v>1393485.4226402799</v>
      </c>
      <c r="R38" s="843">
        <f t="shared" si="14"/>
        <v>17000522.156211413</v>
      </c>
      <c r="S38" s="845">
        <f>'Internal Pricelist'!BS31</f>
        <v>0.15</v>
      </c>
      <c r="T38" s="844">
        <f t="shared" si="15"/>
        <v>2550078.3234317121</v>
      </c>
      <c r="U38" s="839">
        <f>'Internal Pricelist'!BU31</f>
        <v>50000</v>
      </c>
      <c r="V38" s="844">
        <f t="shared" si="5"/>
        <v>2500078.3234317121</v>
      </c>
      <c r="W38" s="846">
        <f>'Internal Pricelist'!BW31</f>
        <v>7</v>
      </c>
      <c r="X38" s="844">
        <f t="shared" si="6"/>
        <v>357154.04620453028</v>
      </c>
      <c r="Y38" s="847">
        <f t="shared" si="7"/>
        <v>0.85</v>
      </c>
      <c r="Z38" s="844">
        <f t="shared" si="8"/>
        <v>14450443.832779702</v>
      </c>
      <c r="AA38" s="844">
        <f t="shared" si="9"/>
        <v>129884.67443267496</v>
      </c>
      <c r="AC38" s="849">
        <f t="shared" si="10"/>
        <v>187927.90595283612</v>
      </c>
      <c r="AD38" s="873">
        <f t="shared" si="11"/>
        <v>0</v>
      </c>
      <c r="AG38" s="882">
        <f t="shared" si="18"/>
        <v>7</v>
      </c>
      <c r="AH38" s="853">
        <f t="shared" si="19"/>
        <v>2500078.3234317121</v>
      </c>
      <c r="AI38" s="854">
        <f t="shared" si="20"/>
        <v>0</v>
      </c>
      <c r="AK38" s="872">
        <f>O38-'Internal Pricelist'!AK38</f>
        <v>799142.67864606716</v>
      </c>
      <c r="AL38" s="872">
        <f>P38-'Internal Pricelist'!BP38</f>
        <v>-455027.4953562133</v>
      </c>
      <c r="AM38" s="872">
        <f>'Internal Pricelist'!BN38+'Internal Pricelist'!BO38</f>
        <v>1772675.0021037911</v>
      </c>
      <c r="AN38" s="872">
        <f t="shared" si="2"/>
        <v>379189.57946351124</v>
      </c>
      <c r="AO38" s="872">
        <f>R38-'Internal Pricelist'!BQ38</f>
        <v>-4626112.8694548383</v>
      </c>
      <c r="AS38" s="873">
        <f>'Internal Pricelist'!AK38-PriceLink_Fitted!O38</f>
        <v>-799142.67864606716</v>
      </c>
      <c r="AT38" s="873">
        <f>'Internal Pricelist'!BP38-PriceLink_Fitted!P38</f>
        <v>455027.4953562133</v>
      </c>
      <c r="AU38" s="849">
        <f>'Internal Pricelist'!BN38+'Internal Pricelist'!BO38</f>
        <v>1772675.0021037911</v>
      </c>
      <c r="AV38" s="873">
        <f>PriceLink_Fitted!Q38-PriceLink_Fitted!AU38</f>
        <v>-379189.57946351124</v>
      </c>
      <c r="AW38" s="873">
        <f>'Internal Pricelist'!BQ38-PriceLink_Fitted!R38</f>
        <v>4626112.8694548383</v>
      </c>
    </row>
    <row r="39" spans="1:49" hidden="1" x14ac:dyDescent="0.2">
      <c r="A39" s="835">
        <f t="shared" si="12"/>
        <v>26</v>
      </c>
      <c r="B39" s="836" t="str">
        <f>'Internal Pricelist'!H32</f>
        <v>5L</v>
      </c>
      <c r="C39" s="836" t="str">
        <f>'Internal Pricelist'!C32</f>
        <v>Sold</v>
      </c>
      <c r="D39" s="836">
        <v>26</v>
      </c>
      <c r="E39" s="837" t="str">
        <f>'Internal Pricelist'!E32</f>
        <v>4th</v>
      </c>
      <c r="F39" s="838" t="str">
        <f>'Internal Pricelist'!F32</f>
        <v>5th</v>
      </c>
      <c r="G39" s="839" t="str">
        <f t="shared" si="3"/>
        <v>5L</v>
      </c>
      <c r="H39" s="839" t="str">
        <f>'Internal Pricelist'!I32</f>
        <v>2-BR</v>
      </c>
      <c r="I39" s="839">
        <f>'Internal Pricelist'!J32</f>
        <v>83.12</v>
      </c>
      <c r="J39" s="839">
        <f>'Internal Pricelist'!K32</f>
        <v>13.04</v>
      </c>
      <c r="K39" s="839">
        <f>'Internal Pricelist'!L32</f>
        <v>0</v>
      </c>
      <c r="L39" s="840">
        <f t="shared" si="0"/>
        <v>96.16</v>
      </c>
      <c r="M39" s="851" t="str">
        <f>'Internal Pricelist'!AA32</f>
        <v>CORNER</v>
      </c>
      <c r="N39" s="841"/>
      <c r="O39" s="842">
        <f>'Internal Pricelist'!BM32</f>
        <v>17831368.169558253</v>
      </c>
      <c r="P39" s="843">
        <f t="shared" si="4"/>
        <v>2139764.1803469905</v>
      </c>
      <c r="Q39" s="844">
        <f t="shared" si="13"/>
        <v>1783136.8169558253</v>
      </c>
      <c r="R39" s="843">
        <f t="shared" si="14"/>
        <v>21754269.166861072</v>
      </c>
      <c r="S39" s="845">
        <f>'Internal Pricelist'!BS32</f>
        <v>0.15</v>
      </c>
      <c r="T39" s="844">
        <f t="shared" si="15"/>
        <v>3263140.3750291606</v>
      </c>
      <c r="U39" s="839">
        <f>'Internal Pricelist'!BU32</f>
        <v>50000</v>
      </c>
      <c r="V39" s="844">
        <f t="shared" si="5"/>
        <v>3213140.3750291606</v>
      </c>
      <c r="W39" s="846">
        <f>'Internal Pricelist'!BW32</f>
        <v>7</v>
      </c>
      <c r="X39" s="844">
        <f t="shared" si="6"/>
        <v>459020.05357559439</v>
      </c>
      <c r="Y39" s="847">
        <f t="shared" si="7"/>
        <v>0.85</v>
      </c>
      <c r="Z39" s="844">
        <f t="shared" si="8"/>
        <v>18491128.791831911</v>
      </c>
      <c r="AA39" s="844">
        <f t="shared" si="9"/>
        <v>166203.49318071801</v>
      </c>
      <c r="AC39" s="849">
        <f t="shared" si="10"/>
        <v>185434.36116429133</v>
      </c>
      <c r="AD39" s="873">
        <f t="shared" si="11"/>
        <v>0</v>
      </c>
      <c r="AG39" s="882">
        <f t="shared" si="18"/>
        <v>7</v>
      </c>
      <c r="AH39" s="853">
        <f t="shared" si="19"/>
        <v>3213140.3750291606</v>
      </c>
      <c r="AI39" s="854">
        <f t="shared" si="20"/>
        <v>0</v>
      </c>
      <c r="AK39" s="872">
        <f>O39-'Internal Pricelist'!AK39</f>
        <v>8642160.0733992532</v>
      </c>
      <c r="AL39" s="872">
        <f>P39-'Internal Pricelist'!BP39</f>
        <v>651654.81479326636</v>
      </c>
      <c r="AM39" s="872">
        <f>'Internal Pricelist'!BN39+'Internal Pricelist'!BO39</f>
        <v>1240091.1379614368</v>
      </c>
      <c r="AN39" s="872">
        <f t="shared" si="2"/>
        <v>-543045.67899438855</v>
      </c>
      <c r="AO39" s="872">
        <f>R39-'Internal Pricelist'!BQ39</f>
        <v>6625157.2837315425</v>
      </c>
      <c r="AS39" s="873">
        <f>'Internal Pricelist'!AK39-PriceLink_Fitted!O39</f>
        <v>-8642160.0733992532</v>
      </c>
      <c r="AT39" s="873">
        <f>'Internal Pricelist'!BP39-PriceLink_Fitted!P39</f>
        <v>-651654.81479326636</v>
      </c>
      <c r="AU39" s="849">
        <f>'Internal Pricelist'!BN39+'Internal Pricelist'!BO39</f>
        <v>1240091.1379614368</v>
      </c>
      <c r="AV39" s="873">
        <f>PriceLink_Fitted!Q39-PriceLink_Fitted!AU39</f>
        <v>543045.67899438855</v>
      </c>
      <c r="AW39" s="873">
        <f>'Internal Pricelist'!BQ39-PriceLink_Fitted!R39</f>
        <v>-6625157.2837315425</v>
      </c>
    </row>
    <row r="40" spans="1:49" hidden="1" x14ac:dyDescent="0.2">
      <c r="A40" s="835">
        <f t="shared" si="12"/>
        <v>27</v>
      </c>
      <c r="B40" s="836" t="str">
        <f>'Internal Pricelist'!H33</f>
        <v>5M</v>
      </c>
      <c r="C40" s="836" t="str">
        <f>'Internal Pricelist'!C33</f>
        <v>Sold</v>
      </c>
      <c r="D40" s="836">
        <v>27</v>
      </c>
      <c r="E40" s="837" t="str">
        <f>'Internal Pricelist'!E33</f>
        <v>4th</v>
      </c>
      <c r="F40" s="838" t="str">
        <f>'Internal Pricelist'!F33</f>
        <v>5th</v>
      </c>
      <c r="G40" s="839" t="str">
        <f t="shared" si="3"/>
        <v>5M</v>
      </c>
      <c r="H40" s="839" t="str">
        <f>'Internal Pricelist'!I33</f>
        <v>1-BR</v>
      </c>
      <c r="I40" s="839">
        <f>'Internal Pricelist'!J33</f>
        <v>52.04</v>
      </c>
      <c r="J40" s="839">
        <f>'Internal Pricelist'!K33</f>
        <v>3.1</v>
      </c>
      <c r="K40" s="839">
        <f>'Internal Pricelist'!L33</f>
        <v>0</v>
      </c>
      <c r="L40" s="840">
        <f t="shared" si="0"/>
        <v>55.14</v>
      </c>
      <c r="M40" s="851" t="str">
        <f>'Internal Pricelist'!AA33</f>
        <v>INNER</v>
      </c>
      <c r="N40" s="841"/>
      <c r="O40" s="842">
        <f>'Internal Pricelist'!BM33</f>
        <v>10487434.843400633</v>
      </c>
      <c r="P40" s="843">
        <f t="shared" si="4"/>
        <v>1258492.181208076</v>
      </c>
      <c r="Q40" s="844">
        <f t="shared" si="13"/>
        <v>1048743.4843400633</v>
      </c>
      <c r="R40" s="843">
        <f t="shared" si="14"/>
        <v>12794670.508948773</v>
      </c>
      <c r="S40" s="845">
        <f>'Internal Pricelist'!BS33</f>
        <v>0.15</v>
      </c>
      <c r="T40" s="844">
        <f t="shared" si="15"/>
        <v>1919200.5763423159</v>
      </c>
      <c r="U40" s="839">
        <f>'Internal Pricelist'!BU33</f>
        <v>50000</v>
      </c>
      <c r="V40" s="844">
        <f t="shared" si="5"/>
        <v>1869200.5763423159</v>
      </c>
      <c r="W40" s="846">
        <f>'Internal Pricelist'!BW33</f>
        <v>7</v>
      </c>
      <c r="X40" s="844">
        <f t="shared" si="6"/>
        <v>267028.65376318799</v>
      </c>
      <c r="Y40" s="847">
        <f t="shared" si="7"/>
        <v>0.85</v>
      </c>
      <c r="Z40" s="844">
        <f t="shared" si="8"/>
        <v>10875469.932606457</v>
      </c>
      <c r="AA40" s="844">
        <f t="shared" si="9"/>
        <v>97751.798342322218</v>
      </c>
      <c r="AC40" s="849">
        <f t="shared" si="10"/>
        <v>190196.49697861139</v>
      </c>
      <c r="AD40" s="873">
        <f t="shared" si="11"/>
        <v>0</v>
      </c>
      <c r="AG40" s="882">
        <f t="shared" si="18"/>
        <v>7</v>
      </c>
      <c r="AH40" s="853">
        <f t="shared" si="19"/>
        <v>1869200.5763423159</v>
      </c>
      <c r="AI40" s="854">
        <f t="shared" si="20"/>
        <v>0</v>
      </c>
      <c r="AK40" s="872">
        <f>O40-'Internal Pricelist'!AK40</f>
        <v>-4502285.1207828782</v>
      </c>
      <c r="AL40" s="872">
        <f>P40-'Internal Pricelist'!BP40</f>
        <v>-1168957.7614102601</v>
      </c>
      <c r="AM40" s="872">
        <f>'Internal Pricelist'!BN40+'Internal Pricelist'!BO40</f>
        <v>2022874.952181947</v>
      </c>
      <c r="AN40" s="872">
        <f t="shared" si="2"/>
        <v>974131.46784188366</v>
      </c>
      <c r="AO40" s="872">
        <f>R40-'Internal Pricelist'!BQ40</f>
        <v>-11884403.907670978</v>
      </c>
      <c r="AS40" s="873">
        <f>'Internal Pricelist'!AK40-PriceLink_Fitted!O40</f>
        <v>4502285.1207828782</v>
      </c>
      <c r="AT40" s="873">
        <f>'Internal Pricelist'!BP40-PriceLink_Fitted!P40</f>
        <v>1168957.7614102601</v>
      </c>
      <c r="AU40" s="849">
        <f>'Internal Pricelist'!BN40+'Internal Pricelist'!BO40</f>
        <v>2022874.952181947</v>
      </c>
      <c r="AV40" s="873">
        <f>PriceLink_Fitted!Q40-PriceLink_Fitted!AU40</f>
        <v>-974131.46784188366</v>
      </c>
      <c r="AW40" s="873">
        <f>'Internal Pricelist'!BQ40-PriceLink_Fitted!R40</f>
        <v>11884403.907670978</v>
      </c>
    </row>
    <row r="41" spans="1:49" hidden="1" x14ac:dyDescent="0.2">
      <c r="A41" s="835">
        <f t="shared" si="12"/>
        <v>28</v>
      </c>
      <c r="B41" s="836" t="str">
        <f>'Internal Pricelist'!H34</f>
        <v>6A</v>
      </c>
      <c r="C41" s="836" t="str">
        <f>'Internal Pricelist'!C34</f>
        <v>Sold</v>
      </c>
      <c r="D41" s="836">
        <v>28</v>
      </c>
      <c r="E41" s="837" t="str">
        <f>'Internal Pricelist'!E34</f>
        <v>5th</v>
      </c>
      <c r="F41" s="838" t="str">
        <f>'Internal Pricelist'!F34</f>
        <v xml:space="preserve">6th </v>
      </c>
      <c r="G41" s="839" t="str">
        <f t="shared" si="3"/>
        <v>6A</v>
      </c>
      <c r="H41" s="839" t="str">
        <f>'Internal Pricelist'!I34</f>
        <v>3-BR</v>
      </c>
      <c r="I41" s="839">
        <f>'Internal Pricelist'!J34</f>
        <v>99.98</v>
      </c>
      <c r="J41" s="839">
        <f>'Internal Pricelist'!K34</f>
        <v>10.29</v>
      </c>
      <c r="K41" s="839">
        <f>'Internal Pricelist'!L34</f>
        <v>0</v>
      </c>
      <c r="L41" s="840">
        <f t="shared" si="0"/>
        <v>110.27000000000001</v>
      </c>
      <c r="M41" s="851" t="str">
        <f>'Internal Pricelist'!AA34</f>
        <v>CORNER</v>
      </c>
      <c r="N41" s="841"/>
      <c r="O41" s="842">
        <f>'Internal Pricelist'!BM34</f>
        <v>20979308.060776636</v>
      </c>
      <c r="P41" s="843">
        <f t="shared" si="4"/>
        <v>2517516.9672931964</v>
      </c>
      <c r="Q41" s="844">
        <f t="shared" si="13"/>
        <v>2097930.8060776638</v>
      </c>
      <c r="R41" s="843">
        <f t="shared" si="14"/>
        <v>25594755.834147494</v>
      </c>
      <c r="S41" s="845">
        <f>'Internal Pricelist'!BS34</f>
        <v>0.15</v>
      </c>
      <c r="T41" s="844">
        <f t="shared" si="15"/>
        <v>3839213.3751221239</v>
      </c>
      <c r="U41" s="839">
        <f>'Internal Pricelist'!BU34</f>
        <v>50000</v>
      </c>
      <c r="V41" s="844">
        <f t="shared" si="5"/>
        <v>3789213.3751221239</v>
      </c>
      <c r="W41" s="846">
        <f>'Internal Pricelist'!BW34</f>
        <v>7</v>
      </c>
      <c r="X41" s="844">
        <f t="shared" si="6"/>
        <v>541316.19644601771</v>
      </c>
      <c r="Y41" s="847">
        <f t="shared" si="7"/>
        <v>0.85</v>
      </c>
      <c r="Z41" s="844">
        <f t="shared" si="8"/>
        <v>21755542.459025368</v>
      </c>
      <c r="AA41" s="844">
        <f t="shared" si="9"/>
        <v>195544.96609902327</v>
      </c>
      <c r="AC41" s="849">
        <f t="shared" si="10"/>
        <v>190253.9952913452</v>
      </c>
      <c r="AD41" s="873">
        <f t="shared" si="11"/>
        <v>0</v>
      </c>
      <c r="AG41" s="882">
        <f t="shared" si="18"/>
        <v>7</v>
      </c>
      <c r="AH41" s="853">
        <f t="shared" si="19"/>
        <v>3789213.3751221239</v>
      </c>
      <c r="AI41" s="854">
        <f t="shared" si="20"/>
        <v>0</v>
      </c>
      <c r="AK41" s="872">
        <f>O41-'Internal Pricelist'!AK41</f>
        <v>10637933.72088662</v>
      </c>
      <c r="AL41" s="872">
        <f>P41-'Internal Pricelist'!BP41</f>
        <v>842824.67097663064</v>
      </c>
      <c r="AM41" s="872">
        <f>'Internal Pricelist'!BN41+'Internal Pricelist'!BO41</f>
        <v>1395576.9135971381</v>
      </c>
      <c r="AN41" s="872">
        <f t="shared" si="2"/>
        <v>-702353.89248052565</v>
      </c>
      <c r="AO41" s="872">
        <f>R41-'Internal Pricelist'!BQ41</f>
        <v>8568717.4882624075</v>
      </c>
      <c r="AS41" s="873">
        <f>'Internal Pricelist'!AK41-PriceLink_Fitted!O41</f>
        <v>-10637933.72088662</v>
      </c>
      <c r="AT41" s="873">
        <f>'Internal Pricelist'!BP41-PriceLink_Fitted!P41</f>
        <v>-842824.67097663064</v>
      </c>
      <c r="AU41" s="849">
        <f>'Internal Pricelist'!BN41+'Internal Pricelist'!BO41</f>
        <v>1395576.9135971381</v>
      </c>
      <c r="AV41" s="873">
        <f>PriceLink_Fitted!Q41-PriceLink_Fitted!AU41</f>
        <v>702353.89248052565</v>
      </c>
      <c r="AW41" s="873">
        <f>'Internal Pricelist'!BQ41-PriceLink_Fitted!R41</f>
        <v>-8568717.4882624075</v>
      </c>
    </row>
    <row r="42" spans="1:49" hidden="1" x14ac:dyDescent="0.2">
      <c r="A42" s="835">
        <f t="shared" si="12"/>
        <v>29</v>
      </c>
      <c r="B42" s="836" t="str">
        <f>'Internal Pricelist'!H35</f>
        <v>6B</v>
      </c>
      <c r="C42" s="836" t="str">
        <f>'Internal Pricelist'!C35</f>
        <v>Sold</v>
      </c>
      <c r="D42" s="836">
        <v>29</v>
      </c>
      <c r="E42" s="837" t="str">
        <f>'Internal Pricelist'!E35</f>
        <v>5th</v>
      </c>
      <c r="F42" s="838" t="str">
        <f>'Internal Pricelist'!F35</f>
        <v xml:space="preserve">6th </v>
      </c>
      <c r="G42" s="839" t="str">
        <f t="shared" si="3"/>
        <v>6B</v>
      </c>
      <c r="H42" s="839" t="str">
        <f>'Internal Pricelist'!I35</f>
        <v>1-BR</v>
      </c>
      <c r="I42" s="839">
        <f>'Internal Pricelist'!J35</f>
        <v>52.86</v>
      </c>
      <c r="J42" s="839">
        <f>'Internal Pricelist'!K35</f>
        <v>5.09</v>
      </c>
      <c r="K42" s="839">
        <f>'Internal Pricelist'!L35</f>
        <v>0</v>
      </c>
      <c r="L42" s="840">
        <f t="shared" si="0"/>
        <v>57.95</v>
      </c>
      <c r="M42" s="851" t="str">
        <f>'Internal Pricelist'!AA35</f>
        <v>INNER</v>
      </c>
      <c r="N42" s="841"/>
      <c r="O42" s="842">
        <f>'Internal Pricelist'!BM35</f>
        <v>10886939.392944291</v>
      </c>
      <c r="P42" s="843">
        <f t="shared" si="4"/>
        <v>1306432.727153315</v>
      </c>
      <c r="Q42" s="844">
        <f t="shared" si="13"/>
        <v>1088693.9392944293</v>
      </c>
      <c r="R42" s="843">
        <f t="shared" si="14"/>
        <v>13282066.059392035</v>
      </c>
      <c r="S42" s="845">
        <f>'Internal Pricelist'!BS35</f>
        <v>0.15</v>
      </c>
      <c r="T42" s="844">
        <f t="shared" si="15"/>
        <v>1992309.9089088051</v>
      </c>
      <c r="U42" s="839">
        <f>'Internal Pricelist'!BU35</f>
        <v>50000</v>
      </c>
      <c r="V42" s="844">
        <f t="shared" si="5"/>
        <v>1942309.9089088051</v>
      </c>
      <c r="W42" s="846">
        <f>'Internal Pricelist'!BW35</f>
        <v>7</v>
      </c>
      <c r="X42" s="844">
        <f t="shared" si="6"/>
        <v>277472.84412982932</v>
      </c>
      <c r="Y42" s="847">
        <f t="shared" si="7"/>
        <v>0.85</v>
      </c>
      <c r="Z42" s="844">
        <f t="shared" si="8"/>
        <v>11289756.15048323</v>
      </c>
      <c r="AA42" s="844">
        <f t="shared" si="9"/>
        <v>101475.51999084394</v>
      </c>
      <c r="AC42" s="849">
        <f t="shared" si="10"/>
        <v>187867.80660818447</v>
      </c>
      <c r="AD42" s="873">
        <f t="shared" si="11"/>
        <v>0</v>
      </c>
      <c r="AG42" s="882">
        <f t="shared" si="18"/>
        <v>7</v>
      </c>
      <c r="AH42" s="853">
        <f t="shared" si="19"/>
        <v>1942309.9089088053</v>
      </c>
      <c r="AI42" s="854">
        <f t="shared" si="20"/>
        <v>0</v>
      </c>
      <c r="AK42" s="872">
        <f>O42-'Internal Pricelist'!AK42</f>
        <v>521001.68025569618</v>
      </c>
      <c r="AL42" s="872">
        <f>P42-'Internal Pricelist'!BP42</f>
        <v>-372237.38582913228</v>
      </c>
      <c r="AM42" s="872">
        <f>'Internal Pricelist'!BN42+'Internal Pricelist'!BO42</f>
        <v>1398891.7608187059</v>
      </c>
      <c r="AN42" s="872">
        <f t="shared" si="2"/>
        <v>310197.82152427663</v>
      </c>
      <c r="AO42" s="872">
        <f>R42-'Internal Pricelist'!BQ42</f>
        <v>-3784413.4225961789</v>
      </c>
      <c r="AS42" s="873">
        <f>'Internal Pricelist'!AK42-PriceLink_Fitted!O42</f>
        <v>-521001.68025569618</v>
      </c>
      <c r="AT42" s="873">
        <f>'Internal Pricelist'!BP42-PriceLink_Fitted!P42</f>
        <v>372237.38582913228</v>
      </c>
      <c r="AU42" s="849">
        <f>'Internal Pricelist'!BN42+'Internal Pricelist'!BO42</f>
        <v>1398891.7608187059</v>
      </c>
      <c r="AV42" s="873">
        <f>PriceLink_Fitted!Q42-PriceLink_Fitted!AU42</f>
        <v>-310197.82152427663</v>
      </c>
      <c r="AW42" s="873">
        <f>'Internal Pricelist'!BQ42-PriceLink_Fitted!R42</f>
        <v>3784413.4225961789</v>
      </c>
    </row>
    <row r="43" spans="1:49" hidden="1" x14ac:dyDescent="0.2">
      <c r="A43" s="835">
        <f t="shared" si="12"/>
        <v>30</v>
      </c>
      <c r="B43" s="836" t="str">
        <f>'Internal Pricelist'!H36</f>
        <v>6C</v>
      </c>
      <c r="C43" s="836" t="str">
        <f>'Internal Pricelist'!C36</f>
        <v>Sold</v>
      </c>
      <c r="D43" s="836">
        <v>30</v>
      </c>
      <c r="E43" s="837" t="str">
        <f>'Internal Pricelist'!E36</f>
        <v>5th</v>
      </c>
      <c r="F43" s="838" t="str">
        <f>'Internal Pricelist'!F36</f>
        <v xml:space="preserve">6th </v>
      </c>
      <c r="G43" s="839" t="str">
        <f t="shared" si="3"/>
        <v>6C</v>
      </c>
      <c r="H43" s="839" t="str">
        <f>'Internal Pricelist'!I36</f>
        <v>2-BR</v>
      </c>
      <c r="I43" s="839">
        <f>'Internal Pricelist'!J36</f>
        <v>57.5</v>
      </c>
      <c r="J43" s="839">
        <f>'Internal Pricelist'!K36</f>
        <v>5.09</v>
      </c>
      <c r="K43" s="839">
        <f>'Internal Pricelist'!L36</f>
        <v>0</v>
      </c>
      <c r="L43" s="840">
        <f t="shared" si="0"/>
        <v>62.59</v>
      </c>
      <c r="M43" s="851" t="str">
        <f>'Internal Pricelist'!AA36</f>
        <v>INNER</v>
      </c>
      <c r="N43" s="841"/>
      <c r="O43" s="842">
        <f>'Internal Pricelist'!BM36</f>
        <v>11798065.811246544</v>
      </c>
      <c r="P43" s="843">
        <f t="shared" si="4"/>
        <v>1415767.8973495853</v>
      </c>
      <c r="Q43" s="844">
        <f t="shared" si="13"/>
        <v>1179806.5811246545</v>
      </c>
      <c r="R43" s="843">
        <f t="shared" si="14"/>
        <v>14393640.289720783</v>
      </c>
      <c r="S43" s="845">
        <f>'Internal Pricelist'!BS36</f>
        <v>0.15</v>
      </c>
      <c r="T43" s="844">
        <f t="shared" si="15"/>
        <v>2159046.0434581172</v>
      </c>
      <c r="U43" s="839">
        <f>'Internal Pricelist'!BU36</f>
        <v>50000</v>
      </c>
      <c r="V43" s="844">
        <f t="shared" si="5"/>
        <v>2109046.0434581172</v>
      </c>
      <c r="W43" s="846">
        <f>'Internal Pricelist'!BW36</f>
        <v>7</v>
      </c>
      <c r="X43" s="844">
        <f t="shared" si="6"/>
        <v>301292.29192258819</v>
      </c>
      <c r="Y43" s="847">
        <f t="shared" si="7"/>
        <v>0.85</v>
      </c>
      <c r="Z43" s="844">
        <f t="shared" si="8"/>
        <v>12234594.246262666</v>
      </c>
      <c r="AA43" s="844">
        <f t="shared" si="9"/>
        <v>109967.99190949323</v>
      </c>
      <c r="AC43" s="849">
        <f t="shared" si="10"/>
        <v>188497.61641231098</v>
      </c>
      <c r="AD43" s="873">
        <f t="shared" si="11"/>
        <v>0</v>
      </c>
      <c r="AG43" s="882">
        <f t="shared" si="18"/>
        <v>7</v>
      </c>
      <c r="AH43" s="853">
        <f t="shared" si="19"/>
        <v>2109046.0434581172</v>
      </c>
      <c r="AI43" s="854">
        <f t="shared" si="20"/>
        <v>0</v>
      </c>
      <c r="AK43" s="872">
        <f>O43-'Internal Pricelist'!AK43</f>
        <v>1432128.0985579491</v>
      </c>
      <c r="AL43" s="872">
        <f>P43-'Internal Pricelist'!BP43</f>
        <v>-262902.21563286195</v>
      </c>
      <c r="AM43" s="872">
        <f>'Internal Pricelist'!BN43+'Internal Pricelist'!BO43</f>
        <v>1398891.7608187059</v>
      </c>
      <c r="AN43" s="872">
        <f t="shared" si="2"/>
        <v>219085.17969405139</v>
      </c>
      <c r="AO43" s="872">
        <f>R43-'Internal Pricelist'!BQ43</f>
        <v>-2672839.1922674309</v>
      </c>
      <c r="AS43" s="873">
        <f>'Internal Pricelist'!AK43-PriceLink_Fitted!O43</f>
        <v>-1432128.0985579491</v>
      </c>
      <c r="AT43" s="873">
        <f>'Internal Pricelist'!BP43-PriceLink_Fitted!P43</f>
        <v>262902.21563286195</v>
      </c>
      <c r="AU43" s="849">
        <f>'Internal Pricelist'!BN43+'Internal Pricelist'!BO43</f>
        <v>1398891.7608187059</v>
      </c>
      <c r="AV43" s="873">
        <f>PriceLink_Fitted!Q43-PriceLink_Fitted!AU43</f>
        <v>-219085.17969405139</v>
      </c>
      <c r="AW43" s="873">
        <f>'Internal Pricelist'!BQ43-PriceLink_Fitted!R43</f>
        <v>2672839.1922674309</v>
      </c>
    </row>
    <row r="44" spans="1:49" hidden="1" x14ac:dyDescent="0.2">
      <c r="A44" s="835">
        <f t="shared" si="12"/>
        <v>31</v>
      </c>
      <c r="B44" s="836" t="str">
        <f>'Internal Pricelist'!H37</f>
        <v>6D</v>
      </c>
      <c r="C44" s="836" t="str">
        <f>'Internal Pricelist'!C37</f>
        <v>Sold</v>
      </c>
      <c r="D44" s="836">
        <v>31</v>
      </c>
      <c r="E44" s="837" t="str">
        <f>'Internal Pricelist'!E37</f>
        <v>5th</v>
      </c>
      <c r="F44" s="838" t="str">
        <f>'Internal Pricelist'!F37</f>
        <v xml:space="preserve">6th </v>
      </c>
      <c r="G44" s="839" t="str">
        <f t="shared" si="3"/>
        <v>6D</v>
      </c>
      <c r="H44" s="839" t="str">
        <f>'Internal Pricelist'!I37</f>
        <v>2-BR</v>
      </c>
      <c r="I44" s="839">
        <f>'Internal Pricelist'!J37</f>
        <v>62.11</v>
      </c>
      <c r="J44" s="839">
        <f>'Internal Pricelist'!K37</f>
        <v>5.19</v>
      </c>
      <c r="K44" s="839">
        <f>'Internal Pricelist'!L37</f>
        <v>0</v>
      </c>
      <c r="L44" s="840">
        <f t="shared" si="0"/>
        <v>67.3</v>
      </c>
      <c r="M44" s="851" t="str">
        <f>'Internal Pricelist'!AA37</f>
        <v>INNER</v>
      </c>
      <c r="N44" s="841"/>
      <c r="O44" s="842">
        <f>'Internal Pricelist'!BM37</f>
        <v>12713265.32025682</v>
      </c>
      <c r="P44" s="843">
        <f t="shared" si="4"/>
        <v>1525591.8384308184</v>
      </c>
      <c r="Q44" s="844">
        <f t="shared" si="13"/>
        <v>1271326.532025682</v>
      </c>
      <c r="R44" s="843">
        <f t="shared" si="14"/>
        <v>15510183.69071332</v>
      </c>
      <c r="S44" s="845">
        <f>'Internal Pricelist'!BS37</f>
        <v>0.15</v>
      </c>
      <c r="T44" s="844">
        <f t="shared" si="15"/>
        <v>2326527.5536069977</v>
      </c>
      <c r="U44" s="839">
        <f>'Internal Pricelist'!BU37</f>
        <v>50000</v>
      </c>
      <c r="V44" s="844">
        <f t="shared" si="5"/>
        <v>2276527.5536069977</v>
      </c>
      <c r="W44" s="846">
        <f>'Internal Pricelist'!BW37</f>
        <v>7</v>
      </c>
      <c r="X44" s="844">
        <f t="shared" si="6"/>
        <v>325218.2219438568</v>
      </c>
      <c r="Y44" s="847">
        <f t="shared" si="7"/>
        <v>0.85</v>
      </c>
      <c r="Z44" s="844">
        <f t="shared" si="8"/>
        <v>13183656.137106322</v>
      </c>
      <c r="AA44" s="844">
        <f t="shared" si="9"/>
        <v>118498.4284922826</v>
      </c>
      <c r="AC44" s="849">
        <f t="shared" si="10"/>
        <v>188904.38811674324</v>
      </c>
      <c r="AD44" s="873">
        <f t="shared" si="11"/>
        <v>0</v>
      </c>
      <c r="AG44" s="882">
        <f t="shared" si="18"/>
        <v>7</v>
      </c>
      <c r="AH44" s="853">
        <f t="shared" si="19"/>
        <v>2276527.5536069977</v>
      </c>
      <c r="AI44" s="854">
        <f t="shared" si="20"/>
        <v>0</v>
      </c>
      <c r="AK44" s="872">
        <f>O44-'Internal Pricelist'!AK44</f>
        <v>2347327.6075682249</v>
      </c>
      <c r="AL44" s="872">
        <f>P44-'Internal Pricelist'!BP44</f>
        <v>-153078.27455162886</v>
      </c>
      <c r="AM44" s="872">
        <f>'Internal Pricelist'!BN44+'Internal Pricelist'!BO44</f>
        <v>1398891.7608187059</v>
      </c>
      <c r="AN44" s="872">
        <f t="shared" si="2"/>
        <v>127565.22879302385</v>
      </c>
      <c r="AO44" s="872">
        <f>R44-'Internal Pricelist'!BQ44</f>
        <v>-1556295.791274894</v>
      </c>
      <c r="AS44" s="873">
        <f>'Internal Pricelist'!AK44-PriceLink_Fitted!O44</f>
        <v>-2347327.6075682249</v>
      </c>
      <c r="AT44" s="873">
        <f>'Internal Pricelist'!BP44-PriceLink_Fitted!P44</f>
        <v>153078.27455162886</v>
      </c>
      <c r="AU44" s="849">
        <f>'Internal Pricelist'!BN44+'Internal Pricelist'!BO44</f>
        <v>1398891.7608187059</v>
      </c>
      <c r="AV44" s="873">
        <f>PriceLink_Fitted!Q44-PriceLink_Fitted!AU44</f>
        <v>-127565.22879302385</v>
      </c>
      <c r="AW44" s="873">
        <f>'Internal Pricelist'!BQ44-PriceLink_Fitted!R44</f>
        <v>1556295.791274894</v>
      </c>
    </row>
    <row r="45" spans="1:49" hidden="1" x14ac:dyDescent="0.2">
      <c r="A45" s="835">
        <f t="shared" si="12"/>
        <v>32</v>
      </c>
      <c r="B45" s="836" t="str">
        <f>'Internal Pricelist'!H38</f>
        <v>6E</v>
      </c>
      <c r="C45" s="836" t="str">
        <f>'Internal Pricelist'!C38</f>
        <v>Sold</v>
      </c>
      <c r="D45" s="836">
        <v>32</v>
      </c>
      <c r="E45" s="837" t="str">
        <f>'Internal Pricelist'!E38</f>
        <v>5th</v>
      </c>
      <c r="F45" s="838" t="str">
        <f>'Internal Pricelist'!F38</f>
        <v xml:space="preserve">6th </v>
      </c>
      <c r="G45" s="839" t="str">
        <f t="shared" si="3"/>
        <v>6E</v>
      </c>
      <c r="H45" s="839" t="str">
        <f>'Internal Pricelist'!I38</f>
        <v>2-BR</v>
      </c>
      <c r="I45" s="839">
        <f>'Internal Pricelist'!J38</f>
        <v>80.900000000000006</v>
      </c>
      <c r="J45" s="839">
        <f>'Internal Pricelist'!K38</f>
        <v>15.65</v>
      </c>
      <c r="K45" s="839">
        <f>'Internal Pricelist'!L38</f>
        <v>0</v>
      </c>
      <c r="L45" s="840">
        <f t="shared" si="0"/>
        <v>96.550000000000011</v>
      </c>
      <c r="M45" s="851" t="str">
        <f>'Internal Pricelist'!AA38</f>
        <v>CORNER</v>
      </c>
      <c r="N45" s="841"/>
      <c r="O45" s="842">
        <f>'Internal Pricelist'!BM38</f>
        <v>17726750.02103791</v>
      </c>
      <c r="P45" s="843">
        <f t="shared" si="4"/>
        <v>2127210.0025245491</v>
      </c>
      <c r="Q45" s="844">
        <f t="shared" si="13"/>
        <v>1772675.0021037911</v>
      </c>
      <c r="R45" s="843">
        <f t="shared" si="14"/>
        <v>21626635.025666252</v>
      </c>
      <c r="S45" s="845">
        <f>'Internal Pricelist'!BS38</f>
        <v>0.15</v>
      </c>
      <c r="T45" s="844">
        <f t="shared" si="15"/>
        <v>3243995.2538499376</v>
      </c>
      <c r="U45" s="839">
        <f>'Internal Pricelist'!BU38</f>
        <v>50000</v>
      </c>
      <c r="V45" s="844">
        <f t="shared" si="5"/>
        <v>3193995.2538499376</v>
      </c>
      <c r="W45" s="846">
        <f>'Internal Pricelist'!BW38</f>
        <v>7</v>
      </c>
      <c r="X45" s="844">
        <f t="shared" si="6"/>
        <v>456285.03626427677</v>
      </c>
      <c r="Y45" s="847">
        <f t="shared" si="7"/>
        <v>0.85</v>
      </c>
      <c r="Z45" s="844">
        <f t="shared" si="8"/>
        <v>18382639.771816313</v>
      </c>
      <c r="AA45" s="844">
        <f t="shared" si="9"/>
        <v>165228.3631980471</v>
      </c>
      <c r="AC45" s="849">
        <f t="shared" si="10"/>
        <v>183601.76096362411</v>
      </c>
      <c r="AD45" s="873">
        <f t="shared" si="11"/>
        <v>0</v>
      </c>
      <c r="AG45" s="882">
        <f t="shared" si="18"/>
        <v>7</v>
      </c>
      <c r="AH45" s="853">
        <f t="shared" si="19"/>
        <v>3193995.2538499376</v>
      </c>
      <c r="AI45" s="854">
        <f t="shared" si="20"/>
        <v>0</v>
      </c>
      <c r="AK45" s="872">
        <f>O45-'Internal Pricelist'!AK45</f>
        <v>4565468.3481912948</v>
      </c>
      <c r="AL45" s="872">
        <f>P45-'Internal Pricelist'!BP45</f>
        <v>-4140.8511186665855</v>
      </c>
      <c r="AM45" s="872">
        <f>'Internal Pricelist'!BN45+'Internal Pricelist'!BO45</f>
        <v>1776125.7113693466</v>
      </c>
      <c r="AN45" s="872">
        <f t="shared" ref="AN45:AN76" si="22">AM45-Q45</f>
        <v>3450.7092655554879</v>
      </c>
      <c r="AO45" s="872">
        <f>R45-'Internal Pricelist'!BQ45</f>
        <v>-42098.653039775789</v>
      </c>
      <c r="AS45" s="873">
        <f>'Internal Pricelist'!AK45-PriceLink_Fitted!O45</f>
        <v>-4565468.3481912948</v>
      </c>
      <c r="AT45" s="873">
        <f>'Internal Pricelist'!BP45-PriceLink_Fitted!P45</f>
        <v>4140.8511186665855</v>
      </c>
      <c r="AU45" s="849">
        <f>'Internal Pricelist'!BN45+'Internal Pricelist'!BO45</f>
        <v>1776125.7113693466</v>
      </c>
      <c r="AV45" s="873">
        <f>PriceLink_Fitted!Q45-PriceLink_Fitted!AU45</f>
        <v>-3450.7092655554879</v>
      </c>
      <c r="AW45" s="873">
        <f>'Internal Pricelist'!BQ45-PriceLink_Fitted!R45</f>
        <v>42098.653039775789</v>
      </c>
    </row>
    <row r="46" spans="1:49" hidden="1" x14ac:dyDescent="0.2">
      <c r="A46" s="835">
        <f t="shared" si="12"/>
        <v>33</v>
      </c>
      <c r="B46" s="836" t="str">
        <f>'Internal Pricelist'!H39</f>
        <v>6F</v>
      </c>
      <c r="C46" s="836" t="str">
        <f>'Internal Pricelist'!C39</f>
        <v>Sold</v>
      </c>
      <c r="D46" s="836">
        <v>33</v>
      </c>
      <c r="E46" s="837" t="str">
        <f>'Internal Pricelist'!E39</f>
        <v>5th</v>
      </c>
      <c r="F46" s="838" t="str">
        <f>'Internal Pricelist'!F39</f>
        <v xml:space="preserve">6th </v>
      </c>
      <c r="G46" s="839" t="str">
        <f t="shared" si="3"/>
        <v>6F</v>
      </c>
      <c r="H46" s="839" t="str">
        <f>'Internal Pricelist'!I39</f>
        <v>2-BR</v>
      </c>
      <c r="I46" s="839">
        <f>'Internal Pricelist'!J39</f>
        <v>61.56</v>
      </c>
      <c r="J46" s="839">
        <f>'Internal Pricelist'!K39</f>
        <v>4.0999999999999996</v>
      </c>
      <c r="K46" s="839">
        <f>'Internal Pricelist'!L39</f>
        <v>0</v>
      </c>
      <c r="L46" s="840">
        <f t="shared" si="0"/>
        <v>65.66</v>
      </c>
      <c r="M46" s="851" t="str">
        <f>'Internal Pricelist'!AA39</f>
        <v>INNER</v>
      </c>
      <c r="N46" s="841"/>
      <c r="O46" s="842">
        <f>'Internal Pricelist'!BM39</f>
        <v>12400911.379614368</v>
      </c>
      <c r="P46" s="843">
        <f t="shared" si="4"/>
        <v>1488109.3655537241</v>
      </c>
      <c r="Q46" s="844">
        <f t="shared" si="13"/>
        <v>1240091.1379614368</v>
      </c>
      <c r="R46" s="843">
        <f t="shared" si="14"/>
        <v>15129111.883129528</v>
      </c>
      <c r="S46" s="845">
        <f>'Internal Pricelist'!BS39</f>
        <v>0.15</v>
      </c>
      <c r="T46" s="844">
        <f t="shared" si="15"/>
        <v>2269366.7824694291</v>
      </c>
      <c r="U46" s="839">
        <f>'Internal Pricelist'!BU39</f>
        <v>50000</v>
      </c>
      <c r="V46" s="844">
        <f t="shared" si="5"/>
        <v>2219366.7824694291</v>
      </c>
      <c r="W46" s="846">
        <f>'Internal Pricelist'!BW39</f>
        <v>7</v>
      </c>
      <c r="X46" s="844">
        <f t="shared" si="6"/>
        <v>317052.3974956327</v>
      </c>
      <c r="Y46" s="847">
        <f t="shared" si="7"/>
        <v>0.85</v>
      </c>
      <c r="Z46" s="844">
        <f t="shared" si="8"/>
        <v>12859745.100660099</v>
      </c>
      <c r="AA46" s="844">
        <f t="shared" si="9"/>
        <v>115587.02452429285</v>
      </c>
      <c r="AC46" s="849">
        <f t="shared" si="10"/>
        <v>188865.54035355421</v>
      </c>
      <c r="AD46" s="873">
        <f t="shared" si="11"/>
        <v>0</v>
      </c>
      <c r="AG46" s="882">
        <f t="shared" si="18"/>
        <v>7</v>
      </c>
      <c r="AH46" s="853">
        <f t="shared" si="19"/>
        <v>2219366.7824694291</v>
      </c>
      <c r="AI46" s="854">
        <f t="shared" si="20"/>
        <v>0</v>
      </c>
      <c r="AK46" s="872">
        <f>O46-'Internal Pricelist'!AK46</f>
        <v>4659400.7600366408</v>
      </c>
      <c r="AL46" s="872">
        <f>P46-'Internal Pricelist'!BP46</f>
        <v>234441.54826459731</v>
      </c>
      <c r="AM46" s="872">
        <f>'Internal Pricelist'!BN46+'Internal Pricelist'!BO46</f>
        <v>1044723.1810742724</v>
      </c>
      <c r="AN46" s="872">
        <f t="shared" si="22"/>
        <v>-195367.95688716439</v>
      </c>
      <c r="AO46" s="872">
        <f>R46-'Internal Pricelist'!BQ46</f>
        <v>2383489.0740234051</v>
      </c>
      <c r="AS46" s="873">
        <f>'Internal Pricelist'!AK46-PriceLink_Fitted!O46</f>
        <v>-4659400.7600366408</v>
      </c>
      <c r="AT46" s="873">
        <f>'Internal Pricelist'!BP46-PriceLink_Fitted!P46</f>
        <v>-234441.54826459731</v>
      </c>
      <c r="AU46" s="849">
        <f>'Internal Pricelist'!BN46+'Internal Pricelist'!BO46</f>
        <v>1044723.1810742724</v>
      </c>
      <c r="AV46" s="873">
        <f>PriceLink_Fitted!Q46-PriceLink_Fitted!AU46</f>
        <v>195367.95688716439</v>
      </c>
      <c r="AW46" s="873">
        <f>'Internal Pricelist'!BQ46-PriceLink_Fitted!R46</f>
        <v>-2383489.0740234051</v>
      </c>
    </row>
    <row r="47" spans="1:49" x14ac:dyDescent="0.2">
      <c r="A47" s="835">
        <f t="shared" si="12"/>
        <v>34</v>
      </c>
      <c r="B47" s="836" t="str">
        <f>'Internal Pricelist'!H40</f>
        <v>6G</v>
      </c>
      <c r="C47" s="836" t="str">
        <f>'Internal Pricelist'!C40</f>
        <v>Unsold</v>
      </c>
      <c r="D47" s="836">
        <v>34</v>
      </c>
      <c r="E47" s="837" t="str">
        <f>'Internal Pricelist'!E40</f>
        <v>5th</v>
      </c>
      <c r="F47" s="838" t="str">
        <f>'Internal Pricelist'!F40</f>
        <v xml:space="preserve">6th </v>
      </c>
      <c r="G47" s="839" t="str">
        <f t="shared" si="3"/>
        <v>6G</v>
      </c>
      <c r="H47" s="839" t="str">
        <f>'Internal Pricelist'!I40</f>
        <v>2-BR</v>
      </c>
      <c r="I47" s="839">
        <f>'Internal Pricelist'!J40</f>
        <v>95.44</v>
      </c>
      <c r="J47" s="839">
        <f>'Internal Pricelist'!K40</f>
        <v>13.34</v>
      </c>
      <c r="K47" s="839">
        <f>'Internal Pricelist'!L40</f>
        <v>0</v>
      </c>
      <c r="L47" s="840">
        <f t="shared" si="0"/>
        <v>108.78</v>
      </c>
      <c r="M47" s="851" t="str">
        <f>'Internal Pricelist'!AA40</f>
        <v>CORNER</v>
      </c>
      <c r="N47" s="841"/>
      <c r="O47" s="842">
        <f>'Internal Pricelist'!BM40</f>
        <v>20228749.521819469</v>
      </c>
      <c r="P47" s="843">
        <f t="shared" si="4"/>
        <v>2427449.9426183361</v>
      </c>
      <c r="Q47" s="844">
        <f t="shared" si="13"/>
        <v>2022874.952181947</v>
      </c>
      <c r="R47" s="843">
        <f t="shared" si="14"/>
        <v>24679074.416619752</v>
      </c>
      <c r="S47" s="845">
        <f>'Internal Pricelist'!BS40</f>
        <v>0.15</v>
      </c>
      <c r="T47" s="844">
        <f t="shared" si="15"/>
        <v>3701861.1624929626</v>
      </c>
      <c r="U47" s="839">
        <f>'Internal Pricelist'!BU40</f>
        <v>50000</v>
      </c>
      <c r="V47" s="844">
        <f t="shared" si="5"/>
        <v>3651861.1624929626</v>
      </c>
      <c r="W47" s="846">
        <f>'Internal Pricelist'!BW40</f>
        <v>7</v>
      </c>
      <c r="X47" s="844">
        <f t="shared" si="6"/>
        <v>521694.45178470894</v>
      </c>
      <c r="Y47" s="847">
        <f t="shared" si="7"/>
        <v>0.85</v>
      </c>
      <c r="Z47" s="844">
        <f t="shared" si="8"/>
        <v>20977213.254126787</v>
      </c>
      <c r="AA47" s="844">
        <f t="shared" si="9"/>
        <v>188549.12316509392</v>
      </c>
      <c r="AC47" s="849">
        <f t="shared" si="10"/>
        <v>185960.19049291662</v>
      </c>
      <c r="AD47" s="873">
        <f t="shared" si="11"/>
        <v>0</v>
      </c>
      <c r="AG47" s="882">
        <f t="shared" si="18"/>
        <v>7</v>
      </c>
      <c r="AH47" s="853">
        <f t="shared" si="19"/>
        <v>3651861.1624929626</v>
      </c>
      <c r="AI47" s="854">
        <f t="shared" si="20"/>
        <v>0</v>
      </c>
      <c r="AK47" s="872">
        <f>O47-'Internal Pricelist'!AK47</f>
        <v>4623281.2923529167</v>
      </c>
      <c r="AL47" s="872">
        <f>P47-'Internal Pricelist'!BP47</f>
        <v>-99714.87758277636</v>
      </c>
      <c r="AM47" s="872">
        <f>'Internal Pricelist'!BN47+'Internal Pricelist'!BO47</f>
        <v>2105970.6835009269</v>
      </c>
      <c r="AN47" s="872">
        <f t="shared" si="22"/>
        <v>83095.73131897999</v>
      </c>
      <c r="AO47" s="872">
        <f>R47-'Internal Pricelist'!BQ47</f>
        <v>-1013767.9220915586</v>
      </c>
      <c r="AS47" s="873">
        <f>'Internal Pricelist'!AK47-PriceLink_Fitted!O47</f>
        <v>-4623281.2923529167</v>
      </c>
      <c r="AT47" s="873">
        <f>'Internal Pricelist'!BP47-PriceLink_Fitted!P47</f>
        <v>99714.87758277636</v>
      </c>
      <c r="AU47" s="849">
        <f>'Internal Pricelist'!BN47+'Internal Pricelist'!BO47</f>
        <v>2105970.6835009269</v>
      </c>
      <c r="AV47" s="873">
        <f>PriceLink_Fitted!Q47-PriceLink_Fitted!AU47</f>
        <v>-83095.73131897999</v>
      </c>
      <c r="AW47" s="873">
        <f>'Internal Pricelist'!BQ47-PriceLink_Fitted!R47</f>
        <v>1013767.9220915586</v>
      </c>
    </row>
    <row r="48" spans="1:49" x14ac:dyDescent="0.2">
      <c r="A48" s="835">
        <f t="shared" si="12"/>
        <v>35</v>
      </c>
      <c r="B48" s="836" t="str">
        <f>'Internal Pricelist'!H41</f>
        <v>6H</v>
      </c>
      <c r="C48" s="836" t="str">
        <f>'Internal Pricelist'!C41</f>
        <v>Unsold</v>
      </c>
      <c r="D48" s="836">
        <v>35</v>
      </c>
      <c r="E48" s="837" t="str">
        <f>'Internal Pricelist'!E41</f>
        <v>5th</v>
      </c>
      <c r="F48" s="838" t="str">
        <f>'Internal Pricelist'!F41</f>
        <v xml:space="preserve">6th </v>
      </c>
      <c r="G48" s="839" t="str">
        <f t="shared" si="3"/>
        <v>6H</v>
      </c>
      <c r="H48" s="839" t="str">
        <f>'Internal Pricelist'!I41</f>
        <v>1-BR</v>
      </c>
      <c r="I48" s="839">
        <f>'Internal Pricelist'!J41</f>
        <v>69.2</v>
      </c>
      <c r="J48" s="839">
        <f>'Internal Pricelist'!K41</f>
        <v>4.7699999999999996</v>
      </c>
      <c r="K48" s="839">
        <f>'Internal Pricelist'!L41</f>
        <v>0</v>
      </c>
      <c r="L48" s="840">
        <f t="shared" si="0"/>
        <v>73.97</v>
      </c>
      <c r="M48" s="851" t="str">
        <f>'Internal Pricelist'!AA41</f>
        <v>INNER</v>
      </c>
      <c r="N48" s="841"/>
      <c r="O48" s="842">
        <f>'Internal Pricelist'!BM41</f>
        <v>13955769.135971382</v>
      </c>
      <c r="P48" s="843">
        <f t="shared" si="4"/>
        <v>1674692.2963165657</v>
      </c>
      <c r="Q48" s="844">
        <f t="shared" si="13"/>
        <v>1395576.9135971384</v>
      </c>
      <c r="R48" s="843">
        <f t="shared" si="14"/>
        <v>17026038.345885087</v>
      </c>
      <c r="S48" s="845">
        <f>'Internal Pricelist'!BS41</f>
        <v>0.15</v>
      </c>
      <c r="T48" s="844">
        <f t="shared" si="15"/>
        <v>2553905.7518827631</v>
      </c>
      <c r="U48" s="839">
        <f>'Internal Pricelist'!BU41</f>
        <v>50000</v>
      </c>
      <c r="V48" s="844">
        <f t="shared" si="5"/>
        <v>2503905.7518827631</v>
      </c>
      <c r="W48" s="846">
        <f>'Internal Pricelist'!BW41</f>
        <v>7</v>
      </c>
      <c r="X48" s="844">
        <f t="shared" si="6"/>
        <v>357700.82169753761</v>
      </c>
      <c r="Y48" s="847">
        <f t="shared" si="7"/>
        <v>0.85</v>
      </c>
      <c r="Z48" s="844">
        <f t="shared" si="8"/>
        <v>14472132.594002323</v>
      </c>
      <c r="AA48" s="844">
        <f t="shared" si="9"/>
        <v>130079.61915014156</v>
      </c>
      <c r="AC48" s="849">
        <f t="shared" si="10"/>
        <v>188667.96182197353</v>
      </c>
      <c r="AD48" s="873">
        <f t="shared" si="11"/>
        <v>0</v>
      </c>
      <c r="AG48" s="882">
        <f t="shared" si="18"/>
        <v>7</v>
      </c>
      <c r="AH48" s="853">
        <f t="shared" si="19"/>
        <v>2503905.7518827631</v>
      </c>
      <c r="AI48" s="854">
        <f t="shared" si="20"/>
        <v>0</v>
      </c>
      <c r="AK48" s="872">
        <f>O48-'Internal Pricelist'!AK48</f>
        <v>5857121.4343057629</v>
      </c>
      <c r="AL48" s="872">
        <f>P48-'Internal Pricelist'!BP48</f>
        <v>363189.3499194514</v>
      </c>
      <c r="AM48" s="872">
        <f>'Internal Pricelist'!BN48+'Internal Pricelist'!BO48</f>
        <v>1092919.1219975953</v>
      </c>
      <c r="AN48" s="872">
        <f t="shared" si="22"/>
        <v>-302657.79159954307</v>
      </c>
      <c r="AO48" s="872">
        <f>R48-'Internal Pricelist'!BQ48</f>
        <v>3692425.0575144235</v>
      </c>
      <c r="AS48" s="873">
        <f>'Internal Pricelist'!AK48-PriceLink_Fitted!O48</f>
        <v>-5857121.4343057629</v>
      </c>
      <c r="AT48" s="873">
        <f>'Internal Pricelist'!BP48-PriceLink_Fitted!P48</f>
        <v>-363189.3499194514</v>
      </c>
      <c r="AU48" s="849">
        <f>'Internal Pricelist'!BN48+'Internal Pricelist'!BO48</f>
        <v>1092919.1219975953</v>
      </c>
      <c r="AV48" s="873">
        <f>PriceLink_Fitted!Q48-PriceLink_Fitted!AU48</f>
        <v>302657.79159954307</v>
      </c>
      <c r="AW48" s="873">
        <f>'Internal Pricelist'!BQ48-PriceLink_Fitted!R48</f>
        <v>-3692425.0575144235</v>
      </c>
    </row>
    <row r="49" spans="1:49" x14ac:dyDescent="0.2">
      <c r="A49" s="835">
        <f t="shared" si="12"/>
        <v>36</v>
      </c>
      <c r="B49" s="836" t="str">
        <f>'Internal Pricelist'!H42</f>
        <v>6I</v>
      </c>
      <c r="C49" s="836" t="str">
        <f>'Internal Pricelist'!C42</f>
        <v>Unsold</v>
      </c>
      <c r="D49" s="836">
        <v>36</v>
      </c>
      <c r="E49" s="837" t="str">
        <f>'Internal Pricelist'!E42</f>
        <v>5th</v>
      </c>
      <c r="F49" s="838" t="str">
        <f>'Internal Pricelist'!F42</f>
        <v xml:space="preserve">6th </v>
      </c>
      <c r="G49" s="839" t="str">
        <f t="shared" si="3"/>
        <v>6I</v>
      </c>
      <c r="H49" s="839" t="str">
        <f>'Internal Pricelist'!I42</f>
        <v>2-BR</v>
      </c>
      <c r="I49" s="839">
        <f>'Internal Pricelist'!J42</f>
        <v>69.36</v>
      </c>
      <c r="J49" s="839">
        <f>'Internal Pricelist'!K42</f>
        <v>4.79</v>
      </c>
      <c r="K49" s="839">
        <f>'Internal Pricelist'!L42</f>
        <v>0</v>
      </c>
      <c r="L49" s="840">
        <f t="shared" si="0"/>
        <v>74.150000000000006</v>
      </c>
      <c r="M49" s="851" t="str">
        <f>'Internal Pricelist'!AA42</f>
        <v>INNER</v>
      </c>
      <c r="N49" s="841"/>
      <c r="O49" s="842">
        <f>'Internal Pricelist'!BM42</f>
        <v>13988917.608187061</v>
      </c>
      <c r="P49" s="843">
        <f t="shared" si="4"/>
        <v>1678670.1129824473</v>
      </c>
      <c r="Q49" s="844">
        <f t="shared" si="13"/>
        <v>1398891.7608187061</v>
      </c>
      <c r="R49" s="843">
        <f t="shared" si="14"/>
        <v>17066479.481988214</v>
      </c>
      <c r="S49" s="845">
        <f>'Internal Pricelist'!BS42</f>
        <v>0.15</v>
      </c>
      <c r="T49" s="844">
        <f t="shared" si="15"/>
        <v>2559971.9222982321</v>
      </c>
      <c r="U49" s="839">
        <f>'Internal Pricelist'!BU42</f>
        <v>50000</v>
      </c>
      <c r="V49" s="844">
        <f t="shared" si="5"/>
        <v>2509971.9222982321</v>
      </c>
      <c r="W49" s="846">
        <f>'Internal Pricelist'!BW42</f>
        <v>7</v>
      </c>
      <c r="X49" s="844">
        <f t="shared" si="6"/>
        <v>358567.41747117601</v>
      </c>
      <c r="Y49" s="847">
        <f t="shared" si="7"/>
        <v>0.85</v>
      </c>
      <c r="Z49" s="844">
        <f t="shared" si="8"/>
        <v>14506507.559689982</v>
      </c>
      <c r="AA49" s="844">
        <f t="shared" si="9"/>
        <v>130388.59105983806</v>
      </c>
      <c r="AC49" s="849">
        <f t="shared" si="10"/>
        <v>188657.01427089763</v>
      </c>
      <c r="AD49" s="873">
        <f t="shared" si="11"/>
        <v>0</v>
      </c>
      <c r="AG49" s="882">
        <f t="shared" si="18"/>
        <v>7</v>
      </c>
      <c r="AH49" s="853">
        <f t="shared" si="19"/>
        <v>2509971.9222982321</v>
      </c>
      <c r="AI49" s="854">
        <f t="shared" si="20"/>
        <v>0</v>
      </c>
      <c r="AK49" s="872">
        <f>O49-'Internal Pricelist'!AK49</f>
        <v>5212608.5904590469</v>
      </c>
      <c r="AL49" s="872">
        <f>P49-'Internal Pricelist'!BP49</f>
        <v>257426.02887756564</v>
      </c>
      <c r="AM49" s="872">
        <f>'Internal Pricelist'!BN49+'Internal Pricelist'!BO49</f>
        <v>1184370.0700874014</v>
      </c>
      <c r="AN49" s="872">
        <f t="shared" si="22"/>
        <v>-214521.6907313047</v>
      </c>
      <c r="AO49" s="872">
        <f>R49-'Internal Pricelist'!BQ49</f>
        <v>2617164.6269219182</v>
      </c>
      <c r="AS49" s="873">
        <f>'Internal Pricelist'!AK49-PriceLink_Fitted!O49</f>
        <v>-5212608.5904590469</v>
      </c>
      <c r="AT49" s="873">
        <f>'Internal Pricelist'!BP49-PriceLink_Fitted!P49</f>
        <v>-257426.02887756564</v>
      </c>
      <c r="AU49" s="849">
        <f>'Internal Pricelist'!BN49+'Internal Pricelist'!BO49</f>
        <v>1184370.0700874014</v>
      </c>
      <c r="AV49" s="873">
        <f>PriceLink_Fitted!Q49-PriceLink_Fitted!AU49</f>
        <v>214521.6907313047</v>
      </c>
      <c r="AW49" s="873">
        <f>'Internal Pricelist'!BQ49-PriceLink_Fitted!R49</f>
        <v>-2617164.6269219182</v>
      </c>
    </row>
    <row r="50" spans="1:49" x14ac:dyDescent="0.2">
      <c r="A50" s="835">
        <f t="shared" si="12"/>
        <v>37</v>
      </c>
      <c r="B50" s="836" t="str">
        <f>'Internal Pricelist'!H43</f>
        <v>6J</v>
      </c>
      <c r="C50" s="836" t="str">
        <f>'Internal Pricelist'!C43</f>
        <v>Unsold</v>
      </c>
      <c r="D50" s="836">
        <v>37</v>
      </c>
      <c r="E50" s="837" t="str">
        <f>'Internal Pricelist'!E43</f>
        <v>5th</v>
      </c>
      <c r="F50" s="838" t="str">
        <f>'Internal Pricelist'!F43</f>
        <v xml:space="preserve">6th </v>
      </c>
      <c r="G50" s="839" t="str">
        <f t="shared" si="3"/>
        <v>6J</v>
      </c>
      <c r="H50" s="839" t="str">
        <f>'Internal Pricelist'!I43</f>
        <v>1-BR</v>
      </c>
      <c r="I50" s="839">
        <f>'Internal Pricelist'!J43</f>
        <v>69.36</v>
      </c>
      <c r="J50" s="839">
        <f>'Internal Pricelist'!K43</f>
        <v>4.79</v>
      </c>
      <c r="K50" s="839">
        <f>'Internal Pricelist'!L43</f>
        <v>0</v>
      </c>
      <c r="L50" s="840">
        <f t="shared" si="0"/>
        <v>74.150000000000006</v>
      </c>
      <c r="M50" s="851" t="str">
        <f>'Internal Pricelist'!AA43</f>
        <v>INNER</v>
      </c>
      <c r="N50" s="841"/>
      <c r="O50" s="842">
        <f>'Internal Pricelist'!BM43</f>
        <v>13988917.608187061</v>
      </c>
      <c r="P50" s="843">
        <f t="shared" si="4"/>
        <v>1678670.1129824473</v>
      </c>
      <c r="Q50" s="844">
        <f t="shared" si="13"/>
        <v>1398891.7608187061</v>
      </c>
      <c r="R50" s="843">
        <f t="shared" si="14"/>
        <v>17066479.481988214</v>
      </c>
      <c r="S50" s="845">
        <f>'Internal Pricelist'!BS43</f>
        <v>0.15</v>
      </c>
      <c r="T50" s="844">
        <f t="shared" si="15"/>
        <v>2559971.9222982321</v>
      </c>
      <c r="U50" s="839">
        <f>'Internal Pricelist'!BU43</f>
        <v>50000</v>
      </c>
      <c r="V50" s="844">
        <f t="shared" si="5"/>
        <v>2509971.9222982321</v>
      </c>
      <c r="W50" s="846">
        <f>'Internal Pricelist'!BW43</f>
        <v>7</v>
      </c>
      <c r="X50" s="844">
        <f t="shared" si="6"/>
        <v>358567.41747117601</v>
      </c>
      <c r="Y50" s="847">
        <f t="shared" si="7"/>
        <v>0.85</v>
      </c>
      <c r="Z50" s="844">
        <f t="shared" si="8"/>
        <v>14506507.559689982</v>
      </c>
      <c r="AA50" s="844">
        <f t="shared" si="9"/>
        <v>130388.59105983806</v>
      </c>
      <c r="AC50" s="849">
        <f t="shared" si="10"/>
        <v>188657.01427089763</v>
      </c>
      <c r="AD50" s="873">
        <f t="shared" si="11"/>
        <v>0</v>
      </c>
      <c r="AG50" s="882">
        <f t="shared" si="18"/>
        <v>7</v>
      </c>
      <c r="AH50" s="853">
        <f t="shared" si="19"/>
        <v>2509971.9222982321</v>
      </c>
      <c r="AI50" s="854">
        <f t="shared" si="20"/>
        <v>0</v>
      </c>
      <c r="AK50" s="872">
        <f>O50-'Internal Pricelist'!AK50</f>
        <v>4531891.2511807326</v>
      </c>
      <c r="AL50" s="872">
        <f>P50-'Internal Pricelist'!BP50</f>
        <v>147189.99577496503</v>
      </c>
      <c r="AM50" s="872">
        <f>'Internal Pricelist'!BN50+'Internal Pricelist'!BO50</f>
        <v>1276233.4310062353</v>
      </c>
      <c r="AN50" s="872">
        <f t="shared" si="22"/>
        <v>-122658.32981247082</v>
      </c>
      <c r="AO50" s="872">
        <f>R50-'Internal Pricelist'!BQ50</f>
        <v>1496431.6237121429</v>
      </c>
      <c r="AS50" s="873">
        <f>'Internal Pricelist'!AK50-PriceLink_Fitted!O50</f>
        <v>-4531891.2511807326</v>
      </c>
      <c r="AT50" s="873">
        <f>'Internal Pricelist'!BP50-PriceLink_Fitted!P50</f>
        <v>-147189.99577496503</v>
      </c>
      <c r="AU50" s="849">
        <f>'Internal Pricelist'!BN50+'Internal Pricelist'!BO50</f>
        <v>1276233.4310062353</v>
      </c>
      <c r="AV50" s="873">
        <f>PriceLink_Fitted!Q50-PriceLink_Fitted!AU50</f>
        <v>122658.32981247082</v>
      </c>
      <c r="AW50" s="873">
        <f>'Internal Pricelist'!BQ50-PriceLink_Fitted!R50</f>
        <v>-1496431.6237121429</v>
      </c>
    </row>
    <row r="51" spans="1:49" x14ac:dyDescent="0.2">
      <c r="A51" s="835">
        <f t="shared" si="12"/>
        <v>38</v>
      </c>
      <c r="B51" s="836" t="str">
        <f>'Internal Pricelist'!H44</f>
        <v>6K</v>
      </c>
      <c r="C51" s="836" t="str">
        <f>'Internal Pricelist'!C44</f>
        <v>Unsold</v>
      </c>
      <c r="D51" s="836">
        <v>38</v>
      </c>
      <c r="E51" s="837" t="str">
        <f>'Internal Pricelist'!E44</f>
        <v>5th</v>
      </c>
      <c r="F51" s="838" t="str">
        <f>'Internal Pricelist'!F44</f>
        <v xml:space="preserve">6th </v>
      </c>
      <c r="G51" s="839" t="str">
        <f t="shared" si="3"/>
        <v>6K</v>
      </c>
      <c r="H51" s="839" t="str">
        <f>'Internal Pricelist'!I44</f>
        <v>2-BR</v>
      </c>
      <c r="I51" s="839">
        <f>'Internal Pricelist'!J44</f>
        <v>69.36</v>
      </c>
      <c r="J51" s="839">
        <f>'Internal Pricelist'!K44</f>
        <v>4.79</v>
      </c>
      <c r="K51" s="839">
        <f>'Internal Pricelist'!L44</f>
        <v>0</v>
      </c>
      <c r="L51" s="840">
        <f t="shared" si="0"/>
        <v>74.150000000000006</v>
      </c>
      <c r="M51" s="851" t="str">
        <f>'Internal Pricelist'!AA44</f>
        <v>INNER</v>
      </c>
      <c r="N51" s="841"/>
      <c r="O51" s="842">
        <f>'Internal Pricelist'!BM44</f>
        <v>13988917.608187061</v>
      </c>
      <c r="P51" s="843">
        <f t="shared" si="4"/>
        <v>1678670.1129824473</v>
      </c>
      <c r="Q51" s="844">
        <f t="shared" si="13"/>
        <v>1398891.7608187061</v>
      </c>
      <c r="R51" s="843">
        <f t="shared" si="14"/>
        <v>17066479.481988214</v>
      </c>
      <c r="S51" s="845">
        <f>'Internal Pricelist'!BS44</f>
        <v>0.15</v>
      </c>
      <c r="T51" s="844">
        <f t="shared" si="15"/>
        <v>2559971.9222982321</v>
      </c>
      <c r="U51" s="839">
        <f>'Internal Pricelist'!BU44</f>
        <v>50000</v>
      </c>
      <c r="V51" s="844">
        <f t="shared" si="5"/>
        <v>2509971.9222982321</v>
      </c>
      <c r="W51" s="846">
        <f>'Internal Pricelist'!BW44</f>
        <v>7</v>
      </c>
      <c r="X51" s="844">
        <f t="shared" si="6"/>
        <v>358567.41747117601</v>
      </c>
      <c r="Y51" s="847">
        <f t="shared" si="7"/>
        <v>0.85</v>
      </c>
      <c r="Z51" s="844">
        <f t="shared" si="8"/>
        <v>14506507.559689982</v>
      </c>
      <c r="AA51" s="844">
        <f t="shared" si="9"/>
        <v>130388.59105983806</v>
      </c>
      <c r="AC51" s="849">
        <f t="shared" si="10"/>
        <v>188657.01427089763</v>
      </c>
      <c r="AD51" s="873">
        <f t="shared" si="11"/>
        <v>0</v>
      </c>
      <c r="AG51" s="882">
        <f t="shared" si="18"/>
        <v>7</v>
      </c>
      <c r="AH51" s="853">
        <f t="shared" si="19"/>
        <v>2509971.9222982321</v>
      </c>
      <c r="AI51" s="854">
        <f t="shared" si="20"/>
        <v>0</v>
      </c>
      <c r="AK51" s="872">
        <f>O51-'Internal Pricelist'!AK51</f>
        <v>801042.30937010422</v>
      </c>
      <c r="AL51" s="872">
        <f>P51-'Internal Pricelist'!BP51</f>
        <v>-456987.338515162</v>
      </c>
      <c r="AM51" s="872">
        <f>'Internal Pricelist'!BN51+'Internal Pricelist'!BO51</f>
        <v>1779714.5429146744</v>
      </c>
      <c r="AN51" s="872">
        <f t="shared" si="22"/>
        <v>380822.78209596826</v>
      </c>
      <c r="AO51" s="872">
        <f>R51-'Internal Pricelist'!BQ51</f>
        <v>-4646037.9415708147</v>
      </c>
      <c r="AS51" s="873">
        <f>'Internal Pricelist'!AK51-PriceLink_Fitted!O51</f>
        <v>-801042.30937010422</v>
      </c>
      <c r="AT51" s="873">
        <f>'Internal Pricelist'!BP51-PriceLink_Fitted!P51</f>
        <v>456987.338515162</v>
      </c>
      <c r="AU51" s="849">
        <f>'Internal Pricelist'!BN51+'Internal Pricelist'!BO51</f>
        <v>1779714.5429146744</v>
      </c>
      <c r="AV51" s="873">
        <f>PriceLink_Fitted!Q51-PriceLink_Fitted!AU51</f>
        <v>-380822.78209596826</v>
      </c>
      <c r="AW51" s="873">
        <f>'Internal Pricelist'!BQ51-PriceLink_Fitted!R51</f>
        <v>4646037.9415708147</v>
      </c>
    </row>
    <row r="52" spans="1:49" hidden="1" x14ac:dyDescent="0.2">
      <c r="A52" s="835">
        <f t="shared" si="12"/>
        <v>39</v>
      </c>
      <c r="B52" s="836" t="str">
        <f>'Internal Pricelist'!H45</f>
        <v>6L</v>
      </c>
      <c r="C52" s="836" t="str">
        <f>'Internal Pricelist'!C45</f>
        <v>Sold</v>
      </c>
      <c r="D52" s="836">
        <v>39</v>
      </c>
      <c r="E52" s="837" t="str">
        <f>'Internal Pricelist'!E45</f>
        <v>5th</v>
      </c>
      <c r="F52" s="838" t="str">
        <f>'Internal Pricelist'!F45</f>
        <v xml:space="preserve">6th </v>
      </c>
      <c r="G52" s="839" t="str">
        <f t="shared" si="3"/>
        <v>6L</v>
      </c>
      <c r="H52" s="839" t="str">
        <f>'Internal Pricelist'!I45</f>
        <v>2-BR</v>
      </c>
      <c r="I52" s="839">
        <f>'Internal Pricelist'!J45</f>
        <v>83.12</v>
      </c>
      <c r="J52" s="839">
        <f>'Internal Pricelist'!K45</f>
        <v>13.04</v>
      </c>
      <c r="K52" s="839">
        <f>'Internal Pricelist'!L45</f>
        <v>0</v>
      </c>
      <c r="L52" s="840">
        <f t="shared" si="0"/>
        <v>96.16</v>
      </c>
      <c r="M52" s="851" t="str">
        <f>'Internal Pricelist'!AA45</f>
        <v>CORNER</v>
      </c>
      <c r="N52" s="841"/>
      <c r="O52" s="842">
        <f>'Internal Pricelist'!BM45</f>
        <v>17761257.113693465</v>
      </c>
      <c r="P52" s="843">
        <f t="shared" si="4"/>
        <v>2131350.8536432157</v>
      </c>
      <c r="Q52" s="844">
        <f t="shared" si="13"/>
        <v>1776125.7113693466</v>
      </c>
      <c r="R52" s="843">
        <f t="shared" si="14"/>
        <v>21668733.678706028</v>
      </c>
      <c r="S52" s="845">
        <f>'Internal Pricelist'!BS45</f>
        <v>0.15</v>
      </c>
      <c r="T52" s="844">
        <f t="shared" si="15"/>
        <v>3250310.0518059041</v>
      </c>
      <c r="U52" s="839">
        <f>'Internal Pricelist'!BU45</f>
        <v>50000</v>
      </c>
      <c r="V52" s="844">
        <f t="shared" si="5"/>
        <v>3200310.0518059041</v>
      </c>
      <c r="W52" s="846">
        <f>'Internal Pricelist'!BW45</f>
        <v>7</v>
      </c>
      <c r="X52" s="844">
        <f t="shared" si="6"/>
        <v>457187.15025798633</v>
      </c>
      <c r="Y52" s="847">
        <f t="shared" si="7"/>
        <v>0.85</v>
      </c>
      <c r="Z52" s="844">
        <f t="shared" si="8"/>
        <v>18418423.626900122</v>
      </c>
      <c r="AA52" s="844">
        <f t="shared" si="9"/>
        <v>165549.9986039412</v>
      </c>
      <c r="AC52" s="849">
        <f t="shared" si="10"/>
        <v>184705.25284622988</v>
      </c>
      <c r="AD52" s="873">
        <f t="shared" si="11"/>
        <v>0</v>
      </c>
      <c r="AG52" s="882">
        <f t="shared" si="18"/>
        <v>7</v>
      </c>
      <c r="AH52" s="853">
        <f t="shared" si="19"/>
        <v>3200310.0518059041</v>
      </c>
      <c r="AI52" s="854">
        <f t="shared" si="20"/>
        <v>0</v>
      </c>
      <c r="AK52" s="872">
        <f>O52-'Internal Pricelist'!AK52</f>
        <v>8536574.4251510929</v>
      </c>
      <c r="AL52" s="872">
        <f>P52-'Internal Pricelist'!BP52</f>
        <v>637496.69782982185</v>
      </c>
      <c r="AM52" s="872">
        <f>'Internal Pricelist'!BN52+'Internal Pricelist'!BO52</f>
        <v>1244878.4631778284</v>
      </c>
      <c r="AN52" s="872">
        <f t="shared" si="22"/>
        <v>-531247.24819151824</v>
      </c>
      <c r="AO52" s="872">
        <f>R52-'Internal Pricelist'!BQ52</f>
        <v>6481216.4279365223</v>
      </c>
      <c r="AS52" s="873">
        <f>'Internal Pricelist'!AK52-PriceLink_Fitted!O52</f>
        <v>-8536574.4251510929</v>
      </c>
      <c r="AT52" s="873">
        <f>'Internal Pricelist'!BP52-PriceLink_Fitted!P52</f>
        <v>-637496.69782982185</v>
      </c>
      <c r="AU52" s="849">
        <f>'Internal Pricelist'!BN52+'Internal Pricelist'!BO52</f>
        <v>1244878.4631778284</v>
      </c>
      <c r="AV52" s="873">
        <f>PriceLink_Fitted!Q52-PriceLink_Fitted!AU52</f>
        <v>531247.24819151824</v>
      </c>
      <c r="AW52" s="873">
        <f>'Internal Pricelist'!BQ52-PriceLink_Fitted!R52</f>
        <v>-6481216.4279365223</v>
      </c>
    </row>
    <row r="53" spans="1:49" hidden="1" x14ac:dyDescent="0.2">
      <c r="A53" s="835">
        <f t="shared" si="12"/>
        <v>40</v>
      </c>
      <c r="B53" s="836" t="str">
        <f>'Internal Pricelist'!H46</f>
        <v>6M</v>
      </c>
      <c r="C53" s="836" t="str">
        <f>'Internal Pricelist'!C46</f>
        <v>Sold</v>
      </c>
      <c r="D53" s="836">
        <v>40</v>
      </c>
      <c r="E53" s="837" t="str">
        <f>'Internal Pricelist'!E46</f>
        <v>5th</v>
      </c>
      <c r="F53" s="838" t="str">
        <f>'Internal Pricelist'!F46</f>
        <v xml:space="preserve">6th </v>
      </c>
      <c r="G53" s="839" t="str">
        <f t="shared" si="3"/>
        <v>6M</v>
      </c>
      <c r="H53" s="839" t="str">
        <f>'Internal Pricelist'!I46</f>
        <v>1-BR</v>
      </c>
      <c r="I53" s="839">
        <f>'Internal Pricelist'!J46</f>
        <v>52.04</v>
      </c>
      <c r="J53" s="839">
        <f>'Internal Pricelist'!K46</f>
        <v>3.1</v>
      </c>
      <c r="K53" s="839">
        <f>'Internal Pricelist'!L46</f>
        <v>0</v>
      </c>
      <c r="L53" s="840">
        <f t="shared" si="0"/>
        <v>55.14</v>
      </c>
      <c r="M53" s="851" t="str">
        <f>'Internal Pricelist'!AA46</f>
        <v>INNER</v>
      </c>
      <c r="N53" s="841"/>
      <c r="O53" s="842">
        <f>'Internal Pricelist'!BM46</f>
        <v>10447231.810742725</v>
      </c>
      <c r="P53" s="843">
        <f t="shared" si="4"/>
        <v>1253667.8172891268</v>
      </c>
      <c r="Q53" s="844">
        <f t="shared" si="13"/>
        <v>1044723.1810742725</v>
      </c>
      <c r="R53" s="843">
        <f t="shared" si="14"/>
        <v>12745622.809106125</v>
      </c>
      <c r="S53" s="845">
        <f>'Internal Pricelist'!BS46</f>
        <v>0.15</v>
      </c>
      <c r="T53" s="844">
        <f t="shared" si="15"/>
        <v>1911843.4213659186</v>
      </c>
      <c r="U53" s="839">
        <f>'Internal Pricelist'!BU46</f>
        <v>50000</v>
      </c>
      <c r="V53" s="844">
        <f t="shared" si="5"/>
        <v>1861843.4213659186</v>
      </c>
      <c r="W53" s="846">
        <f>'Internal Pricelist'!BW46</f>
        <v>7</v>
      </c>
      <c r="X53" s="844">
        <f t="shared" si="6"/>
        <v>265977.63162370265</v>
      </c>
      <c r="Y53" s="847">
        <f t="shared" si="7"/>
        <v>0.85</v>
      </c>
      <c r="Z53" s="844">
        <f t="shared" si="8"/>
        <v>10833779.387740206</v>
      </c>
      <c r="AA53" s="844">
        <f t="shared" si="9"/>
        <v>97377.071938791938</v>
      </c>
      <c r="AC53" s="849">
        <f t="shared" si="10"/>
        <v>189467.38866054994</v>
      </c>
      <c r="AD53" s="873">
        <f t="shared" si="11"/>
        <v>0</v>
      </c>
      <c r="AG53" s="882">
        <f t="shared" si="18"/>
        <v>7</v>
      </c>
      <c r="AH53" s="853">
        <f t="shared" si="19"/>
        <v>1861843.4213659186</v>
      </c>
      <c r="AI53" s="854">
        <f t="shared" si="20"/>
        <v>0</v>
      </c>
      <c r="AK53" s="872">
        <f>O53-'Internal Pricelist'!AK53</f>
        <v>-4601259.4930609986</v>
      </c>
      <c r="AL53" s="872">
        <f>P53-'Internal Pricelist'!BP53</f>
        <v>-1183299.6136698562</v>
      </c>
      <c r="AM53" s="872">
        <f>'Internal Pricelist'!BN53+'Internal Pricelist'!BO53</f>
        <v>2030806.1924658194</v>
      </c>
      <c r="AN53" s="872">
        <f t="shared" si="22"/>
        <v>986083.01139154693</v>
      </c>
      <c r="AO53" s="872">
        <f>R53-'Internal Pricelist'!BQ53</f>
        <v>-12030212.738976872</v>
      </c>
      <c r="AS53" s="873">
        <f>'Internal Pricelist'!AK53-PriceLink_Fitted!O53</f>
        <v>4601259.4930609986</v>
      </c>
      <c r="AT53" s="873">
        <f>'Internal Pricelist'!BP53-PriceLink_Fitted!P53</f>
        <v>1183299.6136698562</v>
      </c>
      <c r="AU53" s="849">
        <f>'Internal Pricelist'!BN53+'Internal Pricelist'!BO53</f>
        <v>2030806.1924658194</v>
      </c>
      <c r="AV53" s="873">
        <f>PriceLink_Fitted!Q53-PriceLink_Fitted!AU53</f>
        <v>-986083.01139154693</v>
      </c>
      <c r="AW53" s="873">
        <f>'Internal Pricelist'!BQ53-PriceLink_Fitted!R53</f>
        <v>12030212.738976872</v>
      </c>
    </row>
    <row r="54" spans="1:49" x14ac:dyDescent="0.2">
      <c r="A54" s="835">
        <f t="shared" si="12"/>
        <v>41</v>
      </c>
      <c r="B54" s="836" t="str">
        <f>'Internal Pricelist'!H47</f>
        <v>7A</v>
      </c>
      <c r="C54" s="836" t="str">
        <f>'Internal Pricelist'!C47</f>
        <v>Unsold</v>
      </c>
      <c r="D54" s="836">
        <v>41</v>
      </c>
      <c r="E54" s="837" t="str">
        <f>'Internal Pricelist'!E47</f>
        <v xml:space="preserve">6th </v>
      </c>
      <c r="F54" s="838" t="str">
        <f>'Internal Pricelist'!F47</f>
        <v>7th</v>
      </c>
      <c r="G54" s="839" t="str">
        <f t="shared" si="3"/>
        <v>7A</v>
      </c>
      <c r="H54" s="839" t="str">
        <f>'Internal Pricelist'!I47</f>
        <v>3-BR</v>
      </c>
      <c r="I54" s="839">
        <f>'Internal Pricelist'!J47</f>
        <v>99.98</v>
      </c>
      <c r="J54" s="839">
        <f>'Internal Pricelist'!K47</f>
        <v>10.29</v>
      </c>
      <c r="K54" s="839">
        <f>'Internal Pricelist'!L47</f>
        <v>0</v>
      </c>
      <c r="L54" s="840">
        <f t="shared" si="0"/>
        <v>110.27000000000001</v>
      </c>
      <c r="M54" s="851" t="str">
        <f>'Internal Pricelist'!AA47</f>
        <v>CORNER</v>
      </c>
      <c r="N54" s="841"/>
      <c r="O54" s="842">
        <f>'Internal Pricelist'!BM47</f>
        <v>21059706.835009269</v>
      </c>
      <c r="P54" s="843">
        <f t="shared" si="4"/>
        <v>2527164.8202011124</v>
      </c>
      <c r="Q54" s="844">
        <f t="shared" si="13"/>
        <v>2105970.6835009269</v>
      </c>
      <c r="R54" s="843">
        <f t="shared" si="14"/>
        <v>25692842.33871131</v>
      </c>
      <c r="S54" s="845">
        <f>'Internal Pricelist'!BS47</f>
        <v>0.15</v>
      </c>
      <c r="T54" s="844">
        <f t="shared" si="15"/>
        <v>3853926.3508066963</v>
      </c>
      <c r="U54" s="839">
        <f>'Internal Pricelist'!BU47</f>
        <v>50000</v>
      </c>
      <c r="V54" s="844">
        <f t="shared" si="5"/>
        <v>3803926.3508066963</v>
      </c>
      <c r="W54" s="846">
        <f>'Internal Pricelist'!BW47</f>
        <v>7</v>
      </c>
      <c r="X54" s="844">
        <f t="shared" si="6"/>
        <v>543418.05011524237</v>
      </c>
      <c r="Y54" s="847">
        <f t="shared" si="7"/>
        <v>0.85</v>
      </c>
      <c r="Z54" s="844">
        <f t="shared" si="8"/>
        <v>21838915.987904612</v>
      </c>
      <c r="AA54" s="844">
        <f t="shared" si="9"/>
        <v>196294.35094699723</v>
      </c>
      <c r="AC54" s="849">
        <f t="shared" si="10"/>
        <v>190983.10360940662</v>
      </c>
      <c r="AD54" s="873">
        <f t="shared" si="11"/>
        <v>0</v>
      </c>
      <c r="AG54" s="882">
        <f t="shared" si="18"/>
        <v>7</v>
      </c>
      <c r="AH54" s="853">
        <f t="shared" si="19"/>
        <v>3803926.3508066963</v>
      </c>
      <c r="AI54" s="854">
        <f t="shared" si="20"/>
        <v>0</v>
      </c>
      <c r="AK54" s="872">
        <f>O54-'Internal Pricelist'!AK54</f>
        <v>10678368.200288337</v>
      </c>
      <c r="AL54" s="872">
        <f>P54-'Internal Pricelist'!BP54</f>
        <v>846000.66681010579</v>
      </c>
      <c r="AM54" s="872">
        <f>'Internal Pricelist'!BN54+'Internal Pricelist'!BO54</f>
        <v>1400970.127825839</v>
      </c>
      <c r="AN54" s="872">
        <f t="shared" si="22"/>
        <v>-705000.55567508796</v>
      </c>
      <c r="AO54" s="872">
        <f>R54-'Internal Pricelist'!BQ54</f>
        <v>8601006.7792360745</v>
      </c>
      <c r="AS54" s="873">
        <f>'Internal Pricelist'!AK54-PriceLink_Fitted!O54</f>
        <v>-10678368.200288337</v>
      </c>
      <c r="AT54" s="873">
        <f>'Internal Pricelist'!BP54-PriceLink_Fitted!P54</f>
        <v>-846000.66681010579</v>
      </c>
      <c r="AU54" s="849">
        <f>'Internal Pricelist'!BN54+'Internal Pricelist'!BO54</f>
        <v>1400970.127825839</v>
      </c>
      <c r="AV54" s="873">
        <f>PriceLink_Fitted!Q54-PriceLink_Fitted!AU54</f>
        <v>705000.55567508796</v>
      </c>
      <c r="AW54" s="873">
        <f>'Internal Pricelist'!BQ54-PriceLink_Fitted!R54</f>
        <v>-8601006.7792360745</v>
      </c>
    </row>
    <row r="55" spans="1:49" hidden="1" x14ac:dyDescent="0.2">
      <c r="A55" s="835">
        <f t="shared" si="12"/>
        <v>42</v>
      </c>
      <c r="B55" s="836" t="str">
        <f>'Internal Pricelist'!H48</f>
        <v>7B</v>
      </c>
      <c r="C55" s="836" t="str">
        <f>'Internal Pricelist'!C48</f>
        <v>Sold</v>
      </c>
      <c r="D55" s="836">
        <v>42</v>
      </c>
      <c r="E55" s="837" t="str">
        <f>'Internal Pricelist'!E48</f>
        <v xml:space="preserve">6th </v>
      </c>
      <c r="F55" s="838" t="str">
        <f>'Internal Pricelist'!F48</f>
        <v>7th</v>
      </c>
      <c r="G55" s="839" t="str">
        <f t="shared" si="3"/>
        <v>7B</v>
      </c>
      <c r="H55" s="839" t="str">
        <f>'Internal Pricelist'!I48</f>
        <v>1-BR</v>
      </c>
      <c r="I55" s="839">
        <f>'Internal Pricelist'!J48</f>
        <v>52.86</v>
      </c>
      <c r="J55" s="839">
        <f>'Internal Pricelist'!K48</f>
        <v>5.09</v>
      </c>
      <c r="K55" s="839">
        <f>'Internal Pricelist'!L48</f>
        <v>0</v>
      </c>
      <c r="L55" s="840">
        <f t="shared" si="0"/>
        <v>57.95</v>
      </c>
      <c r="M55" s="851" t="str">
        <f>'Internal Pricelist'!AA48</f>
        <v>INNER</v>
      </c>
      <c r="N55" s="841"/>
      <c r="O55" s="842">
        <f>'Internal Pricelist'!BM48</f>
        <v>10929191.219975954</v>
      </c>
      <c r="P55" s="843">
        <f t="shared" si="4"/>
        <v>1311502.9463971143</v>
      </c>
      <c r="Q55" s="844">
        <f t="shared" si="13"/>
        <v>1092919.1219975955</v>
      </c>
      <c r="R55" s="843">
        <f t="shared" si="14"/>
        <v>13333613.288370663</v>
      </c>
      <c r="S55" s="845">
        <f>'Internal Pricelist'!BS48</f>
        <v>0.15</v>
      </c>
      <c r="T55" s="844">
        <f t="shared" si="15"/>
        <v>2000041.9932555994</v>
      </c>
      <c r="U55" s="839">
        <f>'Internal Pricelist'!BU48</f>
        <v>50000</v>
      </c>
      <c r="V55" s="844">
        <f t="shared" si="5"/>
        <v>1950041.9932555994</v>
      </c>
      <c r="W55" s="846">
        <f>'Internal Pricelist'!BW48</f>
        <v>7</v>
      </c>
      <c r="X55" s="844">
        <f t="shared" si="6"/>
        <v>278577.42760794278</v>
      </c>
      <c r="Y55" s="847">
        <f t="shared" si="7"/>
        <v>0.85</v>
      </c>
      <c r="Z55" s="844">
        <f t="shared" si="8"/>
        <v>11333571.295115063</v>
      </c>
      <c r="AA55" s="844">
        <f t="shared" si="9"/>
        <v>101869.34289770972</v>
      </c>
      <c r="AC55" s="849">
        <f t="shared" si="10"/>
        <v>188596.91492624595</v>
      </c>
      <c r="AD55" s="873">
        <f t="shared" si="11"/>
        <v>0</v>
      </c>
      <c r="AG55" s="882">
        <f t="shared" si="18"/>
        <v>7</v>
      </c>
      <c r="AH55" s="853">
        <f t="shared" si="19"/>
        <v>1950041.9932555994</v>
      </c>
      <c r="AI55" s="854">
        <f t="shared" si="20"/>
        <v>0</v>
      </c>
      <c r="AK55" s="872">
        <f>O55-'Internal Pricelist'!AK55</f>
        <v>523191.96258393489</v>
      </c>
      <c r="AL55" s="872">
        <f>P55-'Internal Pricelist'!BP55</f>
        <v>-373654.77239944297</v>
      </c>
      <c r="AM55" s="872">
        <f>'Internal Pricelist'!BN55+'Internal Pricelist'!BO55</f>
        <v>1404298.098997131</v>
      </c>
      <c r="AN55" s="872">
        <f t="shared" si="22"/>
        <v>311378.97699953546</v>
      </c>
      <c r="AO55" s="872">
        <f>R55-'Internal Pricelist'!BQ55</f>
        <v>-3798823.5193943363</v>
      </c>
      <c r="AS55" s="873">
        <f>'Internal Pricelist'!AK55-PriceLink_Fitted!O55</f>
        <v>-523191.96258393489</v>
      </c>
      <c r="AT55" s="873">
        <f>'Internal Pricelist'!BP55-PriceLink_Fitted!P55</f>
        <v>373654.77239944297</v>
      </c>
      <c r="AU55" s="849">
        <f>'Internal Pricelist'!BN55+'Internal Pricelist'!BO55</f>
        <v>1404298.098997131</v>
      </c>
      <c r="AV55" s="873">
        <f>PriceLink_Fitted!Q55-PriceLink_Fitted!AU55</f>
        <v>-311378.97699953546</v>
      </c>
      <c r="AW55" s="873">
        <f>'Internal Pricelist'!BQ55-PriceLink_Fitted!R55</f>
        <v>3798823.5193943363</v>
      </c>
    </row>
    <row r="56" spans="1:49" hidden="1" x14ac:dyDescent="0.2">
      <c r="A56" s="835">
        <f t="shared" si="12"/>
        <v>43</v>
      </c>
      <c r="B56" s="836" t="str">
        <f>'Internal Pricelist'!H49</f>
        <v>7C</v>
      </c>
      <c r="C56" s="836" t="str">
        <f>'Internal Pricelist'!C49</f>
        <v>Sold</v>
      </c>
      <c r="D56" s="836">
        <v>43</v>
      </c>
      <c r="E56" s="837" t="str">
        <f>'Internal Pricelist'!E49</f>
        <v xml:space="preserve">6th </v>
      </c>
      <c r="F56" s="838" t="str">
        <f>'Internal Pricelist'!F49</f>
        <v>7th</v>
      </c>
      <c r="G56" s="839" t="str">
        <f t="shared" si="3"/>
        <v>7C</v>
      </c>
      <c r="H56" s="839" t="str">
        <f>'Internal Pricelist'!I49</f>
        <v>2-BR</v>
      </c>
      <c r="I56" s="839">
        <f>'Internal Pricelist'!J49</f>
        <v>57.5</v>
      </c>
      <c r="J56" s="839">
        <f>'Internal Pricelist'!K49</f>
        <v>5.09</v>
      </c>
      <c r="K56" s="839">
        <f>'Internal Pricelist'!L49</f>
        <v>0</v>
      </c>
      <c r="L56" s="840">
        <f t="shared" si="0"/>
        <v>62.59</v>
      </c>
      <c r="M56" s="851" t="str">
        <f>'Internal Pricelist'!AA49</f>
        <v>INNER</v>
      </c>
      <c r="N56" s="841"/>
      <c r="O56" s="842">
        <f>'Internal Pricelist'!BM49</f>
        <v>11843700.700874014</v>
      </c>
      <c r="P56" s="843">
        <f t="shared" si="4"/>
        <v>1421244.0841048816</v>
      </c>
      <c r="Q56" s="844">
        <f t="shared" si="13"/>
        <v>1184370.0700874014</v>
      </c>
      <c r="R56" s="843">
        <f t="shared" si="14"/>
        <v>14449314.855066298</v>
      </c>
      <c r="S56" s="845">
        <f>'Internal Pricelist'!BS49</f>
        <v>0.15</v>
      </c>
      <c r="T56" s="844">
        <f t="shared" si="15"/>
        <v>2167397.2282599444</v>
      </c>
      <c r="U56" s="839">
        <f>'Internal Pricelist'!BU49</f>
        <v>50000</v>
      </c>
      <c r="V56" s="844">
        <f t="shared" si="5"/>
        <v>2117397.2282599444</v>
      </c>
      <c r="W56" s="846">
        <f>'Internal Pricelist'!BW49</f>
        <v>7</v>
      </c>
      <c r="X56" s="844">
        <f t="shared" si="6"/>
        <v>302485.31832284917</v>
      </c>
      <c r="Y56" s="847">
        <f t="shared" si="7"/>
        <v>0.85</v>
      </c>
      <c r="Z56" s="844">
        <f t="shared" si="8"/>
        <v>12281917.626806352</v>
      </c>
      <c r="AA56" s="844">
        <f t="shared" si="9"/>
        <v>110393.34783254296</v>
      </c>
      <c r="AC56" s="849">
        <f t="shared" si="10"/>
        <v>189226.72473037249</v>
      </c>
      <c r="AD56" s="873">
        <f t="shared" si="11"/>
        <v>0</v>
      </c>
      <c r="AG56" s="882">
        <f t="shared" si="18"/>
        <v>7</v>
      </c>
      <c r="AH56" s="853">
        <f t="shared" si="19"/>
        <v>2117397.2282599444</v>
      </c>
      <c r="AI56" s="854">
        <f t="shared" si="20"/>
        <v>0</v>
      </c>
      <c r="AK56" s="872">
        <f>O56-'Internal Pricelist'!AK56</f>
        <v>1437701.4434819948</v>
      </c>
      <c r="AL56" s="872">
        <f>P56-'Internal Pricelist'!BP56</f>
        <v>-263913.63469167566</v>
      </c>
      <c r="AM56" s="872">
        <f>'Internal Pricelist'!BN56+'Internal Pricelist'!BO56</f>
        <v>1404298.098997131</v>
      </c>
      <c r="AN56" s="872">
        <f t="shared" si="22"/>
        <v>219928.02890972956</v>
      </c>
      <c r="AO56" s="872">
        <f>R56-'Internal Pricelist'!BQ56</f>
        <v>-2683121.952698702</v>
      </c>
      <c r="AS56" s="873">
        <f>'Internal Pricelist'!AK56-PriceLink_Fitted!O56</f>
        <v>-1437701.4434819948</v>
      </c>
      <c r="AT56" s="873">
        <f>'Internal Pricelist'!BP56-PriceLink_Fitted!P56</f>
        <v>263913.63469167566</v>
      </c>
      <c r="AU56" s="849">
        <f>'Internal Pricelist'!BN56+'Internal Pricelist'!BO56</f>
        <v>1404298.098997131</v>
      </c>
      <c r="AV56" s="873">
        <f>PriceLink_Fitted!Q56-PriceLink_Fitted!AU56</f>
        <v>-219928.02890972956</v>
      </c>
      <c r="AW56" s="873">
        <f>'Internal Pricelist'!BQ56-PriceLink_Fitted!R56</f>
        <v>2683121.952698702</v>
      </c>
    </row>
    <row r="57" spans="1:49" hidden="1" x14ac:dyDescent="0.2">
      <c r="A57" s="835">
        <f t="shared" si="12"/>
        <v>44</v>
      </c>
      <c r="B57" s="836" t="str">
        <f>'Internal Pricelist'!H50</f>
        <v>7D</v>
      </c>
      <c r="C57" s="836" t="str">
        <f>'Internal Pricelist'!C50</f>
        <v>Sold</v>
      </c>
      <c r="D57" s="836">
        <v>44</v>
      </c>
      <c r="E57" s="837" t="str">
        <f>'Internal Pricelist'!E50</f>
        <v xml:space="preserve">6th </v>
      </c>
      <c r="F57" s="838" t="str">
        <f>'Internal Pricelist'!F50</f>
        <v>7th</v>
      </c>
      <c r="G57" s="839" t="str">
        <f t="shared" si="3"/>
        <v>7D</v>
      </c>
      <c r="H57" s="839" t="str">
        <f>'Internal Pricelist'!I50</f>
        <v>2-BR</v>
      </c>
      <c r="I57" s="839">
        <f>'Internal Pricelist'!J50</f>
        <v>62.11</v>
      </c>
      <c r="J57" s="839">
        <f>'Internal Pricelist'!K50</f>
        <v>5.19</v>
      </c>
      <c r="K57" s="839">
        <f>'Internal Pricelist'!L50</f>
        <v>0</v>
      </c>
      <c r="L57" s="840">
        <f t="shared" si="0"/>
        <v>67.3</v>
      </c>
      <c r="M57" s="851" t="str">
        <f>'Internal Pricelist'!AA50</f>
        <v>INNER</v>
      </c>
      <c r="N57" s="841"/>
      <c r="O57" s="842">
        <f>'Internal Pricelist'!BM50</f>
        <v>12762334.310062353</v>
      </c>
      <c r="P57" s="843">
        <f t="shared" si="4"/>
        <v>1531480.1172074822</v>
      </c>
      <c r="Q57" s="844">
        <f t="shared" si="13"/>
        <v>1276233.4310062353</v>
      </c>
      <c r="R57" s="843">
        <f t="shared" si="14"/>
        <v>15570047.858276071</v>
      </c>
      <c r="S57" s="845">
        <f>'Internal Pricelist'!BS50</f>
        <v>0.15</v>
      </c>
      <c r="T57" s="844">
        <f t="shared" si="15"/>
        <v>2335507.1787414104</v>
      </c>
      <c r="U57" s="839">
        <f>'Internal Pricelist'!BU50</f>
        <v>50000</v>
      </c>
      <c r="V57" s="844">
        <f t="shared" si="5"/>
        <v>2285507.1787414104</v>
      </c>
      <c r="W57" s="846">
        <f>'Internal Pricelist'!BW50</f>
        <v>7</v>
      </c>
      <c r="X57" s="844">
        <f t="shared" si="6"/>
        <v>326501.02553448721</v>
      </c>
      <c r="Y57" s="847">
        <f t="shared" si="7"/>
        <v>0.85</v>
      </c>
      <c r="Z57" s="844">
        <f t="shared" si="8"/>
        <v>13234540.679534661</v>
      </c>
      <c r="AA57" s="844">
        <f t="shared" si="9"/>
        <v>118955.79314512241</v>
      </c>
      <c r="AC57" s="849">
        <f t="shared" si="10"/>
        <v>189633.49643480466</v>
      </c>
      <c r="AD57" s="873">
        <f t="shared" si="11"/>
        <v>0</v>
      </c>
      <c r="AG57" s="882">
        <f t="shared" si="18"/>
        <v>7</v>
      </c>
      <c r="AH57" s="853">
        <f t="shared" si="19"/>
        <v>2285507.1787414104</v>
      </c>
      <c r="AI57" s="854">
        <f t="shared" si="20"/>
        <v>0</v>
      </c>
      <c r="AK57" s="872">
        <f>O57-'Internal Pricelist'!AK57</f>
        <v>2356335.0526703335</v>
      </c>
      <c r="AL57" s="872">
        <f>P57-'Internal Pricelist'!BP57</f>
        <v>-153677.60158907506</v>
      </c>
      <c r="AM57" s="872">
        <f>'Internal Pricelist'!BN57+'Internal Pricelist'!BO57</f>
        <v>1404298.098997131</v>
      </c>
      <c r="AN57" s="872">
        <f t="shared" si="22"/>
        <v>128064.66799089569</v>
      </c>
      <c r="AO57" s="872">
        <f>R57-'Internal Pricelist'!BQ57</f>
        <v>-1562388.9494889285</v>
      </c>
      <c r="AS57" s="873">
        <f>'Internal Pricelist'!AK57-PriceLink_Fitted!O57</f>
        <v>-2356335.0526703335</v>
      </c>
      <c r="AT57" s="873">
        <f>'Internal Pricelist'!BP57-PriceLink_Fitted!P57</f>
        <v>153677.60158907506</v>
      </c>
      <c r="AU57" s="849">
        <f>'Internal Pricelist'!BN57+'Internal Pricelist'!BO57</f>
        <v>1404298.098997131</v>
      </c>
      <c r="AV57" s="873">
        <f>PriceLink_Fitted!Q57-PriceLink_Fitted!AU57</f>
        <v>-128064.66799089569</v>
      </c>
      <c r="AW57" s="873">
        <f>'Internal Pricelist'!BQ57-PriceLink_Fitted!R57</f>
        <v>1562388.9494889285</v>
      </c>
    </row>
    <row r="58" spans="1:49" hidden="1" x14ac:dyDescent="0.2">
      <c r="A58" s="835">
        <f t="shared" si="12"/>
        <v>45</v>
      </c>
      <c r="B58" s="836" t="str">
        <f>'Internal Pricelist'!H51</f>
        <v>7E</v>
      </c>
      <c r="C58" s="836" t="str">
        <f>'Internal Pricelist'!C51</f>
        <v>Sold</v>
      </c>
      <c r="D58" s="836">
        <v>45</v>
      </c>
      <c r="E58" s="837" t="str">
        <f>'Internal Pricelist'!E51</f>
        <v xml:space="preserve">6th </v>
      </c>
      <c r="F58" s="838" t="str">
        <f>'Internal Pricelist'!F51</f>
        <v>7th</v>
      </c>
      <c r="G58" s="839" t="str">
        <f t="shared" si="3"/>
        <v>7E</v>
      </c>
      <c r="H58" s="839" t="str">
        <f>'Internal Pricelist'!I51</f>
        <v>2-BR</v>
      </c>
      <c r="I58" s="839">
        <f>'Internal Pricelist'!J51</f>
        <v>80.900000000000006</v>
      </c>
      <c r="J58" s="839">
        <f>'Internal Pricelist'!K51</f>
        <v>15.65</v>
      </c>
      <c r="K58" s="839">
        <f>'Internal Pricelist'!L51</f>
        <v>0</v>
      </c>
      <c r="L58" s="840">
        <f t="shared" si="0"/>
        <v>96.550000000000011</v>
      </c>
      <c r="M58" s="851" t="str">
        <f>'Internal Pricelist'!AA51</f>
        <v>CORNER</v>
      </c>
      <c r="N58" s="841"/>
      <c r="O58" s="842">
        <f>'Internal Pricelist'!BM51</f>
        <v>17797145.429146744</v>
      </c>
      <c r="P58" s="843">
        <f t="shared" si="4"/>
        <v>2135657.4514976093</v>
      </c>
      <c r="Q58" s="844">
        <f t="shared" si="13"/>
        <v>1779714.5429146746</v>
      </c>
      <c r="R58" s="843">
        <f t="shared" si="14"/>
        <v>21712517.423559029</v>
      </c>
      <c r="S58" s="845">
        <f>'Internal Pricelist'!BS51</f>
        <v>0.15</v>
      </c>
      <c r="T58" s="844">
        <f t="shared" si="15"/>
        <v>3256877.613533854</v>
      </c>
      <c r="U58" s="839">
        <f>'Internal Pricelist'!BU51</f>
        <v>50000</v>
      </c>
      <c r="V58" s="844">
        <f t="shared" si="5"/>
        <v>3206877.613533854</v>
      </c>
      <c r="W58" s="846">
        <f>'Internal Pricelist'!BW51</f>
        <v>7</v>
      </c>
      <c r="X58" s="844">
        <f t="shared" si="6"/>
        <v>458125.37336197915</v>
      </c>
      <c r="Y58" s="847">
        <f t="shared" si="7"/>
        <v>0.85</v>
      </c>
      <c r="Z58" s="844">
        <f t="shared" si="8"/>
        <v>18455639.810025174</v>
      </c>
      <c r="AA58" s="844">
        <f t="shared" si="9"/>
        <v>165884.5081792014</v>
      </c>
      <c r="AC58" s="849">
        <f t="shared" si="10"/>
        <v>184330.86928168556</v>
      </c>
      <c r="AD58" s="873">
        <f t="shared" si="11"/>
        <v>0</v>
      </c>
      <c r="AG58" s="882">
        <f t="shared" si="18"/>
        <v>7</v>
      </c>
      <c r="AH58" s="853">
        <f t="shared" si="19"/>
        <v>3206877.613533854</v>
      </c>
      <c r="AI58" s="854">
        <f t="shared" si="20"/>
        <v>0</v>
      </c>
      <c r="AK58" s="872">
        <f>O58-'Internal Pricelist'!AK58</f>
        <v>4480004.6272907704</v>
      </c>
      <c r="AL58" s="872">
        <f>P58-'Internal Pricelist'!BP58</f>
        <v>-20933.382256930694</v>
      </c>
      <c r="AM58" s="872">
        <f>'Internal Pricelist'!BN58+'Internal Pricelist'!BO58</f>
        <v>1797159.0281287832</v>
      </c>
      <c r="AN58" s="872">
        <f t="shared" si="22"/>
        <v>17444.485214108601</v>
      </c>
      <c r="AO58" s="872">
        <f>R58-'Internal Pricelist'!BQ58</f>
        <v>-212822.71961212903</v>
      </c>
      <c r="AS58" s="873">
        <f>'Internal Pricelist'!AK58-PriceLink_Fitted!O58</f>
        <v>-4480004.6272907704</v>
      </c>
      <c r="AT58" s="873">
        <f>'Internal Pricelist'!BP58-PriceLink_Fitted!P58</f>
        <v>20933.382256930694</v>
      </c>
      <c r="AU58" s="849">
        <f>'Internal Pricelist'!BN58+'Internal Pricelist'!BO58</f>
        <v>1797159.0281287832</v>
      </c>
      <c r="AV58" s="873">
        <f>PriceLink_Fitted!Q58-PriceLink_Fitted!AU58</f>
        <v>-17444.485214108601</v>
      </c>
      <c r="AW58" s="873">
        <f>'Internal Pricelist'!BQ58-PriceLink_Fitted!R58</f>
        <v>212822.71961212903</v>
      </c>
    </row>
    <row r="59" spans="1:49" hidden="1" x14ac:dyDescent="0.2">
      <c r="A59" s="835">
        <f t="shared" si="12"/>
        <v>46</v>
      </c>
      <c r="B59" s="836" t="str">
        <f>'Internal Pricelist'!H52</f>
        <v>7F</v>
      </c>
      <c r="C59" s="836" t="str">
        <f>'Internal Pricelist'!C52</f>
        <v>Sold</v>
      </c>
      <c r="D59" s="836">
        <v>46</v>
      </c>
      <c r="E59" s="837" t="str">
        <f>'Internal Pricelist'!E52</f>
        <v xml:space="preserve">6th </v>
      </c>
      <c r="F59" s="838" t="str">
        <f>'Internal Pricelist'!F52</f>
        <v>7th</v>
      </c>
      <c r="G59" s="839" t="str">
        <f t="shared" si="3"/>
        <v>7F</v>
      </c>
      <c r="H59" s="839" t="str">
        <f>'Internal Pricelist'!I52</f>
        <v>2-BR</v>
      </c>
      <c r="I59" s="839">
        <f>'Internal Pricelist'!J52</f>
        <v>61.56</v>
      </c>
      <c r="J59" s="839">
        <f>'Internal Pricelist'!K52</f>
        <v>4.0999999999999996</v>
      </c>
      <c r="K59" s="839">
        <f>'Internal Pricelist'!L52</f>
        <v>0</v>
      </c>
      <c r="L59" s="840">
        <f t="shared" si="0"/>
        <v>65.66</v>
      </c>
      <c r="M59" s="851" t="str">
        <f>'Internal Pricelist'!AA52</f>
        <v>INNER</v>
      </c>
      <c r="N59" s="841"/>
      <c r="O59" s="842">
        <f>'Internal Pricelist'!BM52</f>
        <v>12448784.631778283</v>
      </c>
      <c r="P59" s="843">
        <f t="shared" si="4"/>
        <v>1493854.1558133939</v>
      </c>
      <c r="Q59" s="844">
        <f t="shared" si="13"/>
        <v>1244878.4631778284</v>
      </c>
      <c r="R59" s="843">
        <f t="shared" si="14"/>
        <v>15187517.250769505</v>
      </c>
      <c r="S59" s="845">
        <f>'Internal Pricelist'!BS52</f>
        <v>0.15</v>
      </c>
      <c r="T59" s="844">
        <f t="shared" si="15"/>
        <v>2278127.5876154257</v>
      </c>
      <c r="U59" s="839">
        <f>'Internal Pricelist'!BU52</f>
        <v>50000</v>
      </c>
      <c r="V59" s="844">
        <f t="shared" si="5"/>
        <v>2228127.5876154257</v>
      </c>
      <c r="W59" s="846">
        <f>'Internal Pricelist'!BW52</f>
        <v>7</v>
      </c>
      <c r="X59" s="844">
        <f t="shared" si="6"/>
        <v>318303.94108791795</v>
      </c>
      <c r="Y59" s="847">
        <f t="shared" si="7"/>
        <v>0.85</v>
      </c>
      <c r="Z59" s="844">
        <f t="shared" si="8"/>
        <v>12909389.663154079</v>
      </c>
      <c r="AA59" s="844">
        <f t="shared" si="9"/>
        <v>116033.24388692975</v>
      </c>
      <c r="AC59" s="849">
        <f t="shared" si="10"/>
        <v>189594.64867161567</v>
      </c>
      <c r="AD59" s="873">
        <f t="shared" si="11"/>
        <v>0</v>
      </c>
      <c r="AG59" s="882">
        <f t="shared" si="18"/>
        <v>7</v>
      </c>
      <c r="AH59" s="853">
        <f t="shared" si="19"/>
        <v>2228127.5876154257</v>
      </c>
      <c r="AI59" s="854">
        <f t="shared" si="20"/>
        <v>0</v>
      </c>
      <c r="AK59" s="872">
        <f>O59-'Internal Pricelist'!AK59</f>
        <v>4617901.3793638665</v>
      </c>
      <c r="AL59" s="872">
        <f>P59-'Internal Pricelist'!BP59</f>
        <v>225713.24676741986</v>
      </c>
      <c r="AM59" s="872">
        <f>'Internal Pricelist'!BN59+'Internal Pricelist'!BO59</f>
        <v>1056784.0908716451</v>
      </c>
      <c r="AN59" s="872">
        <f t="shared" si="22"/>
        <v>-188094.37230618321</v>
      </c>
      <c r="AO59" s="872">
        <f>R59-'Internal Pricelist'!BQ59</f>
        <v>2294751.342135435</v>
      </c>
      <c r="AS59" s="873">
        <f>'Internal Pricelist'!AK59-PriceLink_Fitted!O59</f>
        <v>-4617901.3793638665</v>
      </c>
      <c r="AT59" s="873">
        <f>'Internal Pricelist'!BP59-PriceLink_Fitted!P59</f>
        <v>-225713.24676741986</v>
      </c>
      <c r="AU59" s="849">
        <f>'Internal Pricelist'!BN59+'Internal Pricelist'!BO59</f>
        <v>1056784.0908716451</v>
      </c>
      <c r="AV59" s="873">
        <f>PriceLink_Fitted!Q59-PriceLink_Fitted!AU59</f>
        <v>188094.37230618321</v>
      </c>
      <c r="AW59" s="873">
        <f>'Internal Pricelist'!BQ59-PriceLink_Fitted!R59</f>
        <v>-2294751.342135435</v>
      </c>
    </row>
    <row r="60" spans="1:49" hidden="1" x14ac:dyDescent="0.2">
      <c r="A60" s="835">
        <f t="shared" si="12"/>
        <v>47</v>
      </c>
      <c r="B60" s="836" t="str">
        <f>'Internal Pricelist'!H53</f>
        <v>7G</v>
      </c>
      <c r="C60" s="836" t="str">
        <f>'Internal Pricelist'!C53</f>
        <v>Sold</v>
      </c>
      <c r="D60" s="836">
        <v>47</v>
      </c>
      <c r="E60" s="837" t="str">
        <f>'Internal Pricelist'!E53</f>
        <v xml:space="preserve">6th </v>
      </c>
      <c r="F60" s="838" t="str">
        <f>'Internal Pricelist'!F53</f>
        <v>7th</v>
      </c>
      <c r="G60" s="839" t="str">
        <f t="shared" si="3"/>
        <v>7G</v>
      </c>
      <c r="H60" s="839" t="str">
        <f>'Internal Pricelist'!I53</f>
        <v>2-BR</v>
      </c>
      <c r="I60" s="839">
        <f>'Internal Pricelist'!J53</f>
        <v>95.44</v>
      </c>
      <c r="J60" s="839">
        <f>'Internal Pricelist'!K53</f>
        <v>13.34</v>
      </c>
      <c r="K60" s="839">
        <f>'Internal Pricelist'!L53</f>
        <v>0</v>
      </c>
      <c r="L60" s="840">
        <f t="shared" si="0"/>
        <v>108.78</v>
      </c>
      <c r="M60" s="851" t="str">
        <f>'Internal Pricelist'!AA53</f>
        <v>CORNER</v>
      </c>
      <c r="N60" s="841"/>
      <c r="O60" s="842">
        <f>'Internal Pricelist'!BM53</f>
        <v>20308061.924658194</v>
      </c>
      <c r="P60" s="843">
        <f t="shared" si="4"/>
        <v>2436967.430958983</v>
      </c>
      <c r="Q60" s="844">
        <f t="shared" si="13"/>
        <v>2030806.1924658194</v>
      </c>
      <c r="R60" s="843">
        <f t="shared" si="14"/>
        <v>24775835.548082996</v>
      </c>
      <c r="S60" s="845">
        <f>'Internal Pricelist'!BS53</f>
        <v>0.15</v>
      </c>
      <c r="T60" s="844">
        <f t="shared" si="15"/>
        <v>3716375.3322124495</v>
      </c>
      <c r="U60" s="839">
        <f>'Internal Pricelist'!BU53</f>
        <v>50000</v>
      </c>
      <c r="V60" s="844">
        <f t="shared" si="5"/>
        <v>3666375.3322124495</v>
      </c>
      <c r="W60" s="846">
        <f>'Internal Pricelist'!BW53</f>
        <v>7</v>
      </c>
      <c r="X60" s="844">
        <f t="shared" si="6"/>
        <v>523767.90460177849</v>
      </c>
      <c r="Y60" s="847">
        <f t="shared" si="7"/>
        <v>0.85</v>
      </c>
      <c r="Z60" s="844">
        <f t="shared" si="8"/>
        <v>21059460.215870548</v>
      </c>
      <c r="AA60" s="844">
        <f t="shared" si="9"/>
        <v>189288.38210916403</v>
      </c>
      <c r="AC60" s="849">
        <f t="shared" si="10"/>
        <v>186689.29881097807</v>
      </c>
      <c r="AD60" s="873">
        <f t="shared" si="11"/>
        <v>0</v>
      </c>
      <c r="AG60" s="882">
        <f t="shared" si="18"/>
        <v>7</v>
      </c>
      <c r="AH60" s="853">
        <f t="shared" si="19"/>
        <v>3666375.3322124495</v>
      </c>
      <c r="AI60" s="854">
        <f t="shared" si="20"/>
        <v>0</v>
      </c>
      <c r="AK60" s="872">
        <f>O60-'Internal Pricelist'!AK60</f>
        <v>4404711.9329228178</v>
      </c>
      <c r="AL60" s="872">
        <f>P60-'Internal Pricelist'!BP60</f>
        <v>-138436.65378171206</v>
      </c>
      <c r="AM60" s="872">
        <f>'Internal Pricelist'!BN60+'Internal Pricelist'!BO60</f>
        <v>2146170.070617246</v>
      </c>
      <c r="AN60" s="872">
        <f t="shared" si="22"/>
        <v>115363.87815142656</v>
      </c>
      <c r="AO60" s="872">
        <f>R60-'Internal Pricelist'!BQ60</f>
        <v>-1407439.3134474009</v>
      </c>
      <c r="AS60" s="873">
        <f>'Internal Pricelist'!AK60-PriceLink_Fitted!O60</f>
        <v>-4404711.9329228178</v>
      </c>
      <c r="AT60" s="873">
        <f>'Internal Pricelist'!BP60-PriceLink_Fitted!P60</f>
        <v>138436.65378171206</v>
      </c>
      <c r="AU60" s="849">
        <f>'Internal Pricelist'!BN60+'Internal Pricelist'!BO60</f>
        <v>2146170.070617246</v>
      </c>
      <c r="AV60" s="873">
        <f>PriceLink_Fitted!Q60-PriceLink_Fitted!AU60</f>
        <v>-115363.87815142656</v>
      </c>
      <c r="AW60" s="873">
        <f>'Internal Pricelist'!BQ60-PriceLink_Fitted!R60</f>
        <v>1407439.3134474009</v>
      </c>
    </row>
    <row r="61" spans="1:49" x14ac:dyDescent="0.2">
      <c r="A61" s="835">
        <f t="shared" si="12"/>
        <v>48</v>
      </c>
      <c r="B61" s="836" t="str">
        <f>'Internal Pricelist'!H54</f>
        <v>7H</v>
      </c>
      <c r="C61" s="836" t="str">
        <f>'Internal Pricelist'!C54</f>
        <v>Unsold</v>
      </c>
      <c r="D61" s="836">
        <v>48</v>
      </c>
      <c r="E61" s="837" t="str">
        <f>'Internal Pricelist'!E54</f>
        <v xml:space="preserve">6th </v>
      </c>
      <c r="F61" s="838" t="str">
        <f>'Internal Pricelist'!F54</f>
        <v>7th</v>
      </c>
      <c r="G61" s="839" t="str">
        <f t="shared" si="3"/>
        <v>7H</v>
      </c>
      <c r="H61" s="839" t="str">
        <f>'Internal Pricelist'!I54</f>
        <v>2-BR</v>
      </c>
      <c r="I61" s="839">
        <f>'Internal Pricelist'!J54</f>
        <v>69.2</v>
      </c>
      <c r="J61" s="839">
        <f>'Internal Pricelist'!K54</f>
        <v>4.7699999999999996</v>
      </c>
      <c r="K61" s="839">
        <f>'Internal Pricelist'!L54</f>
        <v>0</v>
      </c>
      <c r="L61" s="840">
        <f t="shared" si="0"/>
        <v>73.97</v>
      </c>
      <c r="M61" s="851" t="str">
        <f>'Internal Pricelist'!AA54</f>
        <v>INNER</v>
      </c>
      <c r="N61" s="841"/>
      <c r="O61" s="842">
        <f>'Internal Pricelist'!BM54</f>
        <v>14009701.278258389</v>
      </c>
      <c r="P61" s="843">
        <f t="shared" si="4"/>
        <v>1681164.1533910066</v>
      </c>
      <c r="Q61" s="844">
        <f t="shared" si="13"/>
        <v>1400970.127825839</v>
      </c>
      <c r="R61" s="843">
        <f t="shared" si="14"/>
        <v>17091835.559475236</v>
      </c>
      <c r="S61" s="845">
        <f>'Internal Pricelist'!BS54</f>
        <v>0.15</v>
      </c>
      <c r="T61" s="844">
        <f t="shared" si="15"/>
        <v>2563775.3339212853</v>
      </c>
      <c r="U61" s="839">
        <f>'Internal Pricelist'!BU54</f>
        <v>50000</v>
      </c>
      <c r="V61" s="844">
        <f t="shared" si="5"/>
        <v>2513775.3339212853</v>
      </c>
      <c r="W61" s="846">
        <f>'Internal Pricelist'!BW54</f>
        <v>7</v>
      </c>
      <c r="X61" s="844">
        <f t="shared" si="6"/>
        <v>359110.76198875502</v>
      </c>
      <c r="Y61" s="847">
        <f t="shared" si="7"/>
        <v>0.85</v>
      </c>
      <c r="Z61" s="844">
        <f t="shared" si="8"/>
        <v>14528060.22555395</v>
      </c>
      <c r="AA61" s="844">
        <f t="shared" si="9"/>
        <v>130582.31251374577</v>
      </c>
      <c r="AC61" s="849">
        <f t="shared" si="10"/>
        <v>189397.07014003501</v>
      </c>
      <c r="AD61" s="873">
        <f t="shared" si="11"/>
        <v>0</v>
      </c>
      <c r="AG61" s="882">
        <f t="shared" si="18"/>
        <v>7</v>
      </c>
      <c r="AH61" s="853">
        <f t="shared" si="19"/>
        <v>2513775.3339212853</v>
      </c>
      <c r="AI61" s="854">
        <f t="shared" si="20"/>
        <v>0</v>
      </c>
      <c r="AK61" s="872">
        <f>O61-'Internal Pricelist'!AK61</f>
        <v>5754508.2957051434</v>
      </c>
      <c r="AL61" s="872">
        <f>P61-'Internal Pricelist'!BP61</f>
        <v>344310.11077489471</v>
      </c>
      <c r="AM61" s="872">
        <f>'Internal Pricelist'!BN61+'Internal Pricelist'!BO61</f>
        <v>1114045.0355134266</v>
      </c>
      <c r="AN61" s="872">
        <f t="shared" si="22"/>
        <v>-286925.09231241234</v>
      </c>
      <c r="AO61" s="872">
        <f>R61-'Internal Pricelist'!BQ61</f>
        <v>3500486.1262114327</v>
      </c>
      <c r="AS61" s="873">
        <f>'Internal Pricelist'!AK61-PriceLink_Fitted!O61</f>
        <v>-5754508.2957051434</v>
      </c>
      <c r="AT61" s="873">
        <f>'Internal Pricelist'!BP61-PriceLink_Fitted!P61</f>
        <v>-344310.11077489471</v>
      </c>
      <c r="AU61" s="849">
        <f>'Internal Pricelist'!BN61+'Internal Pricelist'!BO61</f>
        <v>1114045.0355134266</v>
      </c>
      <c r="AV61" s="873">
        <f>PriceLink_Fitted!Q61-PriceLink_Fitted!AU61</f>
        <v>286925.09231241234</v>
      </c>
      <c r="AW61" s="873">
        <f>'Internal Pricelist'!BQ61-PriceLink_Fitted!R61</f>
        <v>-3500486.1262114327</v>
      </c>
    </row>
    <row r="62" spans="1:49" x14ac:dyDescent="0.2">
      <c r="A62" s="835">
        <f t="shared" si="12"/>
        <v>49</v>
      </c>
      <c r="B62" s="836" t="str">
        <f>'Internal Pricelist'!H55</f>
        <v>7I</v>
      </c>
      <c r="C62" s="836" t="str">
        <f>'Internal Pricelist'!C55</f>
        <v>Unsold</v>
      </c>
      <c r="D62" s="836">
        <v>49</v>
      </c>
      <c r="E62" s="837" t="str">
        <f>'Internal Pricelist'!E55</f>
        <v xml:space="preserve">6th </v>
      </c>
      <c r="F62" s="838" t="str">
        <f>'Internal Pricelist'!F55</f>
        <v>7th</v>
      </c>
      <c r="G62" s="839" t="str">
        <f t="shared" si="3"/>
        <v>7I</v>
      </c>
      <c r="H62" s="839" t="str">
        <f>'Internal Pricelist'!I55</f>
        <v>1-BR</v>
      </c>
      <c r="I62" s="839">
        <f>'Internal Pricelist'!J55</f>
        <v>69.36</v>
      </c>
      <c r="J62" s="839">
        <f>'Internal Pricelist'!K55</f>
        <v>4.79</v>
      </c>
      <c r="K62" s="839">
        <f>'Internal Pricelist'!L55</f>
        <v>0</v>
      </c>
      <c r="L62" s="840">
        <f t="shared" si="0"/>
        <v>74.150000000000006</v>
      </c>
      <c r="M62" s="851" t="str">
        <f>'Internal Pricelist'!AA55</f>
        <v>INNER</v>
      </c>
      <c r="N62" s="841"/>
      <c r="O62" s="842">
        <f>'Internal Pricelist'!BM55</f>
        <v>14042980.989971312</v>
      </c>
      <c r="P62" s="843">
        <f t="shared" si="4"/>
        <v>1685157.7187965573</v>
      </c>
      <c r="Q62" s="844">
        <f t="shared" si="13"/>
        <v>1404298.0989971312</v>
      </c>
      <c r="R62" s="843">
        <f t="shared" si="14"/>
        <v>17132436.807765</v>
      </c>
      <c r="S62" s="845">
        <f>'Internal Pricelist'!BS55</f>
        <v>0.15</v>
      </c>
      <c r="T62" s="844">
        <f t="shared" si="15"/>
        <v>2569865.5211647497</v>
      </c>
      <c r="U62" s="839">
        <f>'Internal Pricelist'!BU55</f>
        <v>50000</v>
      </c>
      <c r="V62" s="844">
        <f t="shared" si="5"/>
        <v>2519865.5211647497</v>
      </c>
      <c r="W62" s="846">
        <f>'Internal Pricelist'!BW55</f>
        <v>7</v>
      </c>
      <c r="X62" s="844">
        <f t="shared" si="6"/>
        <v>359980.78873782139</v>
      </c>
      <c r="Y62" s="847">
        <f t="shared" si="7"/>
        <v>0.85</v>
      </c>
      <c r="Z62" s="844">
        <f t="shared" si="8"/>
        <v>14562571.286600249</v>
      </c>
      <c r="AA62" s="844">
        <f t="shared" si="9"/>
        <v>130892.50768700104</v>
      </c>
      <c r="AC62" s="849">
        <f t="shared" si="10"/>
        <v>189386.122588959</v>
      </c>
      <c r="AD62" s="873">
        <f t="shared" si="11"/>
        <v>0</v>
      </c>
      <c r="AG62" s="882">
        <f t="shared" si="18"/>
        <v>7</v>
      </c>
      <c r="AH62" s="853">
        <f t="shared" si="19"/>
        <v>2519865.5211647497</v>
      </c>
      <c r="AI62" s="854">
        <f t="shared" si="20"/>
        <v>0</v>
      </c>
      <c r="AK62" s="872">
        <f>O62-'Internal Pricelist'!AK62</f>
        <v>5097592.2633432727</v>
      </c>
      <c r="AL62" s="872">
        <f>P62-'Internal Pricelist'!BP62</f>
        <v>236532.70091519575</v>
      </c>
      <c r="AM62" s="872">
        <f>'Internal Pricelist'!BN62+'Internal Pricelist'!BO62</f>
        <v>1207187.5149011347</v>
      </c>
      <c r="AN62" s="872">
        <f t="shared" si="22"/>
        <v>-197110.58409599657</v>
      </c>
      <c r="AO62" s="872">
        <f>R62-'Internal Pricelist'!BQ62</f>
        <v>2404749.1259711571</v>
      </c>
      <c r="AS62" s="873">
        <f>'Internal Pricelist'!AK62-PriceLink_Fitted!O62</f>
        <v>-5097592.2633432727</v>
      </c>
      <c r="AT62" s="873">
        <f>'Internal Pricelist'!BP62-PriceLink_Fitted!P62</f>
        <v>-236532.70091519575</v>
      </c>
      <c r="AU62" s="849">
        <f>'Internal Pricelist'!BN62+'Internal Pricelist'!BO62</f>
        <v>1207187.5149011347</v>
      </c>
      <c r="AV62" s="873">
        <f>PriceLink_Fitted!Q62-PriceLink_Fitted!AU62</f>
        <v>197110.58409599657</v>
      </c>
      <c r="AW62" s="873">
        <f>'Internal Pricelist'!BQ62-PriceLink_Fitted!R62</f>
        <v>-2404749.1259711571</v>
      </c>
    </row>
    <row r="63" spans="1:49" hidden="1" x14ac:dyDescent="0.2">
      <c r="A63" s="835">
        <f t="shared" si="12"/>
        <v>50</v>
      </c>
      <c r="B63" s="836" t="str">
        <f>'Internal Pricelist'!H56</f>
        <v>7J</v>
      </c>
      <c r="C63" s="836" t="str">
        <f>'Internal Pricelist'!C56</f>
        <v>Sold</v>
      </c>
      <c r="D63" s="836">
        <v>50</v>
      </c>
      <c r="E63" s="837" t="str">
        <f>'Internal Pricelist'!E56</f>
        <v xml:space="preserve">6th </v>
      </c>
      <c r="F63" s="838" t="str">
        <f>'Internal Pricelist'!F56</f>
        <v>7th</v>
      </c>
      <c r="G63" s="839" t="str">
        <f t="shared" si="3"/>
        <v>7J</v>
      </c>
      <c r="H63" s="839" t="str">
        <f>'Internal Pricelist'!I56</f>
        <v>2-BR</v>
      </c>
      <c r="I63" s="839">
        <f>'Internal Pricelist'!J56</f>
        <v>69.36</v>
      </c>
      <c r="J63" s="839">
        <f>'Internal Pricelist'!K56</f>
        <v>4.79</v>
      </c>
      <c r="K63" s="839">
        <f>'Internal Pricelist'!L56</f>
        <v>0</v>
      </c>
      <c r="L63" s="840">
        <f t="shared" si="0"/>
        <v>74.150000000000006</v>
      </c>
      <c r="M63" s="851" t="str">
        <f>'Internal Pricelist'!AA56</f>
        <v>INNER</v>
      </c>
      <c r="N63" s="841"/>
      <c r="O63" s="842">
        <f>'Internal Pricelist'!BM56</f>
        <v>14042980.989971312</v>
      </c>
      <c r="P63" s="843">
        <f t="shared" si="4"/>
        <v>1685157.7187965573</v>
      </c>
      <c r="Q63" s="844">
        <f t="shared" si="13"/>
        <v>1404298.0989971312</v>
      </c>
      <c r="R63" s="843">
        <f t="shared" si="14"/>
        <v>17132436.807765</v>
      </c>
      <c r="S63" s="845">
        <f>'Internal Pricelist'!BS56</f>
        <v>0.15</v>
      </c>
      <c r="T63" s="844">
        <f t="shared" si="15"/>
        <v>2569865.5211647497</v>
      </c>
      <c r="U63" s="839">
        <f>'Internal Pricelist'!BU56</f>
        <v>50000</v>
      </c>
      <c r="V63" s="844">
        <f t="shared" si="5"/>
        <v>2519865.5211647497</v>
      </c>
      <c r="W63" s="846">
        <f>'Internal Pricelist'!BW56</f>
        <v>7</v>
      </c>
      <c r="X63" s="844">
        <f t="shared" si="6"/>
        <v>359980.78873782139</v>
      </c>
      <c r="Y63" s="847">
        <f t="shared" si="7"/>
        <v>0.85</v>
      </c>
      <c r="Z63" s="844">
        <f t="shared" si="8"/>
        <v>14562571.286600249</v>
      </c>
      <c r="AA63" s="844">
        <f t="shared" si="9"/>
        <v>130892.50768700104</v>
      </c>
      <c r="AC63" s="849">
        <f t="shared" si="10"/>
        <v>189386.122588959</v>
      </c>
      <c r="AD63" s="873">
        <f t="shared" si="11"/>
        <v>0</v>
      </c>
      <c r="AG63" s="882">
        <f t="shared" si="18"/>
        <v>7</v>
      </c>
      <c r="AH63" s="853">
        <f t="shared" si="19"/>
        <v>2519865.5211647497</v>
      </c>
      <c r="AI63" s="854">
        <f t="shared" si="20"/>
        <v>0</v>
      </c>
      <c r="AK63" s="872">
        <f>O63-'Internal Pricelist'!AK63</f>
        <v>4404151.3990782332</v>
      </c>
      <c r="AL63" s="872">
        <f>P63-'Internal Pricelist'!BP63</f>
        <v>124236.20770575292</v>
      </c>
      <c r="AM63" s="872">
        <f>'Internal Pricelist'!BN63+'Internal Pricelist'!BO63</f>
        <v>1300767.9259090037</v>
      </c>
      <c r="AN63" s="872">
        <f t="shared" si="22"/>
        <v>-103530.17308812751</v>
      </c>
      <c r="AO63" s="872">
        <f>R63-'Internal Pricelist'!BQ63</f>
        <v>1263068.1116751563</v>
      </c>
      <c r="AS63" s="873">
        <f>'Internal Pricelist'!AK63-PriceLink_Fitted!O63</f>
        <v>-4404151.3990782332</v>
      </c>
      <c r="AT63" s="873">
        <f>'Internal Pricelist'!BP63-PriceLink_Fitted!P63</f>
        <v>-124236.20770575292</v>
      </c>
      <c r="AU63" s="849">
        <f>'Internal Pricelist'!BN63+'Internal Pricelist'!BO63</f>
        <v>1300767.9259090037</v>
      </c>
      <c r="AV63" s="873">
        <f>PriceLink_Fitted!Q63-PriceLink_Fitted!AU63</f>
        <v>103530.17308812751</v>
      </c>
      <c r="AW63" s="873">
        <f>'Internal Pricelist'!BQ63-PriceLink_Fitted!R63</f>
        <v>-1263068.1116751563</v>
      </c>
    </row>
    <row r="64" spans="1:49" hidden="1" x14ac:dyDescent="0.2">
      <c r="A64" s="835">
        <f t="shared" si="12"/>
        <v>51</v>
      </c>
      <c r="B64" s="836" t="str">
        <f>'Internal Pricelist'!H57</f>
        <v>7K</v>
      </c>
      <c r="C64" s="836" t="str">
        <f>'Internal Pricelist'!C57</f>
        <v>Sold</v>
      </c>
      <c r="D64" s="836">
        <v>51</v>
      </c>
      <c r="E64" s="837" t="str">
        <f>'Internal Pricelist'!E57</f>
        <v xml:space="preserve">6th </v>
      </c>
      <c r="F64" s="838" t="str">
        <f>'Internal Pricelist'!F57</f>
        <v>7th</v>
      </c>
      <c r="G64" s="839" t="str">
        <f t="shared" si="3"/>
        <v>7K</v>
      </c>
      <c r="H64" s="839" t="str">
        <f>'Internal Pricelist'!I57</f>
        <v>2-BR</v>
      </c>
      <c r="I64" s="839">
        <f>'Internal Pricelist'!J57</f>
        <v>69.36</v>
      </c>
      <c r="J64" s="839">
        <f>'Internal Pricelist'!K57</f>
        <v>4.79</v>
      </c>
      <c r="K64" s="839">
        <f>'Internal Pricelist'!L57</f>
        <v>0</v>
      </c>
      <c r="L64" s="840">
        <f t="shared" si="0"/>
        <v>74.150000000000006</v>
      </c>
      <c r="M64" s="851" t="str">
        <f>'Internal Pricelist'!AA57</f>
        <v>INNER</v>
      </c>
      <c r="N64" s="841"/>
      <c r="O64" s="842">
        <f>'Internal Pricelist'!BM57</f>
        <v>14042980.989971312</v>
      </c>
      <c r="P64" s="843">
        <f t="shared" si="4"/>
        <v>1685157.7187965573</v>
      </c>
      <c r="Q64" s="844">
        <f t="shared" si="13"/>
        <v>1404298.0989971312</v>
      </c>
      <c r="R64" s="843">
        <f t="shared" si="14"/>
        <v>17132436.807765</v>
      </c>
      <c r="S64" s="845">
        <f>'Internal Pricelist'!BS57</f>
        <v>0.15</v>
      </c>
      <c r="T64" s="844">
        <f t="shared" si="15"/>
        <v>2569865.5211647497</v>
      </c>
      <c r="U64" s="839">
        <f>'Internal Pricelist'!BU57</f>
        <v>50000</v>
      </c>
      <c r="V64" s="844">
        <f t="shared" si="5"/>
        <v>2519865.5211647497</v>
      </c>
      <c r="W64" s="846">
        <f>'Internal Pricelist'!BW57</f>
        <v>7</v>
      </c>
      <c r="X64" s="844">
        <f t="shared" si="6"/>
        <v>359980.78873782139</v>
      </c>
      <c r="Y64" s="847">
        <f t="shared" si="7"/>
        <v>0.85</v>
      </c>
      <c r="Z64" s="844">
        <f t="shared" si="8"/>
        <v>14562571.286600249</v>
      </c>
      <c r="AA64" s="844">
        <f t="shared" si="9"/>
        <v>130892.50768700104</v>
      </c>
      <c r="AC64" s="849">
        <f t="shared" si="10"/>
        <v>189386.122588959</v>
      </c>
      <c r="AD64" s="873">
        <f t="shared" si="11"/>
        <v>0</v>
      </c>
      <c r="AG64" s="882">
        <f t="shared" si="18"/>
        <v>7</v>
      </c>
      <c r="AH64" s="853">
        <f t="shared" si="19"/>
        <v>2519865.5211647497</v>
      </c>
      <c r="AI64" s="854">
        <f t="shared" si="20"/>
        <v>0</v>
      </c>
      <c r="AK64" s="872">
        <f>O64-'Internal Pricelist'!AK64</f>
        <v>594286.9358532317</v>
      </c>
      <c r="AL64" s="872">
        <f>P64-'Internal Pricelist'!BP64</f>
        <v>-492736.97756635258</v>
      </c>
      <c r="AM64" s="872">
        <f>'Internal Pricelist'!BN64+'Internal Pricelist'!BO64</f>
        <v>1814912.2469690915</v>
      </c>
      <c r="AN64" s="872">
        <f t="shared" si="22"/>
        <v>410614.14797196025</v>
      </c>
      <c r="AO64" s="872">
        <f>R64-'Internal Pricelist'!BQ64</f>
        <v>-5009492.6052579135</v>
      </c>
      <c r="AS64" s="873">
        <f>'Internal Pricelist'!AK64-PriceLink_Fitted!O64</f>
        <v>-594286.9358532317</v>
      </c>
      <c r="AT64" s="873">
        <f>'Internal Pricelist'!BP64-PriceLink_Fitted!P64</f>
        <v>492736.97756635258</v>
      </c>
      <c r="AU64" s="849">
        <f>'Internal Pricelist'!BN64+'Internal Pricelist'!BO64</f>
        <v>1814912.2469690915</v>
      </c>
      <c r="AV64" s="873">
        <f>PriceLink_Fitted!Q64-PriceLink_Fitted!AU64</f>
        <v>-410614.14797196025</v>
      </c>
      <c r="AW64" s="873">
        <f>'Internal Pricelist'!BQ64-PriceLink_Fitted!R64</f>
        <v>5009492.6052579135</v>
      </c>
    </row>
    <row r="65" spans="1:49" hidden="1" x14ac:dyDescent="0.2">
      <c r="A65" s="835">
        <f t="shared" si="12"/>
        <v>52</v>
      </c>
      <c r="B65" s="836" t="str">
        <f>'Internal Pricelist'!H58</f>
        <v>7L</v>
      </c>
      <c r="C65" s="836" t="str">
        <f>'Internal Pricelist'!C58</f>
        <v>Sold</v>
      </c>
      <c r="D65" s="836">
        <v>52</v>
      </c>
      <c r="E65" s="837" t="str">
        <f>'Internal Pricelist'!E58</f>
        <v xml:space="preserve">6th </v>
      </c>
      <c r="F65" s="838" t="str">
        <f>'Internal Pricelist'!F58</f>
        <v>7th</v>
      </c>
      <c r="G65" s="839" t="str">
        <f t="shared" si="3"/>
        <v>7L</v>
      </c>
      <c r="H65" s="839" t="str">
        <f>'Internal Pricelist'!I58</f>
        <v>2-BR</v>
      </c>
      <c r="I65" s="839">
        <f>'Internal Pricelist'!J58</f>
        <v>83.12</v>
      </c>
      <c r="J65" s="839">
        <f>'Internal Pricelist'!K58</f>
        <v>13.04</v>
      </c>
      <c r="K65" s="839">
        <f>'Internal Pricelist'!L58</f>
        <v>0</v>
      </c>
      <c r="L65" s="840">
        <f t="shared" si="0"/>
        <v>96.16</v>
      </c>
      <c r="M65" s="851" t="str">
        <f>'Internal Pricelist'!AA58</f>
        <v>CORNER</v>
      </c>
      <c r="N65" s="841"/>
      <c r="O65" s="842">
        <f>'Internal Pricelist'!BM58</f>
        <v>17971590.281287834</v>
      </c>
      <c r="P65" s="843">
        <f t="shared" si="4"/>
        <v>2156590.83375454</v>
      </c>
      <c r="Q65" s="844">
        <f t="shared" si="13"/>
        <v>1797159.0281287835</v>
      </c>
      <c r="R65" s="843">
        <f t="shared" si="14"/>
        <v>21925340.143171158</v>
      </c>
      <c r="S65" s="845">
        <f>'Internal Pricelist'!BS58</f>
        <v>0.15</v>
      </c>
      <c r="T65" s="844">
        <f t="shared" si="15"/>
        <v>3288801.0214756737</v>
      </c>
      <c r="U65" s="839">
        <f>'Internal Pricelist'!BU58</f>
        <v>50000</v>
      </c>
      <c r="V65" s="844">
        <f t="shared" si="5"/>
        <v>3238801.0214756737</v>
      </c>
      <c r="W65" s="846">
        <f>'Internal Pricelist'!BW58</f>
        <v>7</v>
      </c>
      <c r="X65" s="844">
        <f t="shared" si="6"/>
        <v>462685.8602108105</v>
      </c>
      <c r="Y65" s="847">
        <f t="shared" si="7"/>
        <v>0.85</v>
      </c>
      <c r="Z65" s="844">
        <f t="shared" si="8"/>
        <v>18636539.121695485</v>
      </c>
      <c r="AA65" s="844">
        <f t="shared" si="9"/>
        <v>167510.4823342716</v>
      </c>
      <c r="AC65" s="849">
        <f t="shared" si="10"/>
        <v>186892.57780041426</v>
      </c>
      <c r="AD65" s="873">
        <f t="shared" si="11"/>
        <v>0</v>
      </c>
      <c r="AG65" s="882">
        <f t="shared" si="18"/>
        <v>7</v>
      </c>
      <c r="AH65" s="853">
        <f t="shared" si="19"/>
        <v>3238801.0214756737</v>
      </c>
      <c r="AI65" s="854">
        <f t="shared" si="20"/>
        <v>0</v>
      </c>
      <c r="AK65" s="872">
        <f>O65-'Internal Pricelist'!AK65</f>
        <v>8569534.6308286116</v>
      </c>
      <c r="AL65" s="872">
        <f>P65-'Internal Pricelist'!BP65</f>
        <v>634012.72664279654</v>
      </c>
      <c r="AM65" s="872">
        <f>'Internal Pricelist'!BN65+'Internal Pricelist'!BO65</f>
        <v>1268815.0892597861</v>
      </c>
      <c r="AN65" s="872">
        <f t="shared" si="22"/>
        <v>-528343.93886899739</v>
      </c>
      <c r="AO65" s="872">
        <f>R65-'Internal Pricelist'!BQ65</f>
        <v>6445796.0542017668</v>
      </c>
      <c r="AS65" s="873">
        <f>'Internal Pricelist'!AK65-PriceLink_Fitted!O65</f>
        <v>-8569534.6308286116</v>
      </c>
      <c r="AT65" s="873">
        <f>'Internal Pricelist'!BP65-PriceLink_Fitted!P65</f>
        <v>-634012.72664279654</v>
      </c>
      <c r="AU65" s="849">
        <f>'Internal Pricelist'!BN65+'Internal Pricelist'!BO65</f>
        <v>1268815.0892597861</v>
      </c>
      <c r="AV65" s="873">
        <f>PriceLink_Fitted!Q65-PriceLink_Fitted!AU65</f>
        <v>528343.93886899739</v>
      </c>
      <c r="AW65" s="873">
        <f>'Internal Pricelist'!BQ65-PriceLink_Fitted!R65</f>
        <v>-6445796.0542017668</v>
      </c>
    </row>
    <row r="66" spans="1:49" hidden="1" x14ac:dyDescent="0.2">
      <c r="A66" s="835">
        <f t="shared" si="12"/>
        <v>53</v>
      </c>
      <c r="B66" s="836" t="str">
        <f>'Internal Pricelist'!H59</f>
        <v>7M</v>
      </c>
      <c r="C66" s="836" t="str">
        <f>'Internal Pricelist'!C59</f>
        <v>Sold</v>
      </c>
      <c r="D66" s="836">
        <v>53</v>
      </c>
      <c r="E66" s="837" t="str">
        <f>'Internal Pricelist'!E59</f>
        <v xml:space="preserve">6th </v>
      </c>
      <c r="F66" s="838" t="str">
        <f>'Internal Pricelist'!F59</f>
        <v>7th</v>
      </c>
      <c r="G66" s="839" t="str">
        <f t="shared" si="3"/>
        <v>7M</v>
      </c>
      <c r="H66" s="839" t="str">
        <f>'Internal Pricelist'!I59</f>
        <v>1-BR</v>
      </c>
      <c r="I66" s="839">
        <f>'Internal Pricelist'!J59</f>
        <v>52.04</v>
      </c>
      <c r="J66" s="839">
        <f>'Internal Pricelist'!K59</f>
        <v>3.1</v>
      </c>
      <c r="K66" s="839">
        <f>'Internal Pricelist'!L59</f>
        <v>0</v>
      </c>
      <c r="L66" s="840">
        <f t="shared" si="0"/>
        <v>55.14</v>
      </c>
      <c r="M66" s="851" t="str">
        <f>'Internal Pricelist'!AA59</f>
        <v>INNER</v>
      </c>
      <c r="N66" s="841"/>
      <c r="O66" s="842">
        <f>'Internal Pricelist'!BM59</f>
        <v>10567840.908716451</v>
      </c>
      <c r="P66" s="843">
        <f t="shared" si="4"/>
        <v>1268140.909045974</v>
      </c>
      <c r="Q66" s="844">
        <f t="shared" si="13"/>
        <v>1056784.0908716451</v>
      </c>
      <c r="R66" s="843">
        <f t="shared" si="14"/>
        <v>12892765.90863407</v>
      </c>
      <c r="S66" s="845">
        <f>'Internal Pricelist'!BS59</f>
        <v>0.15</v>
      </c>
      <c r="T66" s="844">
        <f t="shared" si="15"/>
        <v>1933914.8862951105</v>
      </c>
      <c r="U66" s="839">
        <f>'Internal Pricelist'!BU59</f>
        <v>50000</v>
      </c>
      <c r="V66" s="844">
        <f t="shared" si="5"/>
        <v>1883914.8862951105</v>
      </c>
      <c r="W66" s="846">
        <f>'Internal Pricelist'!BW59</f>
        <v>7</v>
      </c>
      <c r="X66" s="844">
        <f t="shared" si="6"/>
        <v>269130.69804215862</v>
      </c>
      <c r="Y66" s="847">
        <f t="shared" si="7"/>
        <v>0.85</v>
      </c>
      <c r="Z66" s="844">
        <f t="shared" si="8"/>
        <v>10958851.02233896</v>
      </c>
      <c r="AA66" s="844">
        <f t="shared" si="9"/>
        <v>98501.251149382791</v>
      </c>
      <c r="AC66" s="849">
        <f t="shared" si="10"/>
        <v>191654.71361473433</v>
      </c>
      <c r="AD66" s="873">
        <f t="shared" si="11"/>
        <v>0</v>
      </c>
      <c r="AG66" s="882">
        <f t="shared" si="18"/>
        <v>7</v>
      </c>
      <c r="AH66" s="853">
        <f t="shared" si="19"/>
        <v>1883914.8862951105</v>
      </c>
      <c r="AI66" s="854">
        <f t="shared" si="20"/>
        <v>0</v>
      </c>
      <c r="AK66" s="872">
        <f>O66-'Internal Pricelist'!AK66</f>
        <v>-4774507.0931883194</v>
      </c>
      <c r="AL66" s="872">
        <f>P66-'Internal Pricelist'!BP66</f>
        <v>-1216413.9636162443</v>
      </c>
      <c r="AM66" s="872">
        <f>'Internal Pricelist'!BN66+'Internal Pricelist'!BO66</f>
        <v>2070462.393885182</v>
      </c>
      <c r="AN66" s="872">
        <f t="shared" si="22"/>
        <v>1013678.3030135368</v>
      </c>
      <c r="AO66" s="872">
        <f>R66-'Internal Pricelist'!BQ66</f>
        <v>-12366875.296765145</v>
      </c>
      <c r="AS66" s="873">
        <f>'Internal Pricelist'!AK66-PriceLink_Fitted!O66</f>
        <v>4774507.0931883194</v>
      </c>
      <c r="AT66" s="873">
        <f>'Internal Pricelist'!BP66-PriceLink_Fitted!P66</f>
        <v>1216413.9636162443</v>
      </c>
      <c r="AU66" s="849">
        <f>'Internal Pricelist'!BN66+'Internal Pricelist'!BO66</f>
        <v>2070462.393885182</v>
      </c>
      <c r="AV66" s="873">
        <f>PriceLink_Fitted!Q66-PriceLink_Fitted!AU66</f>
        <v>-1013678.3030135368</v>
      </c>
      <c r="AW66" s="873">
        <f>'Internal Pricelist'!BQ66-PriceLink_Fitted!R66</f>
        <v>12366875.296765145</v>
      </c>
    </row>
    <row r="67" spans="1:49" hidden="1" x14ac:dyDescent="0.2">
      <c r="A67" s="835">
        <f t="shared" si="12"/>
        <v>54</v>
      </c>
      <c r="B67" s="836" t="str">
        <f>'Internal Pricelist'!H60</f>
        <v>8A</v>
      </c>
      <c r="C67" s="836" t="str">
        <f>'Internal Pricelist'!C60</f>
        <v>Sold</v>
      </c>
      <c r="D67" s="836">
        <v>54</v>
      </c>
      <c r="E67" s="837" t="str">
        <f>'Internal Pricelist'!E60</f>
        <v>7th</v>
      </c>
      <c r="F67" s="838" t="str">
        <f>'Internal Pricelist'!F60</f>
        <v>8th</v>
      </c>
      <c r="G67" s="839" t="str">
        <f t="shared" si="3"/>
        <v>8A</v>
      </c>
      <c r="H67" s="839" t="str">
        <f>'Internal Pricelist'!I60</f>
        <v>3-BR</v>
      </c>
      <c r="I67" s="839">
        <f>'Internal Pricelist'!J60</f>
        <v>99.98</v>
      </c>
      <c r="J67" s="839">
        <f>'Internal Pricelist'!K60</f>
        <v>10.29</v>
      </c>
      <c r="K67" s="839">
        <f>'Internal Pricelist'!L60</f>
        <v>0</v>
      </c>
      <c r="L67" s="840">
        <f t="shared" si="0"/>
        <v>110.27000000000001</v>
      </c>
      <c r="M67" s="851" t="str">
        <f>'Internal Pricelist'!AA60</f>
        <v>CORNER</v>
      </c>
      <c r="N67" s="841"/>
      <c r="O67" s="842">
        <f>'Internal Pricelist'!BM60</f>
        <v>21461700.706172459</v>
      </c>
      <c r="P67" s="843">
        <f t="shared" si="4"/>
        <v>2575404.0847406951</v>
      </c>
      <c r="Q67" s="844">
        <f t="shared" si="13"/>
        <v>2146170.070617246</v>
      </c>
      <c r="R67" s="843">
        <f t="shared" si="14"/>
        <v>26183274.861530401</v>
      </c>
      <c r="S67" s="845">
        <f>'Internal Pricelist'!BS60</f>
        <v>0.15</v>
      </c>
      <c r="T67" s="844">
        <f t="shared" si="15"/>
        <v>3927491.2292295601</v>
      </c>
      <c r="U67" s="839">
        <f>'Internal Pricelist'!BU60</f>
        <v>50000</v>
      </c>
      <c r="V67" s="844">
        <f t="shared" si="5"/>
        <v>3877491.2292295601</v>
      </c>
      <c r="W67" s="846">
        <f>'Internal Pricelist'!BW60</f>
        <v>7</v>
      </c>
      <c r="X67" s="844">
        <f t="shared" si="6"/>
        <v>553927.31846136576</v>
      </c>
      <c r="Y67" s="847">
        <f t="shared" si="7"/>
        <v>0.85</v>
      </c>
      <c r="Z67" s="844">
        <f t="shared" si="8"/>
        <v>22255783.632300839</v>
      </c>
      <c r="AA67" s="844">
        <f t="shared" si="9"/>
        <v>200041.27518686707</v>
      </c>
      <c r="AC67" s="849">
        <f t="shared" si="10"/>
        <v>194628.64519971394</v>
      </c>
      <c r="AD67" s="873">
        <f t="shared" si="11"/>
        <v>0</v>
      </c>
      <c r="AG67" s="882">
        <f t="shared" si="18"/>
        <v>7</v>
      </c>
      <c r="AH67" s="853">
        <f t="shared" si="19"/>
        <v>3877491.2292295601</v>
      </c>
      <c r="AI67" s="854">
        <f t="shared" si="20"/>
        <v>0</v>
      </c>
      <c r="AK67" s="872">
        <f>O67-'Internal Pricelist'!AK67</f>
        <v>10880540.597296951</v>
      </c>
      <c r="AL67" s="872">
        <f>P67-'Internal Pricelist'!BP67</f>
        <v>861880.64597748476</v>
      </c>
      <c r="AM67" s="872">
        <f>'Internal Pricelist'!BN67+'Internal Pricelist'!BO67</f>
        <v>1427936.1989693418</v>
      </c>
      <c r="AN67" s="872">
        <f t="shared" si="22"/>
        <v>-718233.87164790416</v>
      </c>
      <c r="AO67" s="872">
        <f>R67-'Internal Pricelist'!BQ67</f>
        <v>8762453.2341044284</v>
      </c>
      <c r="AS67" s="873">
        <f>'Internal Pricelist'!AK67-PriceLink_Fitted!O67</f>
        <v>-10880540.597296951</v>
      </c>
      <c r="AT67" s="873">
        <f>'Internal Pricelist'!BP67-PriceLink_Fitted!P67</f>
        <v>-861880.64597748476</v>
      </c>
      <c r="AU67" s="849">
        <f>'Internal Pricelist'!BN67+'Internal Pricelist'!BO67</f>
        <v>1427936.1989693418</v>
      </c>
      <c r="AV67" s="873">
        <f>PriceLink_Fitted!Q67-PriceLink_Fitted!AU67</f>
        <v>718233.87164790416</v>
      </c>
      <c r="AW67" s="873">
        <f>'Internal Pricelist'!BQ67-PriceLink_Fitted!R67</f>
        <v>-8762453.2341044284</v>
      </c>
    </row>
    <row r="68" spans="1:49" hidden="1" x14ac:dyDescent="0.2">
      <c r="A68" s="835">
        <f t="shared" si="12"/>
        <v>55</v>
      </c>
      <c r="B68" s="836" t="str">
        <f>'Internal Pricelist'!H61</f>
        <v>8B</v>
      </c>
      <c r="C68" s="836" t="str">
        <f>'Internal Pricelist'!C61</f>
        <v>Sold</v>
      </c>
      <c r="D68" s="836">
        <v>55</v>
      </c>
      <c r="E68" s="837" t="str">
        <f>'Internal Pricelist'!E61</f>
        <v>7th</v>
      </c>
      <c r="F68" s="838" t="str">
        <f>'Internal Pricelist'!F61</f>
        <v>8th</v>
      </c>
      <c r="G68" s="839" t="str">
        <f t="shared" si="3"/>
        <v>8B</v>
      </c>
      <c r="H68" s="839" t="str">
        <f>'Internal Pricelist'!I61</f>
        <v>1-BR</v>
      </c>
      <c r="I68" s="839">
        <f>'Internal Pricelist'!J61</f>
        <v>52.86</v>
      </c>
      <c r="J68" s="839">
        <f>'Internal Pricelist'!K61</f>
        <v>5.09</v>
      </c>
      <c r="K68" s="839">
        <f>'Internal Pricelist'!L61</f>
        <v>0</v>
      </c>
      <c r="L68" s="840">
        <f t="shared" si="0"/>
        <v>57.95</v>
      </c>
      <c r="M68" s="851" t="str">
        <f>'Internal Pricelist'!AA61</f>
        <v>INNER</v>
      </c>
      <c r="N68" s="841"/>
      <c r="O68" s="842">
        <f>'Internal Pricelist'!BM61</f>
        <v>11140450.355134265</v>
      </c>
      <c r="P68" s="843">
        <f t="shared" si="4"/>
        <v>1336854.0426161119</v>
      </c>
      <c r="Q68" s="844">
        <f t="shared" si="13"/>
        <v>1114045.0355134266</v>
      </c>
      <c r="R68" s="843">
        <f t="shared" si="14"/>
        <v>13591349.433263805</v>
      </c>
      <c r="S68" s="845">
        <f>'Internal Pricelist'!BS61</f>
        <v>0.15</v>
      </c>
      <c r="T68" s="844">
        <f t="shared" si="15"/>
        <v>2038702.4149895706</v>
      </c>
      <c r="U68" s="839">
        <f>'Internal Pricelist'!BU61</f>
        <v>50000</v>
      </c>
      <c r="V68" s="844">
        <f t="shared" si="5"/>
        <v>1988702.4149895706</v>
      </c>
      <c r="W68" s="846">
        <f>'Internal Pricelist'!BW61</f>
        <v>7</v>
      </c>
      <c r="X68" s="844">
        <f t="shared" si="6"/>
        <v>284100.34499851009</v>
      </c>
      <c r="Y68" s="847">
        <f t="shared" si="7"/>
        <v>0.85</v>
      </c>
      <c r="Z68" s="844">
        <f t="shared" si="8"/>
        <v>11552647.018274235</v>
      </c>
      <c r="AA68" s="844">
        <f t="shared" si="9"/>
        <v>103838.45743203876</v>
      </c>
      <c r="AC68" s="849">
        <f t="shared" si="10"/>
        <v>192242.45651655333</v>
      </c>
      <c r="AD68" s="873">
        <f t="shared" si="11"/>
        <v>0</v>
      </c>
      <c r="AG68" s="882">
        <f t="shared" si="18"/>
        <v>7</v>
      </c>
      <c r="AH68" s="853">
        <f t="shared" si="19"/>
        <v>1988702.4149895706</v>
      </c>
      <c r="AI68" s="854">
        <f t="shared" si="20"/>
        <v>0</v>
      </c>
      <c r="AK68" s="872">
        <f>O68-'Internal Pricelist'!AK68</f>
        <v>534143.37422511913</v>
      </c>
      <c r="AL68" s="872">
        <f>P68-'Internal Pricelist'!BP68</f>
        <v>-380741.70525100036</v>
      </c>
      <c r="AM68" s="872">
        <f>'Internal Pricelist'!BN68+'Internal Pricelist'!BO68</f>
        <v>1431329.7898892602</v>
      </c>
      <c r="AN68" s="872">
        <f t="shared" si="22"/>
        <v>317284.75437583355</v>
      </c>
      <c r="AO68" s="872">
        <f>R68-'Internal Pricelist'!BQ68</f>
        <v>-3870874.0033851713</v>
      </c>
      <c r="AS68" s="873">
        <f>'Internal Pricelist'!AK68-PriceLink_Fitted!O68</f>
        <v>-534143.37422511913</v>
      </c>
      <c r="AT68" s="873">
        <f>'Internal Pricelist'!BP68-PriceLink_Fitted!P68</f>
        <v>380741.70525100036</v>
      </c>
      <c r="AU68" s="849">
        <f>'Internal Pricelist'!BN68+'Internal Pricelist'!BO68</f>
        <v>1431329.7898892602</v>
      </c>
      <c r="AV68" s="873">
        <f>PriceLink_Fitted!Q68-PriceLink_Fitted!AU68</f>
        <v>-317284.75437583355</v>
      </c>
      <c r="AW68" s="873">
        <f>'Internal Pricelist'!BQ68-PriceLink_Fitted!R68</f>
        <v>3870874.0033851713</v>
      </c>
    </row>
    <row r="69" spans="1:49" hidden="1" x14ac:dyDescent="0.2">
      <c r="A69" s="835">
        <f t="shared" si="12"/>
        <v>56</v>
      </c>
      <c r="B69" s="836" t="str">
        <f>'Internal Pricelist'!H62</f>
        <v>8C</v>
      </c>
      <c r="C69" s="836" t="str">
        <f>'Internal Pricelist'!C62</f>
        <v>Sold</v>
      </c>
      <c r="D69" s="836">
        <v>56</v>
      </c>
      <c r="E69" s="837" t="str">
        <f>'Internal Pricelist'!E62</f>
        <v>7th</v>
      </c>
      <c r="F69" s="838" t="str">
        <f>'Internal Pricelist'!F62</f>
        <v>8th</v>
      </c>
      <c r="G69" s="839" t="str">
        <f t="shared" si="3"/>
        <v>8C</v>
      </c>
      <c r="H69" s="839" t="str">
        <f>'Internal Pricelist'!I62</f>
        <v>2-BR</v>
      </c>
      <c r="I69" s="839">
        <f>'Internal Pricelist'!J62</f>
        <v>57.5</v>
      </c>
      <c r="J69" s="839">
        <f>'Internal Pricelist'!K62</f>
        <v>5.09</v>
      </c>
      <c r="K69" s="839">
        <f>'Internal Pricelist'!L62</f>
        <v>0</v>
      </c>
      <c r="L69" s="840">
        <f t="shared" si="0"/>
        <v>62.59</v>
      </c>
      <c r="M69" s="851" t="str">
        <f>'Internal Pricelist'!AA62</f>
        <v>INNER</v>
      </c>
      <c r="N69" s="841"/>
      <c r="O69" s="842">
        <f>'Internal Pricelist'!BM62</f>
        <v>12071875.149011347</v>
      </c>
      <c r="P69" s="843">
        <f t="shared" si="4"/>
        <v>1448625.0178813615</v>
      </c>
      <c r="Q69" s="844">
        <f t="shared" si="13"/>
        <v>1207187.5149011349</v>
      </c>
      <c r="R69" s="843">
        <f t="shared" si="14"/>
        <v>14727687.681793844</v>
      </c>
      <c r="S69" s="845">
        <f>'Internal Pricelist'!BS62</f>
        <v>0.15</v>
      </c>
      <c r="T69" s="844">
        <f t="shared" si="15"/>
        <v>2209153.1522690766</v>
      </c>
      <c r="U69" s="839">
        <f>'Internal Pricelist'!BU62</f>
        <v>50000</v>
      </c>
      <c r="V69" s="844">
        <f t="shared" si="5"/>
        <v>2159153.1522690766</v>
      </c>
      <c r="W69" s="846">
        <f>'Internal Pricelist'!BW62</f>
        <v>7</v>
      </c>
      <c r="X69" s="844">
        <f t="shared" si="6"/>
        <v>308450.45032415382</v>
      </c>
      <c r="Y69" s="847">
        <f t="shared" si="7"/>
        <v>0.85</v>
      </c>
      <c r="Z69" s="844">
        <f t="shared" si="8"/>
        <v>12518534.529524768</v>
      </c>
      <c r="AA69" s="844">
        <f t="shared" si="9"/>
        <v>112520.12744779147</v>
      </c>
      <c r="AC69" s="849">
        <f t="shared" si="10"/>
        <v>192872.26632067977</v>
      </c>
      <c r="AD69" s="873">
        <f t="shared" si="11"/>
        <v>0</v>
      </c>
      <c r="AG69" s="882">
        <f t="shared" si="18"/>
        <v>7</v>
      </c>
      <c r="AH69" s="853">
        <f t="shared" si="19"/>
        <v>2159153.1522690766</v>
      </c>
      <c r="AI69" s="854">
        <f t="shared" si="20"/>
        <v>0</v>
      </c>
      <c r="AK69" s="872">
        <f>O69-'Internal Pricelist'!AK69</f>
        <v>1465568.1681022011</v>
      </c>
      <c r="AL69" s="872">
        <f>P69-'Internal Pricelist'!BP69</f>
        <v>-268970.72998575075</v>
      </c>
      <c r="AM69" s="872">
        <f>'Internal Pricelist'!BN69+'Internal Pricelist'!BO69</f>
        <v>1431329.7898892602</v>
      </c>
      <c r="AN69" s="872">
        <f t="shared" si="22"/>
        <v>224142.27498812531</v>
      </c>
      <c r="AO69" s="872">
        <f>R69-'Internal Pricelist'!BQ69</f>
        <v>-2734535.7548551317</v>
      </c>
      <c r="AS69" s="873">
        <f>'Internal Pricelist'!AK69-PriceLink_Fitted!O69</f>
        <v>-1465568.1681022011</v>
      </c>
      <c r="AT69" s="873">
        <f>'Internal Pricelist'!BP69-PriceLink_Fitted!P69</f>
        <v>268970.72998575075</v>
      </c>
      <c r="AU69" s="849">
        <f>'Internal Pricelist'!BN69+'Internal Pricelist'!BO69</f>
        <v>1431329.7898892602</v>
      </c>
      <c r="AV69" s="873">
        <f>PriceLink_Fitted!Q69-PriceLink_Fitted!AU69</f>
        <v>-224142.27498812531</v>
      </c>
      <c r="AW69" s="873">
        <f>'Internal Pricelist'!BQ69-PriceLink_Fitted!R69</f>
        <v>2734535.7548551317</v>
      </c>
    </row>
    <row r="70" spans="1:49" hidden="1" x14ac:dyDescent="0.2">
      <c r="A70" s="835">
        <f t="shared" si="12"/>
        <v>57</v>
      </c>
      <c r="B70" s="836" t="str">
        <f>'Internal Pricelist'!H63</f>
        <v>8D</v>
      </c>
      <c r="C70" s="836" t="str">
        <f>'Internal Pricelist'!C63</f>
        <v>Sold</v>
      </c>
      <c r="D70" s="836">
        <v>57</v>
      </c>
      <c r="E70" s="837" t="str">
        <f>'Internal Pricelist'!E63</f>
        <v>7th</v>
      </c>
      <c r="F70" s="838" t="str">
        <f>'Internal Pricelist'!F63</f>
        <v>8th</v>
      </c>
      <c r="G70" s="839" t="str">
        <f t="shared" si="3"/>
        <v>8D</v>
      </c>
      <c r="H70" s="839" t="str">
        <f>'Internal Pricelist'!I63</f>
        <v>2-BR</v>
      </c>
      <c r="I70" s="839">
        <f>'Internal Pricelist'!J63</f>
        <v>62.11</v>
      </c>
      <c r="J70" s="839">
        <f>'Internal Pricelist'!K63</f>
        <v>5.19</v>
      </c>
      <c r="K70" s="839">
        <f>'Internal Pricelist'!L63</f>
        <v>0</v>
      </c>
      <c r="L70" s="840">
        <f t="shared" si="0"/>
        <v>67.3</v>
      </c>
      <c r="M70" s="851" t="str">
        <f>'Internal Pricelist'!AA63</f>
        <v>INNER</v>
      </c>
      <c r="N70" s="841"/>
      <c r="O70" s="842">
        <f>'Internal Pricelist'!BM63</f>
        <v>13007679.259090036</v>
      </c>
      <c r="P70" s="843">
        <f t="shared" si="4"/>
        <v>1560921.5110908044</v>
      </c>
      <c r="Q70" s="844">
        <f t="shared" si="13"/>
        <v>1300767.9259090037</v>
      </c>
      <c r="R70" s="843">
        <f t="shared" si="14"/>
        <v>15869368.696089843</v>
      </c>
      <c r="S70" s="845">
        <f>'Internal Pricelist'!BS63</f>
        <v>0.15</v>
      </c>
      <c r="T70" s="844">
        <f t="shared" si="15"/>
        <v>2380405.3044134765</v>
      </c>
      <c r="U70" s="839">
        <f>'Internal Pricelist'!BU63</f>
        <v>50000</v>
      </c>
      <c r="V70" s="844">
        <f t="shared" si="5"/>
        <v>2330405.3044134765</v>
      </c>
      <c r="W70" s="846">
        <f>'Internal Pricelist'!BW63</f>
        <v>7</v>
      </c>
      <c r="X70" s="844">
        <f t="shared" si="6"/>
        <v>332915.04348763952</v>
      </c>
      <c r="Y70" s="847">
        <f t="shared" si="7"/>
        <v>0.85</v>
      </c>
      <c r="Z70" s="844">
        <f t="shared" si="8"/>
        <v>13488963.391676366</v>
      </c>
      <c r="AA70" s="844">
        <f t="shared" si="9"/>
        <v>121242.61640932156</v>
      </c>
      <c r="AC70" s="849">
        <f t="shared" si="10"/>
        <v>193279.03802511198</v>
      </c>
      <c r="AD70" s="873">
        <f t="shared" si="11"/>
        <v>0</v>
      </c>
      <c r="AG70" s="882">
        <f t="shared" si="18"/>
        <v>7</v>
      </c>
      <c r="AH70" s="853">
        <f t="shared" si="19"/>
        <v>2330405.3044134765</v>
      </c>
      <c r="AI70" s="854">
        <f t="shared" si="20"/>
        <v>0</v>
      </c>
      <c r="AK70" s="872">
        <f>O70-'Internal Pricelist'!AK70</f>
        <v>2401372.2781808898</v>
      </c>
      <c r="AL70" s="872">
        <f>P70-'Internal Pricelist'!BP70</f>
        <v>-156674.23677630792</v>
      </c>
      <c r="AM70" s="872">
        <f>'Internal Pricelist'!BN70+'Internal Pricelist'!BO70</f>
        <v>1431329.7898892602</v>
      </c>
      <c r="AN70" s="872">
        <f t="shared" si="22"/>
        <v>130561.86398025649</v>
      </c>
      <c r="AO70" s="872">
        <f>R70-'Internal Pricelist'!BQ70</f>
        <v>-1592854.7405591328</v>
      </c>
      <c r="AS70" s="873">
        <f>'Internal Pricelist'!AK70-PriceLink_Fitted!O70</f>
        <v>-2401372.2781808898</v>
      </c>
      <c r="AT70" s="873">
        <f>'Internal Pricelist'!BP70-PriceLink_Fitted!P70</f>
        <v>156674.23677630792</v>
      </c>
      <c r="AU70" s="849">
        <f>'Internal Pricelist'!BN70+'Internal Pricelist'!BO70</f>
        <v>1431329.7898892602</v>
      </c>
      <c r="AV70" s="873">
        <f>PriceLink_Fitted!Q70-PriceLink_Fitted!AU70</f>
        <v>-130561.86398025649</v>
      </c>
      <c r="AW70" s="873">
        <f>'Internal Pricelist'!BQ70-PriceLink_Fitted!R70</f>
        <v>1592854.7405591328</v>
      </c>
    </row>
    <row r="71" spans="1:49" hidden="1" x14ac:dyDescent="0.2">
      <c r="A71" s="835">
        <f t="shared" si="12"/>
        <v>58</v>
      </c>
      <c r="B71" s="836" t="str">
        <f>'Internal Pricelist'!H64</f>
        <v>8E</v>
      </c>
      <c r="C71" s="836" t="str">
        <f>'Internal Pricelist'!C64</f>
        <v>Sold</v>
      </c>
      <c r="D71" s="836">
        <v>58</v>
      </c>
      <c r="E71" s="837" t="str">
        <f>'Internal Pricelist'!E64</f>
        <v>7th</v>
      </c>
      <c r="F71" s="838" t="str">
        <f>'Internal Pricelist'!F64</f>
        <v>8th</v>
      </c>
      <c r="G71" s="839" t="str">
        <f t="shared" si="3"/>
        <v>8E</v>
      </c>
      <c r="H71" s="839" t="str">
        <f>'Internal Pricelist'!I64</f>
        <v>2-BR</v>
      </c>
      <c r="I71" s="839">
        <f>'Internal Pricelist'!J64</f>
        <v>80.900000000000006</v>
      </c>
      <c r="J71" s="839">
        <f>'Internal Pricelist'!K64</f>
        <v>15.65</v>
      </c>
      <c r="K71" s="839">
        <f>'Internal Pricelist'!L64</f>
        <v>0</v>
      </c>
      <c r="L71" s="840">
        <f t="shared" si="0"/>
        <v>96.550000000000011</v>
      </c>
      <c r="M71" s="851" t="str">
        <f>'Internal Pricelist'!AA64</f>
        <v>CORNER</v>
      </c>
      <c r="N71" s="841"/>
      <c r="O71" s="842">
        <f>'Internal Pricelist'!BM64</f>
        <v>18149122.469690915</v>
      </c>
      <c r="P71" s="843">
        <f t="shared" si="4"/>
        <v>2177894.6963629099</v>
      </c>
      <c r="Q71" s="844">
        <f t="shared" si="13"/>
        <v>1814912.2469690917</v>
      </c>
      <c r="R71" s="843">
        <f t="shared" si="14"/>
        <v>22141929.413022917</v>
      </c>
      <c r="S71" s="845">
        <f>'Internal Pricelist'!BS64</f>
        <v>0.15</v>
      </c>
      <c r="T71" s="844">
        <f t="shared" si="15"/>
        <v>3321289.4119534376</v>
      </c>
      <c r="U71" s="839">
        <f>'Internal Pricelist'!BU64</f>
        <v>50000</v>
      </c>
      <c r="V71" s="844">
        <f t="shared" si="5"/>
        <v>3271289.4119534376</v>
      </c>
      <c r="W71" s="846">
        <f>'Internal Pricelist'!BW64</f>
        <v>7</v>
      </c>
      <c r="X71" s="844">
        <f t="shared" si="6"/>
        <v>467327.05885049107</v>
      </c>
      <c r="Y71" s="847">
        <f t="shared" si="7"/>
        <v>0.85</v>
      </c>
      <c r="Z71" s="844">
        <f t="shared" si="8"/>
        <v>18820640.001069479</v>
      </c>
      <c r="AA71" s="844">
        <f t="shared" si="9"/>
        <v>169165.23308497298</v>
      </c>
      <c r="AC71" s="849">
        <f t="shared" si="10"/>
        <v>187976.41087199288</v>
      </c>
      <c r="AD71" s="873">
        <f t="shared" si="11"/>
        <v>0</v>
      </c>
      <c r="AG71" s="882">
        <f t="shared" si="18"/>
        <v>7</v>
      </c>
      <c r="AH71" s="853">
        <f t="shared" si="19"/>
        <v>3271289.4119534376</v>
      </c>
      <c r="AI71" s="854">
        <f t="shared" si="20"/>
        <v>0</v>
      </c>
      <c r="AK71" s="872">
        <f>O71-'Internal Pricelist'!AK71</f>
        <v>4572216.4528193418</v>
      </c>
      <c r="AL71" s="872">
        <f>P71-'Internal Pricelist'!BP71</f>
        <v>-20762.770910503343</v>
      </c>
      <c r="AM71" s="872">
        <f>'Internal Pricelist'!BN71+'Internal Pricelist'!BO71</f>
        <v>1832214.5560611775</v>
      </c>
      <c r="AN71" s="872">
        <f t="shared" si="22"/>
        <v>17302.309092085809</v>
      </c>
      <c r="AO71" s="872">
        <f>R71-'Internal Pricelist'!BQ71</f>
        <v>-211088.17092345282</v>
      </c>
      <c r="AS71" s="873">
        <f>'Internal Pricelist'!AK71-PriceLink_Fitted!O71</f>
        <v>-4572216.4528193418</v>
      </c>
      <c r="AT71" s="873">
        <f>'Internal Pricelist'!BP71-PriceLink_Fitted!P71</f>
        <v>20762.770910503343</v>
      </c>
      <c r="AU71" s="849">
        <f>'Internal Pricelist'!BN71+'Internal Pricelist'!BO71</f>
        <v>1832214.5560611775</v>
      </c>
      <c r="AV71" s="873">
        <f>PriceLink_Fitted!Q71-PriceLink_Fitted!AU71</f>
        <v>-17302.309092085809</v>
      </c>
      <c r="AW71" s="873">
        <f>'Internal Pricelist'!BQ71-PriceLink_Fitted!R71</f>
        <v>211088.17092345282</v>
      </c>
    </row>
    <row r="72" spans="1:49" hidden="1" x14ac:dyDescent="0.2">
      <c r="A72" s="835">
        <f t="shared" si="12"/>
        <v>59</v>
      </c>
      <c r="B72" s="836" t="str">
        <f>'Internal Pricelist'!H65</f>
        <v>8F</v>
      </c>
      <c r="C72" s="836" t="str">
        <f>'Internal Pricelist'!C65</f>
        <v>Sold</v>
      </c>
      <c r="D72" s="836">
        <v>59</v>
      </c>
      <c r="E72" s="837" t="str">
        <f>'Internal Pricelist'!E65</f>
        <v>7th</v>
      </c>
      <c r="F72" s="838" t="str">
        <f>'Internal Pricelist'!F65</f>
        <v>8th</v>
      </c>
      <c r="G72" s="839" t="str">
        <f t="shared" si="3"/>
        <v>8F</v>
      </c>
      <c r="H72" s="839" t="str">
        <f>'Internal Pricelist'!I65</f>
        <v>2-BR</v>
      </c>
      <c r="I72" s="839">
        <f>'Internal Pricelist'!J65</f>
        <v>61.56</v>
      </c>
      <c r="J72" s="839">
        <f>'Internal Pricelist'!K65</f>
        <v>4.0999999999999996</v>
      </c>
      <c r="K72" s="839">
        <f>'Internal Pricelist'!L65</f>
        <v>0</v>
      </c>
      <c r="L72" s="840">
        <f t="shared" si="0"/>
        <v>65.66</v>
      </c>
      <c r="M72" s="851" t="str">
        <f>'Internal Pricelist'!AA65</f>
        <v>INNER</v>
      </c>
      <c r="N72" s="841"/>
      <c r="O72" s="842">
        <f>'Internal Pricelist'!BM65</f>
        <v>12688150.892597862</v>
      </c>
      <c r="P72" s="843">
        <f t="shared" si="4"/>
        <v>1522578.1071117434</v>
      </c>
      <c r="Q72" s="844">
        <f t="shared" si="13"/>
        <v>1268815.0892597863</v>
      </c>
      <c r="R72" s="843">
        <f t="shared" si="14"/>
        <v>15479544.088969391</v>
      </c>
      <c r="S72" s="845">
        <f>'Internal Pricelist'!BS65</f>
        <v>0.15</v>
      </c>
      <c r="T72" s="844">
        <f t="shared" si="15"/>
        <v>2321931.6133454083</v>
      </c>
      <c r="U72" s="839">
        <f>'Internal Pricelist'!BU65</f>
        <v>50000</v>
      </c>
      <c r="V72" s="844">
        <f t="shared" si="5"/>
        <v>2271931.6133454083</v>
      </c>
      <c r="W72" s="846">
        <f>'Internal Pricelist'!BW65</f>
        <v>7</v>
      </c>
      <c r="X72" s="844">
        <f t="shared" si="6"/>
        <v>324561.65904934407</v>
      </c>
      <c r="Y72" s="847">
        <f t="shared" si="7"/>
        <v>0.85</v>
      </c>
      <c r="Z72" s="844">
        <f t="shared" si="8"/>
        <v>13157612.475623982</v>
      </c>
      <c r="AA72" s="844">
        <f t="shared" si="9"/>
        <v>118264.34070011423</v>
      </c>
      <c r="AC72" s="849">
        <f t="shared" si="10"/>
        <v>193240.19026192298</v>
      </c>
      <c r="AD72" s="873">
        <f t="shared" si="11"/>
        <v>0</v>
      </c>
      <c r="AG72" s="882">
        <f t="shared" si="18"/>
        <v>7</v>
      </c>
      <c r="AH72" s="853">
        <f t="shared" si="19"/>
        <v>2271931.6133454083</v>
      </c>
      <c r="AI72" s="854">
        <f t="shared" si="20"/>
        <v>0</v>
      </c>
      <c r="AK72" s="872">
        <f>O72-'Internal Pricelist'!AK72</f>
        <v>4708313.2521222951</v>
      </c>
      <c r="AL72" s="872">
        <f>P72-'Internal Pricelist'!BP72</f>
        <v>230315.37847102364</v>
      </c>
      <c r="AM72" s="872">
        <f>'Internal Pricelist'!BN72+'Internal Pricelist'!BO72</f>
        <v>1076885.6072005997</v>
      </c>
      <c r="AN72" s="872">
        <f t="shared" si="22"/>
        <v>-191929.48205918656</v>
      </c>
      <c r="AO72" s="872">
        <f>R72-'Internal Pricelist'!BQ72</f>
        <v>2341539.681122072</v>
      </c>
      <c r="AS72" s="873">
        <f>'Internal Pricelist'!AK72-PriceLink_Fitted!O72</f>
        <v>-4708313.2521222951</v>
      </c>
      <c r="AT72" s="873">
        <f>'Internal Pricelist'!BP72-PriceLink_Fitted!P72</f>
        <v>-230315.37847102364</v>
      </c>
      <c r="AU72" s="849">
        <f>'Internal Pricelist'!BN72+'Internal Pricelist'!BO72</f>
        <v>1076885.6072005997</v>
      </c>
      <c r="AV72" s="873">
        <f>PriceLink_Fitted!Q72-PriceLink_Fitted!AU72</f>
        <v>191929.48205918656</v>
      </c>
      <c r="AW72" s="873">
        <f>'Internal Pricelist'!BQ72-PriceLink_Fitted!R72</f>
        <v>-2341539.681122072</v>
      </c>
    </row>
    <row r="73" spans="1:49" hidden="1" x14ac:dyDescent="0.2">
      <c r="A73" s="835">
        <f t="shared" si="12"/>
        <v>60</v>
      </c>
      <c r="B73" s="836" t="str">
        <f>'Internal Pricelist'!H66</f>
        <v>8G</v>
      </c>
      <c r="C73" s="836" t="str">
        <f>'Internal Pricelist'!C66</f>
        <v>Sold</v>
      </c>
      <c r="D73" s="836">
        <v>60</v>
      </c>
      <c r="E73" s="837" t="str">
        <f>'Internal Pricelist'!E66</f>
        <v>7th</v>
      </c>
      <c r="F73" s="838" t="str">
        <f>'Internal Pricelist'!F66</f>
        <v>8th</v>
      </c>
      <c r="G73" s="839" t="str">
        <f t="shared" si="3"/>
        <v>8G</v>
      </c>
      <c r="H73" s="839" t="str">
        <f>'Internal Pricelist'!I66</f>
        <v>2-BR</v>
      </c>
      <c r="I73" s="839">
        <f>'Internal Pricelist'!J66</f>
        <v>95.44</v>
      </c>
      <c r="J73" s="839">
        <f>'Internal Pricelist'!K66</f>
        <v>13.34</v>
      </c>
      <c r="K73" s="839">
        <f>'Internal Pricelist'!L66</f>
        <v>0</v>
      </c>
      <c r="L73" s="840">
        <f t="shared" si="0"/>
        <v>108.78</v>
      </c>
      <c r="M73" s="851" t="str">
        <f>'Internal Pricelist'!AA66</f>
        <v>CORNER</v>
      </c>
      <c r="N73" s="841"/>
      <c r="O73" s="842">
        <f>'Internal Pricelist'!BM66</f>
        <v>20704623.938851818</v>
      </c>
      <c r="P73" s="843">
        <f t="shared" si="4"/>
        <v>2484554.8726622183</v>
      </c>
      <c r="Q73" s="844">
        <f t="shared" si="13"/>
        <v>2070462.393885182</v>
      </c>
      <c r="R73" s="843">
        <f t="shared" si="14"/>
        <v>25259641.205399215</v>
      </c>
      <c r="S73" s="845">
        <f>'Internal Pricelist'!BS66</f>
        <v>0.15</v>
      </c>
      <c r="T73" s="844">
        <f t="shared" si="15"/>
        <v>3788946.180809882</v>
      </c>
      <c r="U73" s="839">
        <f>'Internal Pricelist'!BU66</f>
        <v>50000</v>
      </c>
      <c r="V73" s="844">
        <f t="shared" si="5"/>
        <v>3738946.180809882</v>
      </c>
      <c r="W73" s="846">
        <f>'Internal Pricelist'!BW66</f>
        <v>7</v>
      </c>
      <c r="X73" s="844">
        <f t="shared" si="6"/>
        <v>534135.16868712602</v>
      </c>
      <c r="Y73" s="847">
        <f t="shared" si="7"/>
        <v>0.85</v>
      </c>
      <c r="Z73" s="844">
        <f t="shared" si="8"/>
        <v>21470695.024589334</v>
      </c>
      <c r="AA73" s="844">
        <f t="shared" si="9"/>
        <v>192984.67682951436</v>
      </c>
      <c r="AC73" s="849">
        <f t="shared" si="10"/>
        <v>190334.84040128533</v>
      </c>
      <c r="AD73" s="873">
        <f t="shared" si="11"/>
        <v>0</v>
      </c>
      <c r="AG73" s="882">
        <f t="shared" si="18"/>
        <v>7</v>
      </c>
      <c r="AH73" s="853">
        <f t="shared" si="19"/>
        <v>3738946.180809882</v>
      </c>
      <c r="AI73" s="854">
        <f t="shared" si="20"/>
        <v>0</v>
      </c>
      <c r="AK73" s="872">
        <f>O73-'Internal Pricelist'!AK73</f>
        <v>4980003.0044777356</v>
      </c>
      <c r="AL73" s="872">
        <f>P73-'Internal Pricelist'!BP73</f>
        <v>-61905.653354726732</v>
      </c>
      <c r="AM73" s="872">
        <f>'Internal Pricelist'!BN73+'Internal Pricelist'!BO73</f>
        <v>2122050.4383474542</v>
      </c>
      <c r="AN73" s="872">
        <f t="shared" si="22"/>
        <v>51588.044462272199</v>
      </c>
      <c r="AO73" s="872">
        <f>R73-'Internal Pricelist'!BQ73</f>
        <v>-629374.14243973047</v>
      </c>
      <c r="AS73" s="873">
        <f>'Internal Pricelist'!AK73-PriceLink_Fitted!O73</f>
        <v>-4980003.0044777356</v>
      </c>
      <c r="AT73" s="873">
        <f>'Internal Pricelist'!BP73-PriceLink_Fitted!P73</f>
        <v>61905.653354726732</v>
      </c>
      <c r="AU73" s="849">
        <f>'Internal Pricelist'!BN73+'Internal Pricelist'!BO73</f>
        <v>2122050.4383474542</v>
      </c>
      <c r="AV73" s="873">
        <f>PriceLink_Fitted!Q73-PriceLink_Fitted!AU73</f>
        <v>-51588.044462272199</v>
      </c>
      <c r="AW73" s="873">
        <f>'Internal Pricelist'!BQ73-PriceLink_Fitted!R73</f>
        <v>629374.14243973047</v>
      </c>
    </row>
    <row r="74" spans="1:49" hidden="1" x14ac:dyDescent="0.2">
      <c r="A74" s="835">
        <f t="shared" si="12"/>
        <v>61</v>
      </c>
      <c r="B74" s="836" t="str">
        <f>'Internal Pricelist'!H67</f>
        <v>8H</v>
      </c>
      <c r="C74" s="836" t="str">
        <f>'Internal Pricelist'!C67</f>
        <v>Sold</v>
      </c>
      <c r="D74" s="836">
        <v>61</v>
      </c>
      <c r="E74" s="837" t="str">
        <f>'Internal Pricelist'!E67</f>
        <v>7th</v>
      </c>
      <c r="F74" s="838" t="str">
        <f>'Internal Pricelist'!F67</f>
        <v>8th</v>
      </c>
      <c r="G74" s="839" t="str">
        <f t="shared" si="3"/>
        <v>8H</v>
      </c>
      <c r="H74" s="839" t="str">
        <f>'Internal Pricelist'!I67</f>
        <v>2-BR</v>
      </c>
      <c r="I74" s="839">
        <f>'Internal Pricelist'!J67</f>
        <v>69.2</v>
      </c>
      <c r="J74" s="839">
        <f>'Internal Pricelist'!K67</f>
        <v>4.7699999999999996</v>
      </c>
      <c r="K74" s="839">
        <f>'Internal Pricelist'!L67</f>
        <v>0</v>
      </c>
      <c r="L74" s="840">
        <f t="shared" si="0"/>
        <v>73.97</v>
      </c>
      <c r="M74" s="851" t="str">
        <f>'Internal Pricelist'!AA67</f>
        <v>INNER</v>
      </c>
      <c r="N74" s="841"/>
      <c r="O74" s="842">
        <f>'Internal Pricelist'!BM67</f>
        <v>14279361.98969342</v>
      </c>
      <c r="P74" s="843">
        <f t="shared" si="4"/>
        <v>1713523.4387632103</v>
      </c>
      <c r="Q74" s="844">
        <f t="shared" si="13"/>
        <v>1427936.198969342</v>
      </c>
      <c r="R74" s="843">
        <f t="shared" si="14"/>
        <v>17420821.627425972</v>
      </c>
      <c r="S74" s="845">
        <f>'Internal Pricelist'!BS67</f>
        <v>0.15</v>
      </c>
      <c r="T74" s="844">
        <f t="shared" si="15"/>
        <v>2613123.2441138956</v>
      </c>
      <c r="U74" s="839">
        <f>'Internal Pricelist'!BU67</f>
        <v>50000</v>
      </c>
      <c r="V74" s="844">
        <f t="shared" si="5"/>
        <v>2563123.2441138956</v>
      </c>
      <c r="W74" s="846">
        <f>'Internal Pricelist'!BW67</f>
        <v>7</v>
      </c>
      <c r="X74" s="844">
        <f t="shared" si="6"/>
        <v>366160.4634448422</v>
      </c>
      <c r="Y74" s="847">
        <f t="shared" si="7"/>
        <v>0.85</v>
      </c>
      <c r="Z74" s="844">
        <f t="shared" si="8"/>
        <v>14807698.383312076</v>
      </c>
      <c r="AA74" s="844">
        <f t="shared" si="9"/>
        <v>133095.77933176671</v>
      </c>
      <c r="AC74" s="849">
        <f t="shared" si="10"/>
        <v>193042.61173034229</v>
      </c>
      <c r="AD74" s="873">
        <f t="shared" si="11"/>
        <v>0</v>
      </c>
      <c r="AG74" s="882">
        <f t="shared" si="18"/>
        <v>7</v>
      </c>
      <c r="AH74" s="853">
        <f t="shared" si="19"/>
        <v>2563123.2441138956</v>
      </c>
      <c r="AI74" s="854">
        <f t="shared" si="20"/>
        <v>0</v>
      </c>
      <c r="AK74" s="872">
        <f>O74-'Internal Pricelist'!AK74</f>
        <v>6118096.17567275</v>
      </c>
      <c r="AL74" s="872">
        <f>P74-'Internal Pricelist'!BP74</f>
        <v>391880.05387849663</v>
      </c>
      <c r="AM74" s="872">
        <f>'Internal Pricelist'!BN74+'Internal Pricelist'!BO74</f>
        <v>1101369.4874039281</v>
      </c>
      <c r="AN74" s="872">
        <f t="shared" si="22"/>
        <v>-326566.71156541398</v>
      </c>
      <c r="AO74" s="872">
        <f>R74-'Internal Pricelist'!BQ74</f>
        <v>3984113.8810980488</v>
      </c>
      <c r="AS74" s="873">
        <f>'Internal Pricelist'!AK74-PriceLink_Fitted!O74</f>
        <v>-6118096.17567275</v>
      </c>
      <c r="AT74" s="873">
        <f>'Internal Pricelist'!BP74-PriceLink_Fitted!P74</f>
        <v>-391880.05387849663</v>
      </c>
      <c r="AU74" s="849">
        <f>'Internal Pricelist'!BN74+'Internal Pricelist'!BO74</f>
        <v>1101369.4874039281</v>
      </c>
      <c r="AV74" s="873">
        <f>PriceLink_Fitted!Q74-PriceLink_Fitted!AU74</f>
        <v>326566.71156541398</v>
      </c>
      <c r="AW74" s="873">
        <f>'Internal Pricelist'!BQ74-PriceLink_Fitted!R74</f>
        <v>-3984113.8810980488</v>
      </c>
    </row>
    <row r="75" spans="1:49" x14ac:dyDescent="0.2">
      <c r="A75" s="835">
        <f t="shared" si="12"/>
        <v>62</v>
      </c>
      <c r="B75" s="836" t="str">
        <f>'Internal Pricelist'!H68</f>
        <v>8I</v>
      </c>
      <c r="C75" s="836" t="str">
        <f>'Internal Pricelist'!C68</f>
        <v>Unsold</v>
      </c>
      <c r="D75" s="836">
        <v>62</v>
      </c>
      <c r="E75" s="837" t="str">
        <f>'Internal Pricelist'!E68</f>
        <v>7th</v>
      </c>
      <c r="F75" s="838" t="str">
        <f>'Internal Pricelist'!F68</f>
        <v>8th</v>
      </c>
      <c r="G75" s="839" t="str">
        <f t="shared" si="3"/>
        <v>8I</v>
      </c>
      <c r="H75" s="839" t="str">
        <f>'Internal Pricelist'!I68</f>
        <v>1-BR</v>
      </c>
      <c r="I75" s="839">
        <f>'Internal Pricelist'!J68</f>
        <v>69.36</v>
      </c>
      <c r="J75" s="839">
        <f>'Internal Pricelist'!K68</f>
        <v>4.79</v>
      </c>
      <c r="K75" s="839">
        <f>'Internal Pricelist'!L68</f>
        <v>0</v>
      </c>
      <c r="L75" s="840">
        <f t="shared" si="0"/>
        <v>74.150000000000006</v>
      </c>
      <c r="M75" s="851" t="str">
        <f>'Internal Pricelist'!AA68</f>
        <v>INNER</v>
      </c>
      <c r="N75" s="841"/>
      <c r="O75" s="842">
        <f>'Internal Pricelist'!BM68</f>
        <v>14313297.898892604</v>
      </c>
      <c r="P75" s="843">
        <f t="shared" si="4"/>
        <v>1717595.7478671123</v>
      </c>
      <c r="Q75" s="844">
        <f t="shared" si="13"/>
        <v>1431329.7898892604</v>
      </c>
      <c r="R75" s="843">
        <f t="shared" si="14"/>
        <v>17462223.436648976</v>
      </c>
      <c r="S75" s="845">
        <f>'Internal Pricelist'!BS68</f>
        <v>0.15</v>
      </c>
      <c r="T75" s="844">
        <f t="shared" si="15"/>
        <v>2619333.5154973464</v>
      </c>
      <c r="U75" s="839">
        <f>'Internal Pricelist'!BU68</f>
        <v>50000</v>
      </c>
      <c r="V75" s="844">
        <f t="shared" si="5"/>
        <v>2569333.5154973464</v>
      </c>
      <c r="W75" s="846">
        <f>'Internal Pricelist'!BW68</f>
        <v>7</v>
      </c>
      <c r="X75" s="844">
        <f t="shared" si="6"/>
        <v>367047.64507104951</v>
      </c>
      <c r="Y75" s="847">
        <f t="shared" si="7"/>
        <v>0.85</v>
      </c>
      <c r="Z75" s="844">
        <f t="shared" si="8"/>
        <v>14842889.921151629</v>
      </c>
      <c r="AA75" s="844">
        <f t="shared" si="9"/>
        <v>133412.09082281633</v>
      </c>
      <c r="AC75" s="849">
        <f t="shared" si="10"/>
        <v>193031.6641792664</v>
      </c>
      <c r="AD75" s="873">
        <f t="shared" si="11"/>
        <v>0</v>
      </c>
      <c r="AG75" s="882">
        <f t="shared" si="18"/>
        <v>7</v>
      </c>
      <c r="AH75" s="853">
        <f t="shared" si="19"/>
        <v>2569333.5154973464</v>
      </c>
      <c r="AI75" s="854">
        <f t="shared" si="20"/>
        <v>0</v>
      </c>
      <c r="AK75" s="872">
        <f>O75-'Internal Pricelist'!AK75</f>
        <v>5469356.9976045806</v>
      </c>
      <c r="AL75" s="872">
        <f>P75-'Internal Pricelist'!BP75</f>
        <v>285399.29025163874</v>
      </c>
      <c r="AM75" s="872">
        <f>'Internal Pricelist'!BN75+'Internal Pricelist'!BO75</f>
        <v>1193497.0480128946</v>
      </c>
      <c r="AN75" s="872">
        <f t="shared" si="22"/>
        <v>-237832.74187636585</v>
      </c>
      <c r="AO75" s="872">
        <f>R75-'Internal Pricelist'!BQ75</f>
        <v>2901559.4508916605</v>
      </c>
      <c r="AS75" s="873">
        <f>'Internal Pricelist'!AK75-PriceLink_Fitted!O75</f>
        <v>-5469356.9976045806</v>
      </c>
      <c r="AT75" s="873">
        <f>'Internal Pricelist'!BP75-PriceLink_Fitted!P75</f>
        <v>-285399.29025163874</v>
      </c>
      <c r="AU75" s="849">
        <f>'Internal Pricelist'!BN75+'Internal Pricelist'!BO75</f>
        <v>1193497.0480128946</v>
      </c>
      <c r="AV75" s="873">
        <f>PriceLink_Fitted!Q75-PriceLink_Fitted!AU75</f>
        <v>237832.74187636585</v>
      </c>
      <c r="AW75" s="873">
        <f>'Internal Pricelist'!BQ75-PriceLink_Fitted!R75</f>
        <v>-2901559.4508916605</v>
      </c>
    </row>
    <row r="76" spans="1:49" hidden="1" x14ac:dyDescent="0.2">
      <c r="A76" s="835">
        <f t="shared" si="12"/>
        <v>63</v>
      </c>
      <c r="B76" s="836" t="str">
        <f>'Internal Pricelist'!H69</f>
        <v>8J</v>
      </c>
      <c r="C76" s="836" t="str">
        <f>'Internal Pricelist'!C69</f>
        <v>Sold</v>
      </c>
      <c r="D76" s="836">
        <v>63</v>
      </c>
      <c r="E76" s="837" t="str">
        <f>'Internal Pricelist'!E69</f>
        <v>7th</v>
      </c>
      <c r="F76" s="838" t="str">
        <f>'Internal Pricelist'!F69</f>
        <v>8th</v>
      </c>
      <c r="G76" s="839" t="str">
        <f t="shared" si="3"/>
        <v>8J</v>
      </c>
      <c r="H76" s="839" t="str">
        <f>'Internal Pricelist'!I69</f>
        <v>2-BR</v>
      </c>
      <c r="I76" s="839">
        <f>'Internal Pricelist'!J69</f>
        <v>69.36</v>
      </c>
      <c r="J76" s="839">
        <f>'Internal Pricelist'!K69</f>
        <v>4.79</v>
      </c>
      <c r="K76" s="839">
        <f>'Internal Pricelist'!L69</f>
        <v>0</v>
      </c>
      <c r="L76" s="840">
        <f t="shared" si="0"/>
        <v>74.150000000000006</v>
      </c>
      <c r="M76" s="851" t="str">
        <f>'Internal Pricelist'!AA69</f>
        <v>INNER</v>
      </c>
      <c r="N76" s="841"/>
      <c r="O76" s="842">
        <f>'Internal Pricelist'!BM69</f>
        <v>14313297.898892604</v>
      </c>
      <c r="P76" s="843">
        <f t="shared" si="4"/>
        <v>1717595.7478671123</v>
      </c>
      <c r="Q76" s="844">
        <f t="shared" si="13"/>
        <v>1431329.7898892604</v>
      </c>
      <c r="R76" s="843">
        <f t="shared" si="14"/>
        <v>17462223.436648976</v>
      </c>
      <c r="S76" s="845">
        <f>'Internal Pricelist'!BS69</f>
        <v>0.15</v>
      </c>
      <c r="T76" s="844">
        <f t="shared" si="15"/>
        <v>2619333.5154973464</v>
      </c>
      <c r="U76" s="839">
        <f>'Internal Pricelist'!BU69</f>
        <v>50000</v>
      </c>
      <c r="V76" s="844">
        <f t="shared" si="5"/>
        <v>2569333.5154973464</v>
      </c>
      <c r="W76" s="846">
        <f>'Internal Pricelist'!BW69</f>
        <v>7</v>
      </c>
      <c r="X76" s="844">
        <f t="shared" si="6"/>
        <v>367047.64507104951</v>
      </c>
      <c r="Y76" s="847">
        <f t="shared" si="7"/>
        <v>0.85</v>
      </c>
      <c r="Z76" s="844">
        <f t="shared" si="8"/>
        <v>14842889.921151629</v>
      </c>
      <c r="AA76" s="844">
        <f t="shared" si="9"/>
        <v>133412.09082281633</v>
      </c>
      <c r="AC76" s="849">
        <f t="shared" si="10"/>
        <v>193031.6641792664</v>
      </c>
      <c r="AD76" s="873">
        <f t="shared" si="11"/>
        <v>0</v>
      </c>
      <c r="AG76" s="882">
        <f t="shared" si="18"/>
        <v>7</v>
      </c>
      <c r="AH76" s="853">
        <f t="shared" si="19"/>
        <v>2569333.5154973464</v>
      </c>
      <c r="AI76" s="854">
        <f t="shared" si="20"/>
        <v>0</v>
      </c>
      <c r="AK76" s="872">
        <f>O76-'Internal Pricelist'!AK76</f>
        <v>4783550.2483315747</v>
      </c>
      <c r="AL76" s="872">
        <f>P76-'Internal Pricelist'!BP76</f>
        <v>174339.07310630078</v>
      </c>
      <c r="AM76" s="872">
        <f>'Internal Pricelist'!BN76+'Internal Pricelist'!BO76</f>
        <v>1286047.228967343</v>
      </c>
      <c r="AN76" s="872">
        <f t="shared" si="22"/>
        <v>-145282.56092191744</v>
      </c>
      <c r="AO76" s="872">
        <f>R76-'Internal Pricelist'!BQ76</f>
        <v>1772447.2432473917</v>
      </c>
      <c r="AS76" s="873">
        <f>'Internal Pricelist'!AK76-PriceLink_Fitted!O76</f>
        <v>-4783550.2483315747</v>
      </c>
      <c r="AT76" s="873">
        <f>'Internal Pricelist'!BP76-PriceLink_Fitted!P76</f>
        <v>-174339.07310630078</v>
      </c>
      <c r="AU76" s="849">
        <f>'Internal Pricelist'!BN76+'Internal Pricelist'!BO76</f>
        <v>1286047.228967343</v>
      </c>
      <c r="AV76" s="873">
        <f>PriceLink_Fitted!Q76-PriceLink_Fitted!AU76</f>
        <v>145282.56092191744</v>
      </c>
      <c r="AW76" s="873">
        <f>'Internal Pricelist'!BQ76-PriceLink_Fitted!R76</f>
        <v>-1772447.2432473917</v>
      </c>
    </row>
    <row r="77" spans="1:49" x14ac:dyDescent="0.2">
      <c r="A77" s="835">
        <f t="shared" si="12"/>
        <v>64</v>
      </c>
      <c r="B77" s="836" t="str">
        <f>'Internal Pricelist'!H70</f>
        <v>8K</v>
      </c>
      <c r="C77" s="836" t="str">
        <f>'Internal Pricelist'!C70</f>
        <v>Unsold</v>
      </c>
      <c r="D77" s="836">
        <v>64</v>
      </c>
      <c r="E77" s="837" t="str">
        <f>'Internal Pricelist'!E70</f>
        <v>7th</v>
      </c>
      <c r="F77" s="838" t="str">
        <f>'Internal Pricelist'!F70</f>
        <v>8th</v>
      </c>
      <c r="G77" s="839" t="str">
        <f t="shared" si="3"/>
        <v>8K</v>
      </c>
      <c r="H77" s="839" t="str">
        <f>'Internal Pricelist'!I70</f>
        <v>2-BR</v>
      </c>
      <c r="I77" s="839">
        <f>'Internal Pricelist'!J70</f>
        <v>69.36</v>
      </c>
      <c r="J77" s="839">
        <f>'Internal Pricelist'!K70</f>
        <v>4.79</v>
      </c>
      <c r="K77" s="839">
        <f>'Internal Pricelist'!L70</f>
        <v>0</v>
      </c>
      <c r="L77" s="840">
        <f t="shared" si="0"/>
        <v>74.150000000000006</v>
      </c>
      <c r="M77" s="851" t="str">
        <f>'Internal Pricelist'!AA70</f>
        <v>INNER</v>
      </c>
      <c r="N77" s="841"/>
      <c r="O77" s="842">
        <f>'Internal Pricelist'!BM70</f>
        <v>14313297.898892604</v>
      </c>
      <c r="P77" s="843">
        <f t="shared" si="4"/>
        <v>1717595.7478671123</v>
      </c>
      <c r="Q77" s="844">
        <f t="shared" si="13"/>
        <v>1431329.7898892604</v>
      </c>
      <c r="R77" s="843">
        <f t="shared" si="14"/>
        <v>17462223.436648976</v>
      </c>
      <c r="S77" s="845">
        <f>'Internal Pricelist'!BS70</f>
        <v>0.15</v>
      </c>
      <c r="T77" s="844">
        <f t="shared" si="15"/>
        <v>2619333.5154973464</v>
      </c>
      <c r="U77" s="839">
        <f>'Internal Pricelist'!BU70</f>
        <v>50000</v>
      </c>
      <c r="V77" s="844">
        <f t="shared" si="5"/>
        <v>2569333.5154973464</v>
      </c>
      <c r="W77" s="846">
        <f>'Internal Pricelist'!BW70</f>
        <v>7</v>
      </c>
      <c r="X77" s="844">
        <f t="shared" si="6"/>
        <v>367047.64507104951</v>
      </c>
      <c r="Y77" s="847">
        <f t="shared" si="7"/>
        <v>0.85</v>
      </c>
      <c r="Z77" s="844">
        <f t="shared" si="8"/>
        <v>14842889.921151629</v>
      </c>
      <c r="AA77" s="844">
        <f t="shared" si="9"/>
        <v>133412.09082281633</v>
      </c>
      <c r="AC77" s="849">
        <f t="shared" si="10"/>
        <v>193031.6641792664</v>
      </c>
      <c r="AD77" s="873">
        <f t="shared" si="11"/>
        <v>0</v>
      </c>
      <c r="AG77" s="882">
        <f t="shared" si="18"/>
        <v>7</v>
      </c>
      <c r="AH77" s="853">
        <f t="shared" si="19"/>
        <v>2569333.5154973464</v>
      </c>
      <c r="AI77" s="854">
        <f t="shared" si="20"/>
        <v>0</v>
      </c>
      <c r="AK77" s="872">
        <f>O77-'Internal Pricelist'!AK77</f>
        <v>1021095.0979551971</v>
      </c>
      <c r="AL77" s="872">
        <f>P77-'Internal Pricelist'!BP77</f>
        <v>-434956.60157661722</v>
      </c>
      <c r="AM77" s="872">
        <f>'Internal Pricelist'!BN77+'Internal Pricelist'!BO77</f>
        <v>1793793.6245364414</v>
      </c>
      <c r="AN77" s="872">
        <f t="shared" ref="AN77:AN108" si="23">AM77-Q77</f>
        <v>362463.83464718098</v>
      </c>
      <c r="AO77" s="872">
        <f>R77-'Internal Pricelist'!BQ77</f>
        <v>-4422058.7826956064</v>
      </c>
      <c r="AS77" s="873">
        <f>'Internal Pricelist'!AK77-PriceLink_Fitted!O77</f>
        <v>-1021095.0979551971</v>
      </c>
      <c r="AT77" s="873">
        <f>'Internal Pricelist'!BP77-PriceLink_Fitted!P77</f>
        <v>434956.60157661722</v>
      </c>
      <c r="AU77" s="849">
        <f>'Internal Pricelist'!BN77+'Internal Pricelist'!BO77</f>
        <v>1793793.6245364414</v>
      </c>
      <c r="AV77" s="873">
        <f>PriceLink_Fitted!Q77-PriceLink_Fitted!AU77</f>
        <v>-362463.83464718098</v>
      </c>
      <c r="AW77" s="873">
        <f>'Internal Pricelist'!BQ77-PriceLink_Fitted!R77</f>
        <v>4422058.7826956064</v>
      </c>
    </row>
    <row r="78" spans="1:49" hidden="1" x14ac:dyDescent="0.2">
      <c r="A78" s="835">
        <f t="shared" si="12"/>
        <v>65</v>
      </c>
      <c r="B78" s="836" t="str">
        <f>'Internal Pricelist'!H71</f>
        <v>8L</v>
      </c>
      <c r="C78" s="836" t="str">
        <f>'Internal Pricelist'!C71</f>
        <v>Sold</v>
      </c>
      <c r="D78" s="836">
        <v>65</v>
      </c>
      <c r="E78" s="837" t="str">
        <f>'Internal Pricelist'!E71</f>
        <v>7th</v>
      </c>
      <c r="F78" s="838" t="str">
        <f>'Internal Pricelist'!F71</f>
        <v>8th</v>
      </c>
      <c r="G78" s="839" t="str">
        <f t="shared" si="3"/>
        <v>8L</v>
      </c>
      <c r="H78" s="839" t="str">
        <f>'Internal Pricelist'!I71</f>
        <v>2-BR</v>
      </c>
      <c r="I78" s="839">
        <f>'Internal Pricelist'!J71</f>
        <v>83.12</v>
      </c>
      <c r="J78" s="839">
        <f>'Internal Pricelist'!K71</f>
        <v>13.04</v>
      </c>
      <c r="K78" s="839">
        <f>'Internal Pricelist'!L71</f>
        <v>0</v>
      </c>
      <c r="L78" s="840">
        <f t="shared" ref="L78:L141" si="24">I78+J78</f>
        <v>96.16</v>
      </c>
      <c r="M78" s="851" t="str">
        <f>'Internal Pricelist'!AA71</f>
        <v>CORNER</v>
      </c>
      <c r="N78" s="841"/>
      <c r="O78" s="842">
        <f>'Internal Pricelist'!BM71</f>
        <v>18322145.560611777</v>
      </c>
      <c r="P78" s="843">
        <f t="shared" si="4"/>
        <v>2198657.4672734132</v>
      </c>
      <c r="Q78" s="844">
        <f t="shared" si="13"/>
        <v>1832214.5560611777</v>
      </c>
      <c r="R78" s="843">
        <f t="shared" si="14"/>
        <v>22353017.58394637</v>
      </c>
      <c r="S78" s="845">
        <f>'Internal Pricelist'!BS71</f>
        <v>0.15</v>
      </c>
      <c r="T78" s="844">
        <f t="shared" si="15"/>
        <v>3352952.6375919553</v>
      </c>
      <c r="U78" s="839">
        <f>'Internal Pricelist'!BU71</f>
        <v>50000</v>
      </c>
      <c r="V78" s="844">
        <f t="shared" si="5"/>
        <v>3302952.6375919553</v>
      </c>
      <c r="W78" s="846">
        <f>'Internal Pricelist'!BW71</f>
        <v>7</v>
      </c>
      <c r="X78" s="844">
        <f t="shared" si="6"/>
        <v>471850.37679885078</v>
      </c>
      <c r="Y78" s="847">
        <f t="shared" si="7"/>
        <v>0.85</v>
      </c>
      <c r="Z78" s="844">
        <f t="shared" si="8"/>
        <v>19000064.946354415</v>
      </c>
      <c r="AA78" s="844">
        <f t="shared" si="9"/>
        <v>170777.95521815549</v>
      </c>
      <c r="AC78" s="849">
        <f t="shared" ref="AC78:AC141" si="25">O78/L78</f>
        <v>190538.11939072149</v>
      </c>
      <c r="AD78" s="873">
        <f t="shared" si="11"/>
        <v>0</v>
      </c>
      <c r="AG78" s="882">
        <f t="shared" si="18"/>
        <v>7</v>
      </c>
      <c r="AH78" s="853">
        <f t="shared" si="19"/>
        <v>3302952.6375919553</v>
      </c>
      <c r="AI78" s="854">
        <f t="shared" si="20"/>
        <v>0</v>
      </c>
      <c r="AK78" s="872">
        <f>O78-'Internal Pricelist'!AK78</f>
        <v>9026513.6873026658</v>
      </c>
      <c r="AL78" s="872">
        <f>P78-'Internal Pricelist'!BP78</f>
        <v>693313.73094067979</v>
      </c>
      <c r="AM78" s="872">
        <f>'Internal Pricelist'!BN78+'Internal Pricelist'!BO78</f>
        <v>1254453.1136106113</v>
      </c>
      <c r="AN78" s="872">
        <f t="shared" si="23"/>
        <v>-577761.44245056645</v>
      </c>
      <c r="AO78" s="872">
        <f>R78-'Internal Pricelist'!BQ78</f>
        <v>7048689.5978969131</v>
      </c>
      <c r="AS78" s="873">
        <f>'Internal Pricelist'!AK78-PriceLink_Fitted!O78</f>
        <v>-9026513.6873026658</v>
      </c>
      <c r="AT78" s="873">
        <f>'Internal Pricelist'!BP78-PriceLink_Fitted!P78</f>
        <v>-693313.73094067979</v>
      </c>
      <c r="AU78" s="849">
        <f>'Internal Pricelist'!BN78+'Internal Pricelist'!BO78</f>
        <v>1254453.1136106113</v>
      </c>
      <c r="AV78" s="873">
        <f>PriceLink_Fitted!Q78-PriceLink_Fitted!AU78</f>
        <v>577761.44245056645</v>
      </c>
      <c r="AW78" s="873">
        <f>'Internal Pricelist'!BQ78-PriceLink_Fitted!R78</f>
        <v>-7048689.5978969131</v>
      </c>
    </row>
    <row r="79" spans="1:49" hidden="1" x14ac:dyDescent="0.2">
      <c r="A79" s="835">
        <f t="shared" ref="A79:A142" si="26">A78+1</f>
        <v>66</v>
      </c>
      <c r="B79" s="836" t="str">
        <f>'Internal Pricelist'!H72</f>
        <v>8M</v>
      </c>
      <c r="C79" s="836" t="str">
        <f>'Internal Pricelist'!C72</f>
        <v>Sold</v>
      </c>
      <c r="D79" s="836">
        <v>66</v>
      </c>
      <c r="E79" s="837" t="str">
        <f>'Internal Pricelist'!E72</f>
        <v>7th</v>
      </c>
      <c r="F79" s="838" t="str">
        <f>'Internal Pricelist'!F72</f>
        <v>8th</v>
      </c>
      <c r="G79" s="839" t="str">
        <f t="shared" ref="G79:G142" si="27">B79</f>
        <v>8M</v>
      </c>
      <c r="H79" s="839" t="str">
        <f>'Internal Pricelist'!I72</f>
        <v>1-BR</v>
      </c>
      <c r="I79" s="839">
        <f>'Internal Pricelist'!J72</f>
        <v>52.04</v>
      </c>
      <c r="J79" s="839">
        <f>'Internal Pricelist'!K72</f>
        <v>3.1</v>
      </c>
      <c r="K79" s="839">
        <f>'Internal Pricelist'!L72</f>
        <v>0</v>
      </c>
      <c r="L79" s="840">
        <f t="shared" si="24"/>
        <v>55.14</v>
      </c>
      <c r="M79" s="851" t="str">
        <f>'Internal Pricelist'!AA72</f>
        <v>INNER</v>
      </c>
      <c r="N79" s="841"/>
      <c r="O79" s="842">
        <f>'Internal Pricelist'!BM72</f>
        <v>10768856.072005998</v>
      </c>
      <c r="P79" s="843">
        <f t="shared" ref="P79:P142" si="28">O79*12%</f>
        <v>1292262.7286407198</v>
      </c>
      <c r="Q79" s="844">
        <f t="shared" ref="Q79:Q142" si="29">O79*$Q$13</f>
        <v>1076885.6072006</v>
      </c>
      <c r="R79" s="843">
        <f t="shared" ref="R79:R142" si="30">O79+P79+Q79</f>
        <v>13138004.407847319</v>
      </c>
      <c r="S79" s="845">
        <f>'Internal Pricelist'!BS72</f>
        <v>0.15</v>
      </c>
      <c r="T79" s="844">
        <f t="shared" ref="T79:T142" si="31">R79*S79</f>
        <v>1970700.6611770978</v>
      </c>
      <c r="U79" s="839">
        <f>'Internal Pricelist'!BU72</f>
        <v>50000</v>
      </c>
      <c r="V79" s="844">
        <f t="shared" ref="V79:V142" si="32">T79-U79</f>
        <v>1920700.6611770978</v>
      </c>
      <c r="W79" s="846">
        <f>'Internal Pricelist'!BW72</f>
        <v>7</v>
      </c>
      <c r="X79" s="844">
        <f t="shared" ref="X79:X142" si="33">V79/W79</f>
        <v>274385.80873958539</v>
      </c>
      <c r="Y79" s="847">
        <f t="shared" ref="Y79:Y142" si="34">100%-S79</f>
        <v>0.85</v>
      </c>
      <c r="Z79" s="844">
        <f t="shared" ref="Z79:Z142" si="35">R79*Y79</f>
        <v>11167303.74667022</v>
      </c>
      <c r="AA79" s="844">
        <f t="shared" ref="AA79:AA142" si="36">Z79*$AA$11</f>
        <v>100374.88316703422</v>
      </c>
      <c r="AC79" s="849">
        <f t="shared" si="25"/>
        <v>195300.25520504167</v>
      </c>
      <c r="AD79" s="873">
        <f t="shared" ref="AD79:AD142" si="37">Z79+(X79*W79)+U79-R79</f>
        <v>0</v>
      </c>
      <c r="AG79" s="882">
        <f t="shared" si="18"/>
        <v>7</v>
      </c>
      <c r="AH79" s="853">
        <f t="shared" si="19"/>
        <v>1920700.6611770978</v>
      </c>
      <c r="AI79" s="854">
        <f t="shared" si="20"/>
        <v>0</v>
      </c>
      <c r="AK79" s="872">
        <f>O79-'Internal Pricelist'!AK79</f>
        <v>-4397177.9110381417</v>
      </c>
      <c r="AL79" s="872">
        <f>P79-'Internal Pricelist'!BP79</f>
        <v>-1163739.6789995576</v>
      </c>
      <c r="AM79" s="872">
        <f>'Internal Pricelist'!BN79+'Internal Pricelist'!BO79</f>
        <v>2046668.6730335644</v>
      </c>
      <c r="AN79" s="872">
        <f t="shared" si="23"/>
        <v>969783.06583296438</v>
      </c>
      <c r="AO79" s="872">
        <f>R79-'Internal Pricelist'!BQ79</f>
        <v>-11831353.40316217</v>
      </c>
      <c r="AS79" s="873">
        <f>'Internal Pricelist'!AK79-PriceLink_Fitted!O79</f>
        <v>4397177.9110381417</v>
      </c>
      <c r="AT79" s="873">
        <f>'Internal Pricelist'!BP79-PriceLink_Fitted!P79</f>
        <v>1163739.6789995576</v>
      </c>
      <c r="AU79" s="849">
        <f>'Internal Pricelist'!BN79+'Internal Pricelist'!BO79</f>
        <v>2046668.6730335644</v>
      </c>
      <c r="AV79" s="873">
        <f>PriceLink_Fitted!Q79-PriceLink_Fitted!AU79</f>
        <v>-969783.06583296438</v>
      </c>
      <c r="AW79" s="873">
        <f>'Internal Pricelist'!BQ79-PriceLink_Fitted!R79</f>
        <v>11831353.40316217</v>
      </c>
    </row>
    <row r="80" spans="1:49" x14ac:dyDescent="0.2">
      <c r="A80" s="835">
        <f t="shared" si="26"/>
        <v>67</v>
      </c>
      <c r="B80" s="836" t="str">
        <f>'Internal Pricelist'!H73</f>
        <v>9A</v>
      </c>
      <c r="C80" s="836" t="str">
        <f>'Internal Pricelist'!C73</f>
        <v>Unsold</v>
      </c>
      <c r="D80" s="836">
        <v>67</v>
      </c>
      <c r="E80" s="837" t="str">
        <f>'Internal Pricelist'!E73</f>
        <v>8th</v>
      </c>
      <c r="F80" s="838" t="str">
        <f>'Internal Pricelist'!F73</f>
        <v>9th</v>
      </c>
      <c r="G80" s="839" t="str">
        <f t="shared" si="27"/>
        <v>9A</v>
      </c>
      <c r="H80" s="839" t="str">
        <f>'Internal Pricelist'!I73</f>
        <v>3-BR</v>
      </c>
      <c r="I80" s="839">
        <f>'Internal Pricelist'!J73</f>
        <v>99.98</v>
      </c>
      <c r="J80" s="839">
        <f>'Internal Pricelist'!K73</f>
        <v>10.29</v>
      </c>
      <c r="K80" s="839">
        <f>'Internal Pricelist'!L73</f>
        <v>0</v>
      </c>
      <c r="L80" s="840">
        <f t="shared" si="24"/>
        <v>110.27000000000001</v>
      </c>
      <c r="M80" s="851" t="str">
        <f>'Internal Pricelist'!AA73</f>
        <v>CORNER</v>
      </c>
      <c r="N80" s="841"/>
      <c r="O80" s="842">
        <f>'Internal Pricelist'!BM73</f>
        <v>21220504.383474544</v>
      </c>
      <c r="P80" s="843">
        <f t="shared" si="28"/>
        <v>2546460.526016945</v>
      </c>
      <c r="Q80" s="844">
        <f t="shared" si="29"/>
        <v>2122050.4383474546</v>
      </c>
      <c r="R80" s="843">
        <f t="shared" si="30"/>
        <v>25889015.347838942</v>
      </c>
      <c r="S80" s="845">
        <f>'Internal Pricelist'!BS73</f>
        <v>0.15</v>
      </c>
      <c r="T80" s="844">
        <f t="shared" si="31"/>
        <v>3883352.3021758413</v>
      </c>
      <c r="U80" s="839">
        <f>'Internal Pricelist'!BU73</f>
        <v>50000</v>
      </c>
      <c r="V80" s="844">
        <f t="shared" si="32"/>
        <v>3833352.3021758413</v>
      </c>
      <c r="W80" s="846">
        <f>'Internal Pricelist'!BW73</f>
        <v>7</v>
      </c>
      <c r="X80" s="844">
        <f t="shared" si="33"/>
        <v>547621.75745369156</v>
      </c>
      <c r="Y80" s="847">
        <f t="shared" si="34"/>
        <v>0.85</v>
      </c>
      <c r="Z80" s="844">
        <f t="shared" si="35"/>
        <v>22005663.0456631</v>
      </c>
      <c r="AA80" s="844">
        <f t="shared" si="36"/>
        <v>197793.12064294514</v>
      </c>
      <c r="AC80" s="849">
        <f t="shared" si="25"/>
        <v>192441.32024552952</v>
      </c>
      <c r="AD80" s="873">
        <f t="shared" si="37"/>
        <v>0</v>
      </c>
      <c r="AG80" s="882">
        <f t="shared" si="18"/>
        <v>7</v>
      </c>
      <c r="AH80" s="853">
        <f t="shared" si="19"/>
        <v>3833352.3021758408</v>
      </c>
      <c r="AI80" s="854">
        <f t="shared" si="20"/>
        <v>0</v>
      </c>
      <c r="AK80" s="872">
        <f>O80-'Internal Pricelist'!AK80</f>
        <v>10759237.15909178</v>
      </c>
      <c r="AL80" s="872">
        <f>P80-'Internal Pricelist'!BP80</f>
        <v>852352.658477057</v>
      </c>
      <c r="AM80" s="872">
        <f>'Internal Pricelist'!BN80+'Internal Pricelist'!BO80</f>
        <v>1411756.55628324</v>
      </c>
      <c r="AN80" s="872">
        <f t="shared" si="23"/>
        <v>-710293.88206421467</v>
      </c>
      <c r="AO80" s="872">
        <f>R80-'Internal Pricelist'!BQ80</f>
        <v>8665585.3611834124</v>
      </c>
      <c r="AS80" s="873">
        <f>'Internal Pricelist'!AK80-PriceLink_Fitted!O80</f>
        <v>-10759237.15909178</v>
      </c>
      <c r="AT80" s="873">
        <f>'Internal Pricelist'!BP80-PriceLink_Fitted!P80</f>
        <v>-852352.658477057</v>
      </c>
      <c r="AU80" s="849">
        <f>'Internal Pricelist'!BN80+'Internal Pricelist'!BO80</f>
        <v>1411756.55628324</v>
      </c>
      <c r="AV80" s="873">
        <f>PriceLink_Fitted!Q80-PriceLink_Fitted!AU80</f>
        <v>710293.88206421467</v>
      </c>
      <c r="AW80" s="873">
        <f>'Internal Pricelist'!BQ80-PriceLink_Fitted!R80</f>
        <v>-8665585.3611834124</v>
      </c>
    </row>
    <row r="81" spans="1:49" hidden="1" x14ac:dyDescent="0.2">
      <c r="A81" s="835">
        <f t="shared" si="26"/>
        <v>68</v>
      </c>
      <c r="B81" s="836" t="str">
        <f>'Internal Pricelist'!H74</f>
        <v>9B</v>
      </c>
      <c r="C81" s="836" t="str">
        <f>'Internal Pricelist'!C74</f>
        <v>Sold</v>
      </c>
      <c r="D81" s="836">
        <v>68</v>
      </c>
      <c r="E81" s="837" t="str">
        <f>'Internal Pricelist'!E74</f>
        <v>8th</v>
      </c>
      <c r="F81" s="838" t="str">
        <f>'Internal Pricelist'!F74</f>
        <v>9th</v>
      </c>
      <c r="G81" s="839" t="str">
        <f t="shared" si="27"/>
        <v>9B</v>
      </c>
      <c r="H81" s="839" t="str">
        <f>'Internal Pricelist'!I74</f>
        <v>1-BR</v>
      </c>
      <c r="I81" s="839">
        <f>'Internal Pricelist'!J74</f>
        <v>52.86</v>
      </c>
      <c r="J81" s="839">
        <f>'Internal Pricelist'!K74</f>
        <v>5.09</v>
      </c>
      <c r="K81" s="839">
        <f>'Internal Pricelist'!L74</f>
        <v>0</v>
      </c>
      <c r="L81" s="840">
        <f t="shared" si="24"/>
        <v>57.95</v>
      </c>
      <c r="M81" s="851" t="str">
        <f>'Internal Pricelist'!AA74</f>
        <v>INNER</v>
      </c>
      <c r="N81" s="841"/>
      <c r="O81" s="842">
        <f>'Internal Pricelist'!BM74</f>
        <v>11013694.874039281</v>
      </c>
      <c r="P81" s="843">
        <f t="shared" si="28"/>
        <v>1321643.3848847137</v>
      </c>
      <c r="Q81" s="844">
        <f t="shared" si="29"/>
        <v>1101369.4874039281</v>
      </c>
      <c r="R81" s="843">
        <f t="shared" si="30"/>
        <v>13436707.746327922</v>
      </c>
      <c r="S81" s="845">
        <f>'Internal Pricelist'!BS74</f>
        <v>0.15</v>
      </c>
      <c r="T81" s="844">
        <f t="shared" si="31"/>
        <v>2015506.1619491882</v>
      </c>
      <c r="U81" s="839">
        <f>'Internal Pricelist'!BU74</f>
        <v>50000</v>
      </c>
      <c r="V81" s="844">
        <f t="shared" si="32"/>
        <v>1965506.1619491882</v>
      </c>
      <c r="W81" s="846">
        <f>'Internal Pricelist'!BW74</f>
        <v>7</v>
      </c>
      <c r="X81" s="844">
        <f t="shared" si="33"/>
        <v>280786.59456416976</v>
      </c>
      <c r="Y81" s="847">
        <f t="shared" si="34"/>
        <v>0.85</v>
      </c>
      <c r="Z81" s="844">
        <f t="shared" si="35"/>
        <v>11421201.584378732</v>
      </c>
      <c r="AA81" s="844">
        <f t="shared" si="36"/>
        <v>102656.98871144134</v>
      </c>
      <c r="AC81" s="849">
        <f t="shared" si="25"/>
        <v>190055.13156236894</v>
      </c>
      <c r="AD81" s="873">
        <f t="shared" si="37"/>
        <v>0</v>
      </c>
      <c r="AG81" s="882">
        <f t="shared" si="18"/>
        <v>7</v>
      </c>
      <c r="AH81" s="853">
        <f t="shared" si="19"/>
        <v>1965506.1619491884</v>
      </c>
      <c r="AI81" s="854">
        <f t="shared" si="20"/>
        <v>0</v>
      </c>
      <c r="AK81" s="872">
        <f>O81-'Internal Pricelist'!AK81</f>
        <v>527572.52724041045</v>
      </c>
      <c r="AL81" s="872">
        <f>P81-'Internal Pricelist'!BP81</f>
        <v>-376489.54554006597</v>
      </c>
      <c r="AM81" s="872">
        <f>'Internal Pricelist'!BN81+'Internal Pricelist'!BO81</f>
        <v>1415110.775353983</v>
      </c>
      <c r="AN81" s="872">
        <f t="shared" si="23"/>
        <v>313741.28795005498</v>
      </c>
      <c r="AO81" s="872">
        <f>R81-'Internal Pricelist'!BQ81</f>
        <v>-3827643.7129906714</v>
      </c>
      <c r="AS81" s="873">
        <f>'Internal Pricelist'!AK81-PriceLink_Fitted!O81</f>
        <v>-527572.52724041045</v>
      </c>
      <c r="AT81" s="873">
        <f>'Internal Pricelist'!BP81-PriceLink_Fitted!P81</f>
        <v>376489.54554006597</v>
      </c>
      <c r="AU81" s="849">
        <f>'Internal Pricelist'!BN81+'Internal Pricelist'!BO81</f>
        <v>1415110.775353983</v>
      </c>
      <c r="AV81" s="873">
        <f>PriceLink_Fitted!Q81-PriceLink_Fitted!AU81</f>
        <v>-313741.28795005498</v>
      </c>
      <c r="AW81" s="873">
        <f>'Internal Pricelist'!BQ81-PriceLink_Fitted!R81</f>
        <v>3827643.7129906714</v>
      </c>
    </row>
    <row r="82" spans="1:49" hidden="1" x14ac:dyDescent="0.2">
      <c r="A82" s="835">
        <f t="shared" si="26"/>
        <v>69</v>
      </c>
      <c r="B82" s="836" t="str">
        <f>'Internal Pricelist'!H75</f>
        <v>9C</v>
      </c>
      <c r="C82" s="836" t="str">
        <f>'Internal Pricelist'!C75</f>
        <v>Sold</v>
      </c>
      <c r="D82" s="836">
        <v>69</v>
      </c>
      <c r="E82" s="837" t="str">
        <f>'Internal Pricelist'!E75</f>
        <v>8th</v>
      </c>
      <c r="F82" s="838" t="str">
        <f>'Internal Pricelist'!F75</f>
        <v>9th</v>
      </c>
      <c r="G82" s="839" t="str">
        <f t="shared" si="27"/>
        <v>9C</v>
      </c>
      <c r="H82" s="839" t="str">
        <f>'Internal Pricelist'!I75</f>
        <v>2-BR</v>
      </c>
      <c r="I82" s="839">
        <f>'Internal Pricelist'!J75</f>
        <v>57.5</v>
      </c>
      <c r="J82" s="839">
        <f>'Internal Pricelist'!K75</f>
        <v>5.09</v>
      </c>
      <c r="K82" s="839">
        <f>'Internal Pricelist'!L75</f>
        <v>0</v>
      </c>
      <c r="L82" s="840">
        <f t="shared" si="24"/>
        <v>62.59</v>
      </c>
      <c r="M82" s="851" t="str">
        <f>'Internal Pricelist'!AA75</f>
        <v>INNER</v>
      </c>
      <c r="N82" s="841"/>
      <c r="O82" s="842">
        <f>'Internal Pricelist'!BM75</f>
        <v>11934970.480128946</v>
      </c>
      <c r="P82" s="843">
        <f t="shared" si="28"/>
        <v>1432196.4576154735</v>
      </c>
      <c r="Q82" s="844">
        <f t="shared" si="29"/>
        <v>1193497.0480128946</v>
      </c>
      <c r="R82" s="843">
        <f t="shared" si="30"/>
        <v>14560663.985757314</v>
      </c>
      <c r="S82" s="845">
        <f>'Internal Pricelist'!BS75</f>
        <v>0.15</v>
      </c>
      <c r="T82" s="844">
        <f t="shared" si="31"/>
        <v>2184099.5978635969</v>
      </c>
      <c r="U82" s="839">
        <f>'Internal Pricelist'!BU75</f>
        <v>50000</v>
      </c>
      <c r="V82" s="844">
        <f t="shared" si="32"/>
        <v>2134099.5978635969</v>
      </c>
      <c r="W82" s="846">
        <f>'Internal Pricelist'!BW75</f>
        <v>7</v>
      </c>
      <c r="X82" s="844">
        <f t="shared" si="33"/>
        <v>304871.37112337101</v>
      </c>
      <c r="Y82" s="847">
        <f t="shared" si="34"/>
        <v>0.85</v>
      </c>
      <c r="Z82" s="844">
        <f t="shared" si="35"/>
        <v>12376564.387893716</v>
      </c>
      <c r="AA82" s="844">
        <f t="shared" si="36"/>
        <v>111244.05967864234</v>
      </c>
      <c r="AC82" s="849">
        <f t="shared" si="25"/>
        <v>190684.94136649536</v>
      </c>
      <c r="AD82" s="873">
        <f t="shared" si="37"/>
        <v>0</v>
      </c>
      <c r="AG82" s="882">
        <f t="shared" si="18"/>
        <v>7</v>
      </c>
      <c r="AH82" s="853">
        <f t="shared" si="19"/>
        <v>2134099.5978635969</v>
      </c>
      <c r="AI82" s="854">
        <f t="shared" si="20"/>
        <v>0</v>
      </c>
      <c r="AK82" s="872">
        <f>O82-'Internal Pricelist'!AK82</f>
        <v>1448848.1333300751</v>
      </c>
      <c r="AL82" s="872">
        <f>P82-'Internal Pricelist'!BP82</f>
        <v>-265936.47280930611</v>
      </c>
      <c r="AM82" s="872">
        <f>'Internal Pricelist'!BN82+'Internal Pricelist'!BO82</f>
        <v>1415110.775353983</v>
      </c>
      <c r="AN82" s="872">
        <f t="shared" si="23"/>
        <v>221613.72734108847</v>
      </c>
      <c r="AO82" s="872">
        <f>R82-'Internal Pricelist'!BQ82</f>
        <v>-2703687.4735612795</v>
      </c>
      <c r="AS82" s="873">
        <f>'Internal Pricelist'!AK82-PriceLink_Fitted!O82</f>
        <v>-1448848.1333300751</v>
      </c>
      <c r="AT82" s="873">
        <f>'Internal Pricelist'!BP82-PriceLink_Fitted!P82</f>
        <v>265936.47280930611</v>
      </c>
      <c r="AU82" s="849">
        <f>'Internal Pricelist'!BN82+'Internal Pricelist'!BO82</f>
        <v>1415110.775353983</v>
      </c>
      <c r="AV82" s="873">
        <f>PriceLink_Fitted!Q82-PriceLink_Fitted!AU82</f>
        <v>-221613.72734108847</v>
      </c>
      <c r="AW82" s="873">
        <f>'Internal Pricelist'!BQ82-PriceLink_Fitted!R82</f>
        <v>2703687.4735612795</v>
      </c>
    </row>
    <row r="83" spans="1:49" hidden="1" x14ac:dyDescent="0.2">
      <c r="A83" s="835">
        <f t="shared" si="26"/>
        <v>70</v>
      </c>
      <c r="B83" s="836" t="str">
        <f>'Internal Pricelist'!H76</f>
        <v>9D</v>
      </c>
      <c r="C83" s="836" t="str">
        <f>'Internal Pricelist'!C76</f>
        <v>Sold</v>
      </c>
      <c r="D83" s="836">
        <v>70</v>
      </c>
      <c r="E83" s="837" t="str">
        <f>'Internal Pricelist'!E76</f>
        <v>8th</v>
      </c>
      <c r="F83" s="838" t="str">
        <f>'Internal Pricelist'!F76</f>
        <v>9th</v>
      </c>
      <c r="G83" s="839" t="str">
        <f t="shared" si="27"/>
        <v>9D</v>
      </c>
      <c r="H83" s="839" t="str">
        <f>'Internal Pricelist'!I76</f>
        <v>2-BR</v>
      </c>
      <c r="I83" s="839">
        <f>'Internal Pricelist'!J76</f>
        <v>62.11</v>
      </c>
      <c r="J83" s="839">
        <f>'Internal Pricelist'!K76</f>
        <v>5.19</v>
      </c>
      <c r="K83" s="839">
        <f>'Internal Pricelist'!L76</f>
        <v>0</v>
      </c>
      <c r="L83" s="840">
        <f t="shared" si="24"/>
        <v>67.3</v>
      </c>
      <c r="M83" s="851" t="str">
        <f>'Internal Pricelist'!AA76</f>
        <v>INNER</v>
      </c>
      <c r="N83" s="841"/>
      <c r="O83" s="842">
        <f>'Internal Pricelist'!BM76</f>
        <v>12860472.289673429</v>
      </c>
      <c r="P83" s="843">
        <f t="shared" si="28"/>
        <v>1543256.6747608115</v>
      </c>
      <c r="Q83" s="844">
        <f t="shared" si="29"/>
        <v>1286047.228967343</v>
      </c>
      <c r="R83" s="843">
        <f t="shared" si="30"/>
        <v>15689776.193401583</v>
      </c>
      <c r="S83" s="845">
        <f>'Internal Pricelist'!BS76</f>
        <v>0.15</v>
      </c>
      <c r="T83" s="844">
        <f t="shared" si="31"/>
        <v>2353466.4290102371</v>
      </c>
      <c r="U83" s="839">
        <f>'Internal Pricelist'!BU76</f>
        <v>50000</v>
      </c>
      <c r="V83" s="844">
        <f t="shared" si="32"/>
        <v>2303466.4290102371</v>
      </c>
      <c r="W83" s="846">
        <f>'Internal Pricelist'!BW76</f>
        <v>7</v>
      </c>
      <c r="X83" s="844">
        <f t="shared" si="33"/>
        <v>329066.63271574816</v>
      </c>
      <c r="Y83" s="847">
        <f t="shared" si="34"/>
        <v>0.85</v>
      </c>
      <c r="Z83" s="844">
        <f t="shared" si="35"/>
        <v>13336309.764391344</v>
      </c>
      <c r="AA83" s="844">
        <f t="shared" si="36"/>
        <v>119870.52245080209</v>
      </c>
      <c r="AC83" s="849">
        <f t="shared" si="25"/>
        <v>191091.71307092762</v>
      </c>
      <c r="AD83" s="873">
        <f t="shared" si="37"/>
        <v>0</v>
      </c>
      <c r="AG83" s="882">
        <f t="shared" si="18"/>
        <v>7</v>
      </c>
      <c r="AH83" s="853">
        <f t="shared" si="19"/>
        <v>2303466.4290102371</v>
      </c>
      <c r="AI83" s="854">
        <f t="shared" si="20"/>
        <v>0</v>
      </c>
      <c r="AK83" s="872">
        <f>O83-'Internal Pricelist'!AK83</f>
        <v>2374349.9428745583</v>
      </c>
      <c r="AL83" s="872">
        <f>P83-'Internal Pricelist'!BP83</f>
        <v>-154876.25566396816</v>
      </c>
      <c r="AM83" s="872">
        <f>'Internal Pricelist'!BN83+'Internal Pricelist'!BO83</f>
        <v>1415110.775353983</v>
      </c>
      <c r="AN83" s="872">
        <f t="shared" si="23"/>
        <v>129063.54638664005</v>
      </c>
      <c r="AO83" s="872">
        <f>R83-'Internal Pricelist'!BQ83</f>
        <v>-1574575.2659170106</v>
      </c>
      <c r="AS83" s="873">
        <f>'Internal Pricelist'!AK83-PriceLink_Fitted!O83</f>
        <v>-2374349.9428745583</v>
      </c>
      <c r="AT83" s="873">
        <f>'Internal Pricelist'!BP83-PriceLink_Fitted!P83</f>
        <v>154876.25566396816</v>
      </c>
      <c r="AU83" s="849">
        <f>'Internal Pricelist'!BN83+'Internal Pricelist'!BO83</f>
        <v>1415110.775353983</v>
      </c>
      <c r="AV83" s="873">
        <f>PriceLink_Fitted!Q83-PriceLink_Fitted!AU83</f>
        <v>-129063.54638664005</v>
      </c>
      <c r="AW83" s="873">
        <f>'Internal Pricelist'!BQ83-PriceLink_Fitted!R83</f>
        <v>1574575.2659170106</v>
      </c>
    </row>
    <row r="84" spans="1:49" hidden="1" x14ac:dyDescent="0.2">
      <c r="A84" s="835">
        <f t="shared" si="26"/>
        <v>71</v>
      </c>
      <c r="B84" s="836" t="str">
        <f>'Internal Pricelist'!H77</f>
        <v>9E</v>
      </c>
      <c r="C84" s="836" t="str">
        <f>'Internal Pricelist'!C77</f>
        <v>Sold</v>
      </c>
      <c r="D84" s="836">
        <v>71</v>
      </c>
      <c r="E84" s="837" t="str">
        <f>'Internal Pricelist'!E77</f>
        <v>8th</v>
      </c>
      <c r="F84" s="838" t="str">
        <f>'Internal Pricelist'!F77</f>
        <v>9th</v>
      </c>
      <c r="G84" s="839" t="str">
        <f t="shared" si="27"/>
        <v>9E</v>
      </c>
      <c r="H84" s="839" t="str">
        <f>'Internal Pricelist'!I77</f>
        <v>2-BR</v>
      </c>
      <c r="I84" s="839">
        <f>'Internal Pricelist'!J77</f>
        <v>80.900000000000006</v>
      </c>
      <c r="J84" s="839">
        <f>'Internal Pricelist'!K77</f>
        <v>15.65</v>
      </c>
      <c r="K84" s="839">
        <f>'Internal Pricelist'!L77</f>
        <v>0</v>
      </c>
      <c r="L84" s="840">
        <f t="shared" si="24"/>
        <v>96.550000000000011</v>
      </c>
      <c r="M84" s="851" t="str">
        <f>'Internal Pricelist'!AA77</f>
        <v>CORNER</v>
      </c>
      <c r="N84" s="841"/>
      <c r="O84" s="842">
        <f>'Internal Pricelist'!BM77</f>
        <v>17937936.245364413</v>
      </c>
      <c r="P84" s="843">
        <f t="shared" si="28"/>
        <v>2152552.3494437295</v>
      </c>
      <c r="Q84" s="844">
        <f t="shared" si="29"/>
        <v>1793793.6245364414</v>
      </c>
      <c r="R84" s="843">
        <f t="shared" si="30"/>
        <v>21884282.219344582</v>
      </c>
      <c r="S84" s="845">
        <f>'Internal Pricelist'!BS77</f>
        <v>0.15</v>
      </c>
      <c r="T84" s="844">
        <f t="shared" si="31"/>
        <v>3282642.3329016874</v>
      </c>
      <c r="U84" s="839">
        <f>'Internal Pricelist'!BU77</f>
        <v>50000</v>
      </c>
      <c r="V84" s="844">
        <f t="shared" si="32"/>
        <v>3232642.3329016874</v>
      </c>
      <c r="W84" s="846">
        <f>'Internal Pricelist'!BW77</f>
        <v>7</v>
      </c>
      <c r="X84" s="844">
        <f t="shared" si="33"/>
        <v>461806.04755738389</v>
      </c>
      <c r="Y84" s="847">
        <f t="shared" si="34"/>
        <v>0.85</v>
      </c>
      <c r="Z84" s="844">
        <f t="shared" si="35"/>
        <v>18601639.886442896</v>
      </c>
      <c r="AA84" s="844">
        <f t="shared" si="36"/>
        <v>167196.79814151002</v>
      </c>
      <c r="AC84" s="849">
        <f t="shared" si="25"/>
        <v>185789.08591780849</v>
      </c>
      <c r="AD84" s="873">
        <f t="shared" si="37"/>
        <v>0</v>
      </c>
      <c r="AG84" s="882">
        <f t="shared" si="18"/>
        <v>7</v>
      </c>
      <c r="AH84" s="853">
        <f t="shared" si="19"/>
        <v>3232642.3329016874</v>
      </c>
      <c r="AI84" s="854">
        <f t="shared" si="20"/>
        <v>0</v>
      </c>
      <c r="AK84" s="872">
        <f>O84-'Internal Pricelist'!AK84</f>
        <v>4516889.3575021997</v>
      </c>
      <c r="AL84" s="872">
        <f>P84-'Internal Pricelist'!BP84</f>
        <v>-20865.137718359474</v>
      </c>
      <c r="AM84" s="872">
        <f>'Internal Pricelist'!BN84+'Internal Pricelist'!BO84</f>
        <v>1811181.2393017409</v>
      </c>
      <c r="AN84" s="872">
        <f t="shared" si="23"/>
        <v>17387.614765299484</v>
      </c>
      <c r="AO84" s="872">
        <f>R84-'Internal Pricelist'!BQ84</f>
        <v>-212128.90013665333</v>
      </c>
      <c r="AS84" s="873">
        <f>'Internal Pricelist'!AK84-PriceLink_Fitted!O84</f>
        <v>-4516889.3575021997</v>
      </c>
      <c r="AT84" s="873">
        <f>'Internal Pricelist'!BP84-PriceLink_Fitted!P84</f>
        <v>20865.137718359474</v>
      </c>
      <c r="AU84" s="849">
        <f>'Internal Pricelist'!BN84+'Internal Pricelist'!BO84</f>
        <v>1811181.2393017409</v>
      </c>
      <c r="AV84" s="873">
        <f>PriceLink_Fitted!Q84-PriceLink_Fitted!AU84</f>
        <v>-17387.614765299484</v>
      </c>
      <c r="AW84" s="873">
        <f>'Internal Pricelist'!BQ84-PriceLink_Fitted!R84</f>
        <v>212128.90013665333</v>
      </c>
    </row>
    <row r="85" spans="1:49" hidden="1" x14ac:dyDescent="0.2">
      <c r="A85" s="835">
        <f t="shared" si="26"/>
        <v>72</v>
      </c>
      <c r="B85" s="836" t="str">
        <f>'Internal Pricelist'!H78</f>
        <v>9F</v>
      </c>
      <c r="C85" s="836" t="str">
        <f>'Internal Pricelist'!C78</f>
        <v>Sold</v>
      </c>
      <c r="D85" s="836">
        <v>72</v>
      </c>
      <c r="E85" s="837" t="str">
        <f>'Internal Pricelist'!E78</f>
        <v>8th</v>
      </c>
      <c r="F85" s="838" t="str">
        <f>'Internal Pricelist'!F78</f>
        <v>9th</v>
      </c>
      <c r="G85" s="839" t="str">
        <f t="shared" si="27"/>
        <v>9F</v>
      </c>
      <c r="H85" s="839" t="str">
        <f>'Internal Pricelist'!I78</f>
        <v>2-BR</v>
      </c>
      <c r="I85" s="839">
        <f>'Internal Pricelist'!J78</f>
        <v>61.56</v>
      </c>
      <c r="J85" s="839">
        <f>'Internal Pricelist'!K78</f>
        <v>4.0999999999999996</v>
      </c>
      <c r="K85" s="839">
        <f>'Internal Pricelist'!L78</f>
        <v>0</v>
      </c>
      <c r="L85" s="840">
        <f t="shared" si="24"/>
        <v>65.66</v>
      </c>
      <c r="M85" s="851" t="str">
        <f>'Internal Pricelist'!AA78</f>
        <v>INNER</v>
      </c>
      <c r="N85" s="841"/>
      <c r="O85" s="842">
        <f>'Internal Pricelist'!BM78</f>
        <v>12544531.136106113</v>
      </c>
      <c r="P85" s="843">
        <f t="shared" si="28"/>
        <v>1505343.7363327334</v>
      </c>
      <c r="Q85" s="844">
        <f t="shared" si="29"/>
        <v>1254453.1136106113</v>
      </c>
      <c r="R85" s="843">
        <f t="shared" si="30"/>
        <v>15304327.986049458</v>
      </c>
      <c r="S85" s="845">
        <f>'Internal Pricelist'!BS78</f>
        <v>0.15</v>
      </c>
      <c r="T85" s="844">
        <f t="shared" si="31"/>
        <v>2295649.1979074185</v>
      </c>
      <c r="U85" s="839">
        <f>'Internal Pricelist'!BU78</f>
        <v>50000</v>
      </c>
      <c r="V85" s="844">
        <f t="shared" si="32"/>
        <v>2245649.1979074185</v>
      </c>
      <c r="W85" s="846">
        <f>'Internal Pricelist'!BW78</f>
        <v>7</v>
      </c>
      <c r="X85" s="844">
        <f t="shared" si="33"/>
        <v>320807.02827248833</v>
      </c>
      <c r="Y85" s="847">
        <f t="shared" si="34"/>
        <v>0.85</v>
      </c>
      <c r="Z85" s="844">
        <f t="shared" si="35"/>
        <v>13008678.788142039</v>
      </c>
      <c r="AA85" s="844">
        <f t="shared" si="36"/>
        <v>116925.68261220353</v>
      </c>
      <c r="AC85" s="849">
        <f t="shared" si="25"/>
        <v>191052.86530773857</v>
      </c>
      <c r="AD85" s="873">
        <f t="shared" si="37"/>
        <v>0</v>
      </c>
      <c r="AG85" s="882">
        <f t="shared" ref="AG85:AG145" si="38">W85</f>
        <v>7</v>
      </c>
      <c r="AH85" s="853">
        <f t="shared" ref="AH85:AH145" si="39">X85*W85</f>
        <v>2245649.1979074185</v>
      </c>
      <c r="AI85" s="854">
        <f t="shared" ref="AI85:AI145" si="40">R85-U85-AH85-Z85</f>
        <v>0</v>
      </c>
      <c r="AK85" s="872">
        <f>O85-'Internal Pricelist'!AK85</f>
        <v>4654066.1284672357</v>
      </c>
      <c r="AL85" s="872">
        <f>P85-'Internal Pricelist'!BP85</f>
        <v>227554.09944886109</v>
      </c>
      <c r="AM85" s="872">
        <f>'Internal Pricelist'!BN85+'Internal Pricelist'!BO85</f>
        <v>1064824.697403227</v>
      </c>
      <c r="AN85" s="872">
        <f t="shared" si="23"/>
        <v>-189628.41620738432</v>
      </c>
      <c r="AO85" s="872">
        <f>R85-'Internal Pricelist'!BQ85</f>
        <v>2313466.6777300891</v>
      </c>
      <c r="AS85" s="873">
        <f>'Internal Pricelist'!AK85-PriceLink_Fitted!O85</f>
        <v>-4654066.1284672357</v>
      </c>
      <c r="AT85" s="873">
        <f>'Internal Pricelist'!BP85-PriceLink_Fitted!P85</f>
        <v>-227554.09944886109</v>
      </c>
      <c r="AU85" s="849">
        <f>'Internal Pricelist'!BN85+'Internal Pricelist'!BO85</f>
        <v>1064824.697403227</v>
      </c>
      <c r="AV85" s="873">
        <f>PriceLink_Fitted!Q85-PriceLink_Fitted!AU85</f>
        <v>189628.41620738432</v>
      </c>
      <c r="AW85" s="873">
        <f>'Internal Pricelist'!BQ85-PriceLink_Fitted!R85</f>
        <v>-2313466.6777300891</v>
      </c>
    </row>
    <row r="86" spans="1:49" x14ac:dyDescent="0.2">
      <c r="A86" s="835">
        <f t="shared" si="26"/>
        <v>73</v>
      </c>
      <c r="B86" s="836" t="str">
        <f>'Internal Pricelist'!H79</f>
        <v>9G</v>
      </c>
      <c r="C86" s="836" t="str">
        <f>'Internal Pricelist'!C79</f>
        <v>Unsold</v>
      </c>
      <c r="D86" s="836">
        <v>73</v>
      </c>
      <c r="E86" s="837" t="str">
        <f>'Internal Pricelist'!E79</f>
        <v>8th</v>
      </c>
      <c r="F86" s="838" t="str">
        <f>'Internal Pricelist'!F79</f>
        <v>9th</v>
      </c>
      <c r="G86" s="839" t="str">
        <f t="shared" si="27"/>
        <v>9G</v>
      </c>
      <c r="H86" s="839" t="str">
        <f>'Internal Pricelist'!I79</f>
        <v>2-BR</v>
      </c>
      <c r="I86" s="839">
        <f>'Internal Pricelist'!J79</f>
        <v>95.44</v>
      </c>
      <c r="J86" s="839">
        <f>'Internal Pricelist'!K79</f>
        <v>13.34</v>
      </c>
      <c r="K86" s="839">
        <f>'Internal Pricelist'!L79</f>
        <v>0</v>
      </c>
      <c r="L86" s="840">
        <f t="shared" si="24"/>
        <v>108.78</v>
      </c>
      <c r="M86" s="851" t="str">
        <f>'Internal Pricelist'!AA79</f>
        <v>CORNER</v>
      </c>
      <c r="N86" s="841"/>
      <c r="O86" s="842">
        <f>'Internal Pricelist'!BM79</f>
        <v>20466686.730335645</v>
      </c>
      <c r="P86" s="843">
        <f t="shared" si="28"/>
        <v>2456002.4076402774</v>
      </c>
      <c r="Q86" s="844">
        <f t="shared" si="29"/>
        <v>2046668.6730335646</v>
      </c>
      <c r="R86" s="843">
        <f t="shared" si="30"/>
        <v>24969357.811009489</v>
      </c>
      <c r="S86" s="845">
        <f>'Internal Pricelist'!BS79</f>
        <v>0.15</v>
      </c>
      <c r="T86" s="844">
        <f t="shared" si="31"/>
        <v>3745403.6716514234</v>
      </c>
      <c r="U86" s="839">
        <f>'Internal Pricelist'!BU79</f>
        <v>50000</v>
      </c>
      <c r="V86" s="844">
        <f t="shared" si="32"/>
        <v>3695403.6716514234</v>
      </c>
      <c r="W86" s="846">
        <f>'Internal Pricelist'!BW79</f>
        <v>7</v>
      </c>
      <c r="X86" s="844">
        <f t="shared" si="33"/>
        <v>527914.81023591768</v>
      </c>
      <c r="Y86" s="847">
        <f t="shared" si="34"/>
        <v>0.85</v>
      </c>
      <c r="Z86" s="844">
        <f t="shared" si="35"/>
        <v>21223954.139358066</v>
      </c>
      <c r="AA86" s="844">
        <f t="shared" si="36"/>
        <v>190766.89999730419</v>
      </c>
      <c r="AC86" s="849">
        <f t="shared" si="25"/>
        <v>188147.51544710097</v>
      </c>
      <c r="AD86" s="873">
        <f t="shared" si="37"/>
        <v>0</v>
      </c>
      <c r="AG86" s="882">
        <f t="shared" si="38"/>
        <v>7</v>
      </c>
      <c r="AH86" s="853">
        <f t="shared" si="39"/>
        <v>3695403.6716514239</v>
      </c>
      <c r="AI86" s="854">
        <f t="shared" si="40"/>
        <v>0</v>
      </c>
      <c r="AK86" s="872">
        <f>O86-'Internal Pricelist'!AK86</f>
        <v>4682489.4435077999</v>
      </c>
      <c r="AL86" s="872">
        <f>P86-'Internal Pricelist'!BP86</f>
        <v>-100105.97128458321</v>
      </c>
      <c r="AM86" s="872">
        <f>'Internal Pricelist'!BN86+'Internal Pricelist'!BO86</f>
        <v>2130090.3157707173</v>
      </c>
      <c r="AN86" s="872">
        <f t="shared" si="23"/>
        <v>83421.642737152753</v>
      </c>
      <c r="AO86" s="872">
        <f>R86-'Internal Pricelist'!BQ86</f>
        <v>-1017744.0413932614</v>
      </c>
      <c r="AS86" s="873">
        <f>'Internal Pricelist'!AK86-PriceLink_Fitted!O86</f>
        <v>-4682489.4435077999</v>
      </c>
      <c r="AT86" s="873">
        <f>'Internal Pricelist'!BP86-PriceLink_Fitted!P86</f>
        <v>100105.97128458321</v>
      </c>
      <c r="AU86" s="849">
        <f>'Internal Pricelist'!BN86+'Internal Pricelist'!BO86</f>
        <v>2130090.3157707173</v>
      </c>
      <c r="AV86" s="873">
        <f>PriceLink_Fitted!Q86-PriceLink_Fitted!AU86</f>
        <v>-83421.642737152753</v>
      </c>
      <c r="AW86" s="873">
        <f>'Internal Pricelist'!BQ86-PriceLink_Fitted!R86</f>
        <v>1017744.0413932614</v>
      </c>
    </row>
    <row r="87" spans="1:49" x14ac:dyDescent="0.2">
      <c r="A87" s="835">
        <f t="shared" si="26"/>
        <v>74</v>
      </c>
      <c r="B87" s="836" t="str">
        <f>'Internal Pricelist'!H80</f>
        <v>9H</v>
      </c>
      <c r="C87" s="836" t="str">
        <f>'Internal Pricelist'!C80</f>
        <v>Unsold</v>
      </c>
      <c r="D87" s="836">
        <v>74</v>
      </c>
      <c r="E87" s="837" t="str">
        <f>'Internal Pricelist'!E80</f>
        <v>8th</v>
      </c>
      <c r="F87" s="838" t="str">
        <f>'Internal Pricelist'!F80</f>
        <v>9th</v>
      </c>
      <c r="G87" s="839" t="str">
        <f t="shared" si="27"/>
        <v>9H</v>
      </c>
      <c r="H87" s="839" t="str">
        <f>'Internal Pricelist'!I80</f>
        <v>1-BR</v>
      </c>
      <c r="I87" s="839">
        <f>'Internal Pricelist'!J80</f>
        <v>69.2</v>
      </c>
      <c r="J87" s="839">
        <f>'Internal Pricelist'!K80</f>
        <v>4.7699999999999996</v>
      </c>
      <c r="K87" s="839">
        <f>'Internal Pricelist'!L80</f>
        <v>0</v>
      </c>
      <c r="L87" s="840">
        <f t="shared" si="24"/>
        <v>73.97</v>
      </c>
      <c r="M87" s="851" t="str">
        <f>'Internal Pricelist'!AA80</f>
        <v>INNER</v>
      </c>
      <c r="N87" s="841"/>
      <c r="O87" s="842">
        <f>'Internal Pricelist'!BM80</f>
        <v>14117565.5628324</v>
      </c>
      <c r="P87" s="843">
        <f t="shared" si="28"/>
        <v>1694107.867539888</v>
      </c>
      <c r="Q87" s="844">
        <f t="shared" si="29"/>
        <v>1411756.5562832402</v>
      </c>
      <c r="R87" s="843">
        <f t="shared" si="30"/>
        <v>17223429.98665553</v>
      </c>
      <c r="S87" s="845">
        <f>'Internal Pricelist'!BS80</f>
        <v>0.15</v>
      </c>
      <c r="T87" s="844">
        <f t="shared" si="31"/>
        <v>2583514.4979983293</v>
      </c>
      <c r="U87" s="839">
        <f>'Internal Pricelist'!BU80</f>
        <v>50000</v>
      </c>
      <c r="V87" s="844">
        <f t="shared" si="32"/>
        <v>2533514.4979983293</v>
      </c>
      <c r="W87" s="846">
        <f>'Internal Pricelist'!BW80</f>
        <v>7</v>
      </c>
      <c r="X87" s="844">
        <f t="shared" si="33"/>
        <v>361930.64257118991</v>
      </c>
      <c r="Y87" s="847">
        <f t="shared" si="34"/>
        <v>0.85</v>
      </c>
      <c r="Z87" s="844">
        <f t="shared" si="35"/>
        <v>14639915.488657199</v>
      </c>
      <c r="AA87" s="844">
        <f t="shared" si="36"/>
        <v>131587.69924095413</v>
      </c>
      <c r="AC87" s="849">
        <f t="shared" si="25"/>
        <v>190855.28677615791</v>
      </c>
      <c r="AD87" s="873">
        <f t="shared" si="37"/>
        <v>0</v>
      </c>
      <c r="AG87" s="882">
        <f t="shared" si="38"/>
        <v>7</v>
      </c>
      <c r="AH87" s="853">
        <f t="shared" si="39"/>
        <v>2533514.4979983293</v>
      </c>
      <c r="AI87" s="854">
        <f t="shared" si="40"/>
        <v>0</v>
      </c>
      <c r="AK87" s="872">
        <f>O87-'Internal Pricelist'!AK87</f>
        <v>5924990.6926342063</v>
      </c>
      <c r="AL87" s="872">
        <f>P87-'Internal Pricelist'!BP87</f>
        <v>367394.26341137523</v>
      </c>
      <c r="AM87" s="872">
        <f>'Internal Pricelist'!BN87+'Internal Pricelist'!BO87</f>
        <v>1105594.6701070941</v>
      </c>
      <c r="AN87" s="872">
        <f t="shared" si="23"/>
        <v>-306161.8861761461</v>
      </c>
      <c r="AO87" s="872">
        <f>R87-'Internal Pricelist'!BQ87</f>
        <v>3735175.0113489814</v>
      </c>
      <c r="AS87" s="873">
        <f>'Internal Pricelist'!AK87-PriceLink_Fitted!O87</f>
        <v>-5924990.6926342063</v>
      </c>
      <c r="AT87" s="873">
        <f>'Internal Pricelist'!BP87-PriceLink_Fitted!P87</f>
        <v>-367394.26341137523</v>
      </c>
      <c r="AU87" s="849">
        <f>'Internal Pricelist'!BN87+'Internal Pricelist'!BO87</f>
        <v>1105594.6701070941</v>
      </c>
      <c r="AV87" s="873">
        <f>PriceLink_Fitted!Q87-PriceLink_Fitted!AU87</f>
        <v>306161.8861761461</v>
      </c>
      <c r="AW87" s="873">
        <f>'Internal Pricelist'!BQ87-PriceLink_Fitted!R87</f>
        <v>-3735175.0113489814</v>
      </c>
    </row>
    <row r="88" spans="1:49" hidden="1" x14ac:dyDescent="0.2">
      <c r="A88" s="835">
        <f t="shared" si="26"/>
        <v>75</v>
      </c>
      <c r="B88" s="836" t="str">
        <f>'Internal Pricelist'!H81</f>
        <v>9I</v>
      </c>
      <c r="C88" s="836" t="str">
        <f>'Internal Pricelist'!C81</f>
        <v>Sold</v>
      </c>
      <c r="D88" s="836">
        <v>75</v>
      </c>
      <c r="E88" s="837" t="str">
        <f>'Internal Pricelist'!E81</f>
        <v>8th</v>
      </c>
      <c r="F88" s="838" t="str">
        <f>'Internal Pricelist'!F81</f>
        <v>9th</v>
      </c>
      <c r="G88" s="839" t="str">
        <f t="shared" si="27"/>
        <v>9I</v>
      </c>
      <c r="H88" s="839" t="str">
        <f>'Internal Pricelist'!I81</f>
        <v>2-BR</v>
      </c>
      <c r="I88" s="839">
        <f>'Internal Pricelist'!J81</f>
        <v>69.36</v>
      </c>
      <c r="J88" s="839">
        <f>'Internal Pricelist'!K81</f>
        <v>4.79</v>
      </c>
      <c r="K88" s="839">
        <f>'Internal Pricelist'!L81</f>
        <v>0</v>
      </c>
      <c r="L88" s="840">
        <f t="shared" si="24"/>
        <v>74.150000000000006</v>
      </c>
      <c r="M88" s="851" t="str">
        <f>'Internal Pricelist'!AA81</f>
        <v>INNER</v>
      </c>
      <c r="N88" s="841"/>
      <c r="O88" s="842">
        <f>'Internal Pricelist'!BM81</f>
        <v>14151107.75353983</v>
      </c>
      <c r="P88" s="843">
        <f t="shared" si="28"/>
        <v>1698132.9304247797</v>
      </c>
      <c r="Q88" s="844">
        <f t="shared" si="29"/>
        <v>1415110.775353983</v>
      </c>
      <c r="R88" s="843">
        <f t="shared" si="30"/>
        <v>17264351.459318593</v>
      </c>
      <c r="S88" s="845">
        <f>'Internal Pricelist'!BS81</f>
        <v>0.15</v>
      </c>
      <c r="T88" s="844">
        <f t="shared" si="31"/>
        <v>2589652.7188977888</v>
      </c>
      <c r="U88" s="839">
        <f>'Internal Pricelist'!BU81</f>
        <v>50000</v>
      </c>
      <c r="V88" s="844">
        <f t="shared" si="32"/>
        <v>2539652.7188977888</v>
      </c>
      <c r="W88" s="846">
        <f>'Internal Pricelist'!BW81</f>
        <v>7</v>
      </c>
      <c r="X88" s="844">
        <f t="shared" si="33"/>
        <v>362807.53127111268</v>
      </c>
      <c r="Y88" s="847">
        <f t="shared" si="34"/>
        <v>0.85</v>
      </c>
      <c r="Z88" s="844">
        <f t="shared" si="35"/>
        <v>14674698.740420803</v>
      </c>
      <c r="AA88" s="844">
        <f t="shared" si="36"/>
        <v>131900.34094132719</v>
      </c>
      <c r="AC88" s="849">
        <f t="shared" si="25"/>
        <v>190844.33922508199</v>
      </c>
      <c r="AD88" s="873">
        <f t="shared" si="37"/>
        <v>0</v>
      </c>
      <c r="AG88" s="882">
        <f t="shared" si="38"/>
        <v>7</v>
      </c>
      <c r="AH88" s="853">
        <f t="shared" si="39"/>
        <v>2539652.7188977888</v>
      </c>
      <c r="AI88" s="854">
        <f t="shared" si="40"/>
        <v>0</v>
      </c>
      <c r="AK88" s="872">
        <f>O88-'Internal Pricelist'!AK88</f>
        <v>5273350.9104718007</v>
      </c>
      <c r="AL88" s="872">
        <f>P88-'Internal Pricelist'!BP88</f>
        <v>260460.28605401004</v>
      </c>
      <c r="AM88" s="872">
        <f>'Internal Pricelist'!BN88+'Internal Pricelist'!BO88</f>
        <v>1198060.5369756413</v>
      </c>
      <c r="AN88" s="872">
        <f t="shared" si="23"/>
        <v>-217050.23837834178</v>
      </c>
      <c r="AO88" s="872">
        <f>R88-'Internal Pricelist'!BQ88</f>
        <v>2648012.9082157668</v>
      </c>
      <c r="AS88" s="873">
        <f>'Internal Pricelist'!AK88-PriceLink_Fitted!O88</f>
        <v>-5273350.9104718007</v>
      </c>
      <c r="AT88" s="873">
        <f>'Internal Pricelist'!BP88-PriceLink_Fitted!P88</f>
        <v>-260460.28605401004</v>
      </c>
      <c r="AU88" s="849">
        <f>'Internal Pricelist'!BN88+'Internal Pricelist'!BO88</f>
        <v>1198060.5369756413</v>
      </c>
      <c r="AV88" s="873">
        <f>PriceLink_Fitted!Q88-PriceLink_Fitted!AU88</f>
        <v>217050.23837834178</v>
      </c>
      <c r="AW88" s="873">
        <f>'Internal Pricelist'!BQ88-PriceLink_Fitted!R88</f>
        <v>-2648012.9082157668</v>
      </c>
    </row>
    <row r="89" spans="1:49" hidden="1" x14ac:dyDescent="0.2">
      <c r="A89" s="835">
        <f t="shared" si="26"/>
        <v>76</v>
      </c>
      <c r="B89" s="836" t="str">
        <f>'Internal Pricelist'!H82</f>
        <v>9J</v>
      </c>
      <c r="C89" s="836" t="str">
        <f>'Internal Pricelist'!C82</f>
        <v>Sold</v>
      </c>
      <c r="D89" s="836">
        <v>76</v>
      </c>
      <c r="E89" s="837" t="str">
        <f>'Internal Pricelist'!E82</f>
        <v>8th</v>
      </c>
      <c r="F89" s="838" t="str">
        <f>'Internal Pricelist'!F82</f>
        <v>9th</v>
      </c>
      <c r="G89" s="839" t="str">
        <f t="shared" si="27"/>
        <v>9J</v>
      </c>
      <c r="H89" s="839" t="str">
        <f>'Internal Pricelist'!I82</f>
        <v>2-BR</v>
      </c>
      <c r="I89" s="839">
        <f>'Internal Pricelist'!J82</f>
        <v>69.36</v>
      </c>
      <c r="J89" s="839">
        <f>'Internal Pricelist'!K82</f>
        <v>4.79</v>
      </c>
      <c r="K89" s="839">
        <f>'Internal Pricelist'!L82</f>
        <v>0</v>
      </c>
      <c r="L89" s="840">
        <f t="shared" si="24"/>
        <v>74.150000000000006</v>
      </c>
      <c r="M89" s="851" t="str">
        <f>'Internal Pricelist'!AA82</f>
        <v>INNER</v>
      </c>
      <c r="N89" s="841"/>
      <c r="O89" s="842">
        <f>'Internal Pricelist'!BM82</f>
        <v>14151107.75353983</v>
      </c>
      <c r="P89" s="843">
        <f t="shared" si="28"/>
        <v>1698132.9304247797</v>
      </c>
      <c r="Q89" s="844">
        <f t="shared" si="29"/>
        <v>1415110.775353983</v>
      </c>
      <c r="R89" s="843">
        <f t="shared" si="30"/>
        <v>17264351.459318593</v>
      </c>
      <c r="S89" s="845">
        <f>'Internal Pricelist'!BS82</f>
        <v>0.15</v>
      </c>
      <c r="T89" s="844">
        <f t="shared" si="31"/>
        <v>2589652.7188977888</v>
      </c>
      <c r="U89" s="839">
        <f>'Internal Pricelist'!BU82</f>
        <v>50000</v>
      </c>
      <c r="V89" s="844">
        <f t="shared" si="32"/>
        <v>2539652.7188977888</v>
      </c>
      <c r="W89" s="846">
        <f>'Internal Pricelist'!BW82</f>
        <v>7</v>
      </c>
      <c r="X89" s="844">
        <f t="shared" si="33"/>
        <v>362807.53127111268</v>
      </c>
      <c r="Y89" s="847">
        <f t="shared" si="34"/>
        <v>0.85</v>
      </c>
      <c r="Z89" s="844">
        <f t="shared" si="35"/>
        <v>14674698.740420803</v>
      </c>
      <c r="AA89" s="844">
        <f t="shared" si="36"/>
        <v>131900.34094132719</v>
      </c>
      <c r="AC89" s="849">
        <f t="shared" si="25"/>
        <v>190844.33922508199</v>
      </c>
      <c r="AD89" s="873">
        <f t="shared" si="37"/>
        <v>0</v>
      </c>
      <c r="AG89" s="882">
        <f t="shared" si="38"/>
        <v>7</v>
      </c>
      <c r="AH89" s="853">
        <f t="shared" si="39"/>
        <v>2539652.7188977888</v>
      </c>
      <c r="AI89" s="854">
        <f t="shared" si="40"/>
        <v>0</v>
      </c>
      <c r="AK89" s="872">
        <f>O89-'Internal Pricelist'!AK89</f>
        <v>4584999.4562014528</v>
      </c>
      <c r="AL89" s="872">
        <f>P89-'Internal Pricelist'!BP89</f>
        <v>148987.9768873041</v>
      </c>
      <c r="AM89" s="872">
        <f>'Internal Pricelist'!BN89+'Internal Pricelist'!BO89</f>
        <v>1290954.1279478963</v>
      </c>
      <c r="AN89" s="872">
        <f t="shared" si="23"/>
        <v>-124156.64740608679</v>
      </c>
      <c r="AO89" s="872">
        <f>R89-'Internal Pricelist'!BQ89</f>
        <v>1514711.0983542576</v>
      </c>
      <c r="AS89" s="873">
        <f>'Internal Pricelist'!AK89-PriceLink_Fitted!O89</f>
        <v>-4584999.4562014528</v>
      </c>
      <c r="AT89" s="873">
        <f>'Internal Pricelist'!BP89-PriceLink_Fitted!P89</f>
        <v>-148987.9768873041</v>
      </c>
      <c r="AU89" s="849">
        <f>'Internal Pricelist'!BN89+'Internal Pricelist'!BO89</f>
        <v>1290954.1279478963</v>
      </c>
      <c r="AV89" s="873">
        <f>PriceLink_Fitted!Q89-PriceLink_Fitted!AU89</f>
        <v>124156.64740608679</v>
      </c>
      <c r="AW89" s="873">
        <f>'Internal Pricelist'!BQ89-PriceLink_Fitted!R89</f>
        <v>-1514711.0983542576</v>
      </c>
    </row>
    <row r="90" spans="1:49" x14ac:dyDescent="0.2">
      <c r="A90" s="835">
        <f t="shared" si="26"/>
        <v>77</v>
      </c>
      <c r="B90" s="836" t="str">
        <f>'Internal Pricelist'!H83</f>
        <v>9K</v>
      </c>
      <c r="C90" s="836" t="str">
        <f>'Internal Pricelist'!C83</f>
        <v>Unsold</v>
      </c>
      <c r="D90" s="836">
        <v>77</v>
      </c>
      <c r="E90" s="837" t="str">
        <f>'Internal Pricelist'!E83</f>
        <v>8th</v>
      </c>
      <c r="F90" s="838" t="str">
        <f>'Internal Pricelist'!F83</f>
        <v>9th</v>
      </c>
      <c r="G90" s="839" t="str">
        <f t="shared" si="27"/>
        <v>9K</v>
      </c>
      <c r="H90" s="839" t="str">
        <f>'Internal Pricelist'!I83</f>
        <v>2-BR</v>
      </c>
      <c r="I90" s="839">
        <f>'Internal Pricelist'!J83</f>
        <v>69.36</v>
      </c>
      <c r="J90" s="839">
        <f>'Internal Pricelist'!K83</f>
        <v>4.79</v>
      </c>
      <c r="K90" s="839">
        <f>'Internal Pricelist'!L83</f>
        <v>0</v>
      </c>
      <c r="L90" s="840">
        <f t="shared" si="24"/>
        <v>74.150000000000006</v>
      </c>
      <c r="M90" s="851" t="str">
        <f>'Internal Pricelist'!AA83</f>
        <v>INNER</v>
      </c>
      <c r="N90" s="841"/>
      <c r="O90" s="842">
        <f>'Internal Pricelist'!BM83</f>
        <v>14151107.75353983</v>
      </c>
      <c r="P90" s="843">
        <f t="shared" si="28"/>
        <v>1698132.9304247797</v>
      </c>
      <c r="Q90" s="844">
        <f t="shared" si="29"/>
        <v>1415110.775353983</v>
      </c>
      <c r="R90" s="843">
        <f t="shared" si="30"/>
        <v>17264351.459318593</v>
      </c>
      <c r="S90" s="845">
        <f>'Internal Pricelist'!BS83</f>
        <v>0.15</v>
      </c>
      <c r="T90" s="844">
        <f t="shared" si="31"/>
        <v>2589652.7188977888</v>
      </c>
      <c r="U90" s="839">
        <f>'Internal Pricelist'!BU83</f>
        <v>50000</v>
      </c>
      <c r="V90" s="844">
        <f t="shared" si="32"/>
        <v>2539652.7188977888</v>
      </c>
      <c r="W90" s="846">
        <f>'Internal Pricelist'!BW83</f>
        <v>7</v>
      </c>
      <c r="X90" s="844">
        <f t="shared" si="33"/>
        <v>362807.53127111268</v>
      </c>
      <c r="Y90" s="847">
        <f t="shared" si="34"/>
        <v>0.85</v>
      </c>
      <c r="Z90" s="844">
        <f t="shared" si="35"/>
        <v>14674698.740420803</v>
      </c>
      <c r="AA90" s="844">
        <f t="shared" si="36"/>
        <v>131900.34094132719</v>
      </c>
      <c r="AC90" s="849">
        <f t="shared" si="25"/>
        <v>190844.33922508199</v>
      </c>
      <c r="AD90" s="873">
        <f t="shared" si="37"/>
        <v>0</v>
      </c>
      <c r="AG90" s="882">
        <f t="shared" si="38"/>
        <v>7</v>
      </c>
      <c r="AH90" s="853">
        <f t="shared" si="39"/>
        <v>2539652.7188977888</v>
      </c>
      <c r="AI90" s="854">
        <f t="shared" si="40"/>
        <v>0</v>
      </c>
      <c r="AK90" s="872">
        <f>O90-'Internal Pricelist'!AK90</f>
        <v>806741.20154219866</v>
      </c>
      <c r="AL90" s="872">
        <f>P90-'Internal Pricelist'!BP90</f>
        <v>-462866.86799200997</v>
      </c>
      <c r="AM90" s="872">
        <f>'Internal Pricelist'!BN90+'Internal Pricelist'!BO90</f>
        <v>1800833.1653473247</v>
      </c>
      <c r="AN90" s="872">
        <f t="shared" si="23"/>
        <v>385722.38999334164</v>
      </c>
      <c r="AO90" s="872">
        <f>R90-'Internal Pricelist'!BQ90</f>
        <v>-4705813.1579187661</v>
      </c>
      <c r="AS90" s="873">
        <f>'Internal Pricelist'!AK90-PriceLink_Fitted!O90</f>
        <v>-806741.20154219866</v>
      </c>
      <c r="AT90" s="873">
        <f>'Internal Pricelist'!BP90-PriceLink_Fitted!P90</f>
        <v>462866.86799200997</v>
      </c>
      <c r="AU90" s="849">
        <f>'Internal Pricelist'!BN90+'Internal Pricelist'!BO90</f>
        <v>1800833.1653473247</v>
      </c>
      <c r="AV90" s="873">
        <f>PriceLink_Fitted!Q90-PriceLink_Fitted!AU90</f>
        <v>-385722.38999334164</v>
      </c>
      <c r="AW90" s="873">
        <f>'Internal Pricelist'!BQ90-PriceLink_Fitted!R90</f>
        <v>4705813.1579187661</v>
      </c>
    </row>
    <row r="91" spans="1:49" hidden="1" x14ac:dyDescent="0.2">
      <c r="A91" s="835">
        <f t="shared" si="26"/>
        <v>78</v>
      </c>
      <c r="B91" s="836" t="str">
        <f>'Internal Pricelist'!H84</f>
        <v>9L</v>
      </c>
      <c r="C91" s="836" t="str">
        <f>'Internal Pricelist'!C84</f>
        <v>Sold</v>
      </c>
      <c r="D91" s="836">
        <v>78</v>
      </c>
      <c r="E91" s="837" t="str">
        <f>'Internal Pricelist'!E84</f>
        <v>8th</v>
      </c>
      <c r="F91" s="838" t="str">
        <f>'Internal Pricelist'!F84</f>
        <v>9th</v>
      </c>
      <c r="G91" s="839" t="str">
        <f t="shared" si="27"/>
        <v>9L</v>
      </c>
      <c r="H91" s="839" t="str">
        <f>'Internal Pricelist'!I84</f>
        <v>2-BR</v>
      </c>
      <c r="I91" s="839">
        <f>'Internal Pricelist'!J84</f>
        <v>83.12</v>
      </c>
      <c r="J91" s="839">
        <f>'Internal Pricelist'!K84</f>
        <v>13.04</v>
      </c>
      <c r="K91" s="839">
        <f>'Internal Pricelist'!L84</f>
        <v>0</v>
      </c>
      <c r="L91" s="840">
        <f t="shared" si="24"/>
        <v>96.16</v>
      </c>
      <c r="M91" s="851" t="str">
        <f>'Internal Pricelist'!AA84</f>
        <v>CORNER</v>
      </c>
      <c r="N91" s="841"/>
      <c r="O91" s="842">
        <f>'Internal Pricelist'!BM84</f>
        <v>18111812.393017408</v>
      </c>
      <c r="P91" s="843">
        <f t="shared" si="28"/>
        <v>2173417.487162089</v>
      </c>
      <c r="Q91" s="844">
        <f t="shared" si="29"/>
        <v>1811181.2393017409</v>
      </c>
      <c r="R91" s="843">
        <f t="shared" si="30"/>
        <v>22096411.119481236</v>
      </c>
      <c r="S91" s="845">
        <f>'Internal Pricelist'!BS84</f>
        <v>0.15</v>
      </c>
      <c r="T91" s="844">
        <f t="shared" si="31"/>
        <v>3314461.6679221853</v>
      </c>
      <c r="U91" s="839">
        <f>'Internal Pricelist'!BU84</f>
        <v>50000</v>
      </c>
      <c r="V91" s="844">
        <f t="shared" si="32"/>
        <v>3264461.6679221853</v>
      </c>
      <c r="W91" s="846">
        <f>'Internal Pricelist'!BW84</f>
        <v>7</v>
      </c>
      <c r="X91" s="844">
        <f t="shared" si="33"/>
        <v>466351.66684602649</v>
      </c>
      <c r="Y91" s="847">
        <f t="shared" si="34"/>
        <v>0.85</v>
      </c>
      <c r="Z91" s="844">
        <f t="shared" si="35"/>
        <v>18781949.451559048</v>
      </c>
      <c r="AA91" s="844">
        <f t="shared" si="36"/>
        <v>168817.47148782507</v>
      </c>
      <c r="AC91" s="849">
        <f t="shared" si="25"/>
        <v>188350.79443653711</v>
      </c>
      <c r="AD91" s="873">
        <f t="shared" si="37"/>
        <v>0</v>
      </c>
      <c r="AG91" s="882">
        <f t="shared" si="38"/>
        <v>7</v>
      </c>
      <c r="AH91" s="853">
        <f t="shared" si="39"/>
        <v>3264461.6679221853</v>
      </c>
      <c r="AI91" s="854">
        <f t="shared" si="40"/>
        <v>0</v>
      </c>
      <c r="AK91" s="872">
        <f>O91-'Internal Pricelist'!AK91</f>
        <v>8780705.9273249265</v>
      </c>
      <c r="AL91" s="872">
        <f>P91-'Internal Pricelist'!BP91</f>
        <v>662328.96056968579</v>
      </c>
      <c r="AM91" s="872">
        <f>'Internal Pricelist'!BN91+'Internal Pricelist'!BO91</f>
        <v>1259240.4388270027</v>
      </c>
      <c r="AN91" s="872">
        <f t="shared" si="23"/>
        <v>-551940.80047473824</v>
      </c>
      <c r="AO91" s="872">
        <f>R91-'Internal Pricelist'!BQ91</f>
        <v>6733677.7657918036</v>
      </c>
      <c r="AS91" s="873">
        <f>'Internal Pricelist'!AK91-PriceLink_Fitted!O91</f>
        <v>-8780705.9273249265</v>
      </c>
      <c r="AT91" s="873">
        <f>'Internal Pricelist'!BP91-PriceLink_Fitted!P91</f>
        <v>-662328.96056968579</v>
      </c>
      <c r="AU91" s="849">
        <f>'Internal Pricelist'!BN91+'Internal Pricelist'!BO91</f>
        <v>1259240.4388270027</v>
      </c>
      <c r="AV91" s="873">
        <f>PriceLink_Fitted!Q91-PriceLink_Fitted!AU91</f>
        <v>551940.80047473824</v>
      </c>
      <c r="AW91" s="873">
        <f>'Internal Pricelist'!BQ91-PriceLink_Fitted!R91</f>
        <v>-6733677.7657918036</v>
      </c>
    </row>
    <row r="92" spans="1:49" hidden="1" x14ac:dyDescent="0.2">
      <c r="A92" s="835">
        <f t="shared" si="26"/>
        <v>79</v>
      </c>
      <c r="B92" s="836" t="str">
        <f>'Internal Pricelist'!H85</f>
        <v>9M</v>
      </c>
      <c r="C92" s="836" t="str">
        <f>'Internal Pricelist'!C85</f>
        <v>Sold</v>
      </c>
      <c r="D92" s="836">
        <v>79</v>
      </c>
      <c r="E92" s="837" t="str">
        <f>'Internal Pricelist'!E85</f>
        <v>8th</v>
      </c>
      <c r="F92" s="838" t="str">
        <f>'Internal Pricelist'!F85</f>
        <v>9th</v>
      </c>
      <c r="G92" s="839" t="str">
        <f t="shared" si="27"/>
        <v>9M</v>
      </c>
      <c r="H92" s="839" t="str">
        <f>'Internal Pricelist'!I85</f>
        <v>1-BR</v>
      </c>
      <c r="I92" s="839">
        <f>'Internal Pricelist'!J85</f>
        <v>52.04</v>
      </c>
      <c r="J92" s="839">
        <f>'Internal Pricelist'!K85</f>
        <v>3.1</v>
      </c>
      <c r="K92" s="839">
        <f>'Internal Pricelist'!L85</f>
        <v>0</v>
      </c>
      <c r="L92" s="840">
        <f t="shared" si="24"/>
        <v>55.14</v>
      </c>
      <c r="M92" s="851" t="str">
        <f>'Internal Pricelist'!AA85</f>
        <v>INNER</v>
      </c>
      <c r="N92" s="841"/>
      <c r="O92" s="842">
        <f>'Internal Pricelist'!BM85</f>
        <v>10648246.97403227</v>
      </c>
      <c r="P92" s="843">
        <f t="shared" si="28"/>
        <v>1277789.6368838723</v>
      </c>
      <c r="Q92" s="844">
        <f t="shared" si="29"/>
        <v>1064824.697403227</v>
      </c>
      <c r="R92" s="843">
        <f t="shared" si="30"/>
        <v>12990861.308319367</v>
      </c>
      <c r="S92" s="845">
        <f>'Internal Pricelist'!BS85</f>
        <v>0.15</v>
      </c>
      <c r="T92" s="844">
        <f t="shared" si="31"/>
        <v>1948629.196247905</v>
      </c>
      <c r="U92" s="839">
        <f>'Internal Pricelist'!BU85</f>
        <v>50000</v>
      </c>
      <c r="V92" s="844">
        <f t="shared" si="32"/>
        <v>1898629.196247905</v>
      </c>
      <c r="W92" s="846">
        <f>'Internal Pricelist'!BW85</f>
        <v>7</v>
      </c>
      <c r="X92" s="844">
        <f t="shared" si="33"/>
        <v>271232.74232112931</v>
      </c>
      <c r="Y92" s="847">
        <f t="shared" si="34"/>
        <v>0.85</v>
      </c>
      <c r="Z92" s="844">
        <f t="shared" si="35"/>
        <v>11042232.112071462</v>
      </c>
      <c r="AA92" s="844">
        <f t="shared" si="36"/>
        <v>99250.703956443336</v>
      </c>
      <c r="AC92" s="849">
        <f t="shared" si="25"/>
        <v>193112.93025085726</v>
      </c>
      <c r="AD92" s="873">
        <f t="shared" si="37"/>
        <v>0</v>
      </c>
      <c r="AG92" s="882">
        <f t="shared" si="38"/>
        <v>7</v>
      </c>
      <c r="AH92" s="853">
        <f t="shared" si="39"/>
        <v>1898629.196247905</v>
      </c>
      <c r="AI92" s="854">
        <f t="shared" si="40"/>
        <v>0</v>
      </c>
      <c r="AK92" s="872">
        <f>O92-'Internal Pricelist'!AK92</f>
        <v>-4576558.3486320823</v>
      </c>
      <c r="AL92" s="872">
        <f>P92-'Internal Pricelist'!BP92</f>
        <v>-1187730.259097052</v>
      </c>
      <c r="AM92" s="872">
        <f>'Internal Pricelist'!BN92+'Internal Pricelist'!BO92</f>
        <v>2054599.9133174371</v>
      </c>
      <c r="AN92" s="872">
        <f t="shared" si="23"/>
        <v>989775.21591421007</v>
      </c>
      <c r="AO92" s="872">
        <f>R92-'Internal Pricelist'!BQ92</f>
        <v>-12075257.634153366</v>
      </c>
      <c r="AS92" s="873">
        <f>'Internal Pricelist'!AK92-PriceLink_Fitted!O92</f>
        <v>4576558.3486320823</v>
      </c>
      <c r="AT92" s="873">
        <f>'Internal Pricelist'!BP92-PriceLink_Fitted!P92</f>
        <v>1187730.259097052</v>
      </c>
      <c r="AU92" s="849">
        <f>'Internal Pricelist'!BN92+'Internal Pricelist'!BO92</f>
        <v>2054599.9133174371</v>
      </c>
      <c r="AV92" s="873">
        <f>PriceLink_Fitted!Q92-PriceLink_Fitted!AU92</f>
        <v>-989775.21591421007</v>
      </c>
      <c r="AW92" s="873">
        <f>'Internal Pricelist'!BQ92-PriceLink_Fitted!R92</f>
        <v>12075257.634153366</v>
      </c>
    </row>
    <row r="93" spans="1:49" hidden="1" x14ac:dyDescent="0.2">
      <c r="A93" s="835">
        <f t="shared" si="26"/>
        <v>80</v>
      </c>
      <c r="B93" s="836" t="str">
        <f>'Internal Pricelist'!H86</f>
        <v>10A</v>
      </c>
      <c r="C93" s="836" t="str">
        <f>'Internal Pricelist'!C86</f>
        <v>Sold</v>
      </c>
      <c r="D93" s="836">
        <v>80</v>
      </c>
      <c r="E93" s="837" t="str">
        <f>'Internal Pricelist'!E86</f>
        <v>9th</v>
      </c>
      <c r="F93" s="838" t="str">
        <f>'Internal Pricelist'!F86</f>
        <v>10th</v>
      </c>
      <c r="G93" s="839" t="str">
        <f t="shared" si="27"/>
        <v>10A</v>
      </c>
      <c r="H93" s="839" t="str">
        <f>'Internal Pricelist'!I86</f>
        <v>3-BR</v>
      </c>
      <c r="I93" s="839">
        <f>'Internal Pricelist'!J86</f>
        <v>99.98</v>
      </c>
      <c r="J93" s="839">
        <f>'Internal Pricelist'!K86</f>
        <v>10.29</v>
      </c>
      <c r="K93" s="839">
        <f>'Internal Pricelist'!L86</f>
        <v>0</v>
      </c>
      <c r="L93" s="840">
        <f t="shared" si="24"/>
        <v>110.27000000000001</v>
      </c>
      <c r="M93" s="851" t="str">
        <f>'Internal Pricelist'!AA86</f>
        <v>CORNER</v>
      </c>
      <c r="N93" s="841"/>
      <c r="O93" s="842">
        <f>'Internal Pricelist'!BM86</f>
        <v>21300903.157707173</v>
      </c>
      <c r="P93" s="843">
        <f t="shared" si="28"/>
        <v>2556108.3789248606</v>
      </c>
      <c r="Q93" s="844">
        <f t="shared" si="29"/>
        <v>2130090.3157707173</v>
      </c>
      <c r="R93" s="843">
        <f t="shared" si="30"/>
        <v>25987101.852402754</v>
      </c>
      <c r="S93" s="845">
        <f>'Internal Pricelist'!BS86</f>
        <v>0.15</v>
      </c>
      <c r="T93" s="844">
        <f t="shared" si="31"/>
        <v>3898065.2778604128</v>
      </c>
      <c r="U93" s="839">
        <f>'Internal Pricelist'!BU86</f>
        <v>50000</v>
      </c>
      <c r="V93" s="844">
        <f t="shared" si="32"/>
        <v>3848065.2778604128</v>
      </c>
      <c r="W93" s="846">
        <f>'Internal Pricelist'!BW86</f>
        <v>7</v>
      </c>
      <c r="X93" s="844">
        <f t="shared" si="33"/>
        <v>549723.6111229161</v>
      </c>
      <c r="Y93" s="847">
        <f t="shared" si="34"/>
        <v>0.85</v>
      </c>
      <c r="Z93" s="844">
        <f t="shared" si="35"/>
        <v>22089036.57454234</v>
      </c>
      <c r="AA93" s="844">
        <f t="shared" si="36"/>
        <v>198542.50549091905</v>
      </c>
      <c r="AC93" s="849">
        <f t="shared" si="25"/>
        <v>193170.42856359092</v>
      </c>
      <c r="AD93" s="873">
        <f t="shared" si="37"/>
        <v>0</v>
      </c>
      <c r="AG93" s="882">
        <f t="shared" si="38"/>
        <v>7</v>
      </c>
      <c r="AH93" s="853">
        <f t="shared" si="39"/>
        <v>3848065.2778604128</v>
      </c>
      <c r="AI93" s="854">
        <f t="shared" si="40"/>
        <v>0</v>
      </c>
      <c r="AK93" s="872">
        <f>O93-'Internal Pricelist'!AK93</f>
        <v>10799671.638493495</v>
      </c>
      <c r="AL93" s="872">
        <f>P93-'Internal Pricelist'!BP93</f>
        <v>855528.65431053191</v>
      </c>
      <c r="AM93" s="872">
        <f>'Internal Pricelist'!BN93+'Internal Pricelist'!BO93</f>
        <v>1417149.7705119408</v>
      </c>
      <c r="AN93" s="872">
        <f t="shared" si="23"/>
        <v>-712940.54525877652</v>
      </c>
      <c r="AO93" s="872">
        <f>R93-'Internal Pricelist'!BQ93</f>
        <v>8697874.6521570794</v>
      </c>
      <c r="AS93" s="873">
        <f>'Internal Pricelist'!AK93-PriceLink_Fitted!O93</f>
        <v>-10799671.638493495</v>
      </c>
      <c r="AT93" s="873">
        <f>'Internal Pricelist'!BP93-PriceLink_Fitted!P93</f>
        <v>-855528.65431053191</v>
      </c>
      <c r="AU93" s="849">
        <f>'Internal Pricelist'!BN93+'Internal Pricelist'!BO93</f>
        <v>1417149.7705119408</v>
      </c>
      <c r="AV93" s="873">
        <f>PriceLink_Fitted!Q93-PriceLink_Fitted!AU93</f>
        <v>712940.54525877652</v>
      </c>
      <c r="AW93" s="873">
        <f>'Internal Pricelist'!BQ93-PriceLink_Fitted!R93</f>
        <v>-8697874.6521570794</v>
      </c>
    </row>
    <row r="94" spans="1:49" hidden="1" x14ac:dyDescent="0.2">
      <c r="A94" s="835">
        <f t="shared" si="26"/>
        <v>81</v>
      </c>
      <c r="B94" s="836" t="str">
        <f>'Internal Pricelist'!H87</f>
        <v>10B</v>
      </c>
      <c r="C94" s="836" t="str">
        <f>'Internal Pricelist'!C87</f>
        <v>Sold</v>
      </c>
      <c r="D94" s="836">
        <v>81</v>
      </c>
      <c r="E94" s="837" t="str">
        <f>'Internal Pricelist'!E87</f>
        <v>9th</v>
      </c>
      <c r="F94" s="838" t="str">
        <f>'Internal Pricelist'!F87</f>
        <v>10th</v>
      </c>
      <c r="G94" s="839" t="str">
        <f t="shared" si="27"/>
        <v>10B</v>
      </c>
      <c r="H94" s="839" t="str">
        <f>'Internal Pricelist'!I87</f>
        <v>1-BR</v>
      </c>
      <c r="I94" s="839">
        <f>'Internal Pricelist'!J87</f>
        <v>52.86</v>
      </c>
      <c r="J94" s="839">
        <f>'Internal Pricelist'!K87</f>
        <v>5.09</v>
      </c>
      <c r="K94" s="839">
        <f>'Internal Pricelist'!L87</f>
        <v>0</v>
      </c>
      <c r="L94" s="840">
        <f t="shared" si="24"/>
        <v>57.95</v>
      </c>
      <c r="M94" s="851" t="str">
        <f>'Internal Pricelist'!AA87</f>
        <v>INNER</v>
      </c>
      <c r="N94" s="841"/>
      <c r="O94" s="842">
        <f>'Internal Pricelist'!BM87</f>
        <v>11055946.70107094</v>
      </c>
      <c r="P94" s="843">
        <f t="shared" si="28"/>
        <v>1326713.6041285128</v>
      </c>
      <c r="Q94" s="844">
        <f t="shared" si="29"/>
        <v>1105594.6701070941</v>
      </c>
      <c r="R94" s="843">
        <f t="shared" si="30"/>
        <v>13488254.975306548</v>
      </c>
      <c r="S94" s="845">
        <f>'Internal Pricelist'!BS87</f>
        <v>0.15</v>
      </c>
      <c r="T94" s="844">
        <f t="shared" si="31"/>
        <v>2023238.246295982</v>
      </c>
      <c r="U94" s="839">
        <f>'Internal Pricelist'!BU87</f>
        <v>50000</v>
      </c>
      <c r="V94" s="844">
        <f t="shared" si="32"/>
        <v>1973238.246295982</v>
      </c>
      <c r="W94" s="846">
        <f>'Internal Pricelist'!BW87</f>
        <v>7</v>
      </c>
      <c r="X94" s="844">
        <f t="shared" si="33"/>
        <v>281891.17804228317</v>
      </c>
      <c r="Y94" s="847">
        <f t="shared" si="34"/>
        <v>0.85</v>
      </c>
      <c r="Z94" s="844">
        <f t="shared" si="35"/>
        <v>11465016.729010565</v>
      </c>
      <c r="AA94" s="844">
        <f t="shared" si="36"/>
        <v>103050.81161830714</v>
      </c>
      <c r="AC94" s="849">
        <f t="shared" si="25"/>
        <v>190784.23988043037</v>
      </c>
      <c r="AD94" s="873">
        <f t="shared" si="37"/>
        <v>0</v>
      </c>
      <c r="AG94" s="882">
        <f t="shared" si="38"/>
        <v>7</v>
      </c>
      <c r="AH94" s="853">
        <f t="shared" si="39"/>
        <v>1973238.246295982</v>
      </c>
      <c r="AI94" s="854">
        <f t="shared" si="40"/>
        <v>0</v>
      </c>
      <c r="AK94" s="872">
        <f>O94-'Internal Pricelist'!AK94</f>
        <v>529762.80956864543</v>
      </c>
      <c r="AL94" s="872">
        <f>P94-'Internal Pricelist'!BP94</f>
        <v>-377906.93211037759</v>
      </c>
      <c r="AM94" s="872">
        <f>'Internal Pricelist'!BN94+'Internal Pricelist'!BO94</f>
        <v>1420517.1135324088</v>
      </c>
      <c r="AN94" s="872">
        <f t="shared" si="23"/>
        <v>314922.44342531473</v>
      </c>
      <c r="AO94" s="872">
        <f>R94-'Internal Pricelist'!BQ94</f>
        <v>-3842053.809788838</v>
      </c>
      <c r="AS94" s="873">
        <f>'Internal Pricelist'!AK94-PriceLink_Fitted!O94</f>
        <v>-529762.80956864543</v>
      </c>
      <c r="AT94" s="873">
        <f>'Internal Pricelist'!BP94-PriceLink_Fitted!P94</f>
        <v>377906.93211037759</v>
      </c>
      <c r="AU94" s="849">
        <f>'Internal Pricelist'!BN94+'Internal Pricelist'!BO94</f>
        <v>1420517.1135324088</v>
      </c>
      <c r="AV94" s="873">
        <f>PriceLink_Fitted!Q94-PriceLink_Fitted!AU94</f>
        <v>-314922.44342531473</v>
      </c>
      <c r="AW94" s="873">
        <f>'Internal Pricelist'!BQ94-PriceLink_Fitted!R94</f>
        <v>3842053.809788838</v>
      </c>
    </row>
    <row r="95" spans="1:49" hidden="1" x14ac:dyDescent="0.2">
      <c r="A95" s="835">
        <f t="shared" si="26"/>
        <v>82</v>
      </c>
      <c r="B95" s="836" t="str">
        <f>'Internal Pricelist'!H88</f>
        <v>10C</v>
      </c>
      <c r="C95" s="836" t="str">
        <f>'Internal Pricelist'!C88</f>
        <v>Sold</v>
      </c>
      <c r="D95" s="836">
        <v>82</v>
      </c>
      <c r="E95" s="837" t="str">
        <f>'Internal Pricelist'!E88</f>
        <v>9th</v>
      </c>
      <c r="F95" s="838" t="str">
        <f>'Internal Pricelist'!F88</f>
        <v>10th</v>
      </c>
      <c r="G95" s="839" t="str">
        <f t="shared" si="27"/>
        <v>10C</v>
      </c>
      <c r="H95" s="839" t="str">
        <f>'Internal Pricelist'!I88</f>
        <v>2-BR</v>
      </c>
      <c r="I95" s="839">
        <f>'Internal Pricelist'!J88</f>
        <v>57.5</v>
      </c>
      <c r="J95" s="839">
        <f>'Internal Pricelist'!K88</f>
        <v>5.09</v>
      </c>
      <c r="K95" s="839">
        <f>'Internal Pricelist'!L88</f>
        <v>0</v>
      </c>
      <c r="L95" s="840">
        <f t="shared" si="24"/>
        <v>62.59</v>
      </c>
      <c r="M95" s="851" t="str">
        <f>'Internal Pricelist'!AA88</f>
        <v>INNER</v>
      </c>
      <c r="N95" s="841"/>
      <c r="O95" s="842">
        <f>'Internal Pricelist'!BM88</f>
        <v>11980605.369756414</v>
      </c>
      <c r="P95" s="843">
        <f t="shared" si="28"/>
        <v>1437672.6443707696</v>
      </c>
      <c r="Q95" s="844">
        <f t="shared" si="29"/>
        <v>1198060.5369756415</v>
      </c>
      <c r="R95" s="843">
        <f t="shared" si="30"/>
        <v>14616338.551102825</v>
      </c>
      <c r="S95" s="845">
        <f>'Internal Pricelist'!BS88</f>
        <v>0.15</v>
      </c>
      <c r="T95" s="844">
        <f t="shared" si="31"/>
        <v>2192450.7826654236</v>
      </c>
      <c r="U95" s="839">
        <f>'Internal Pricelist'!BU88</f>
        <v>50000</v>
      </c>
      <c r="V95" s="844">
        <f t="shared" si="32"/>
        <v>2142450.7826654236</v>
      </c>
      <c r="W95" s="846">
        <f>'Internal Pricelist'!BW88</f>
        <v>7</v>
      </c>
      <c r="X95" s="844">
        <f t="shared" si="33"/>
        <v>306064.39752363192</v>
      </c>
      <c r="Y95" s="847">
        <f t="shared" si="34"/>
        <v>0.85</v>
      </c>
      <c r="Z95" s="844">
        <f t="shared" si="35"/>
        <v>12423887.7684374</v>
      </c>
      <c r="AA95" s="844">
        <f t="shared" si="36"/>
        <v>111669.41560169206</v>
      </c>
      <c r="AC95" s="849">
        <f t="shared" si="25"/>
        <v>191414.04968455684</v>
      </c>
      <c r="AD95" s="873">
        <f t="shared" si="37"/>
        <v>0</v>
      </c>
      <c r="AG95" s="882">
        <f t="shared" si="38"/>
        <v>7</v>
      </c>
      <c r="AH95" s="853">
        <f t="shared" si="39"/>
        <v>2142450.7826654236</v>
      </c>
      <c r="AI95" s="854">
        <f t="shared" si="40"/>
        <v>0</v>
      </c>
      <c r="AK95" s="872">
        <f>O95-'Internal Pricelist'!AK95</f>
        <v>1454421.4782541189</v>
      </c>
      <c r="AL95" s="872">
        <f>P95-'Internal Pricelist'!BP95</f>
        <v>-266947.89186812076</v>
      </c>
      <c r="AM95" s="872">
        <f>'Internal Pricelist'!BN95+'Internal Pricelist'!BO95</f>
        <v>1420517.1135324088</v>
      </c>
      <c r="AN95" s="872">
        <f t="shared" si="23"/>
        <v>222456.57655676734</v>
      </c>
      <c r="AO95" s="872">
        <f>R95-'Internal Pricelist'!BQ95</f>
        <v>-2713970.2339925617</v>
      </c>
      <c r="AS95" s="873">
        <f>'Internal Pricelist'!AK95-PriceLink_Fitted!O95</f>
        <v>-1454421.4782541189</v>
      </c>
      <c r="AT95" s="873">
        <f>'Internal Pricelist'!BP95-PriceLink_Fitted!P95</f>
        <v>266947.89186812076</v>
      </c>
      <c r="AU95" s="849">
        <f>'Internal Pricelist'!BN95+'Internal Pricelist'!BO95</f>
        <v>1420517.1135324088</v>
      </c>
      <c r="AV95" s="873">
        <f>PriceLink_Fitted!Q95-PriceLink_Fitted!AU95</f>
        <v>-222456.57655676734</v>
      </c>
      <c r="AW95" s="873">
        <f>'Internal Pricelist'!BQ95-PriceLink_Fitted!R95</f>
        <v>2713970.2339925617</v>
      </c>
    </row>
    <row r="96" spans="1:49" hidden="1" x14ac:dyDescent="0.2">
      <c r="A96" s="835">
        <f t="shared" si="26"/>
        <v>83</v>
      </c>
      <c r="B96" s="836" t="str">
        <f>'Internal Pricelist'!H89</f>
        <v>10D</v>
      </c>
      <c r="C96" s="836" t="str">
        <f>'Internal Pricelist'!C89</f>
        <v>Sold</v>
      </c>
      <c r="D96" s="836">
        <v>83</v>
      </c>
      <c r="E96" s="837" t="str">
        <f>'Internal Pricelist'!E89</f>
        <v>9th</v>
      </c>
      <c r="F96" s="838" t="str">
        <f>'Internal Pricelist'!F89</f>
        <v>10th</v>
      </c>
      <c r="G96" s="839" t="str">
        <f t="shared" si="27"/>
        <v>10D</v>
      </c>
      <c r="H96" s="839" t="str">
        <f>'Internal Pricelist'!I89</f>
        <v>2-BR</v>
      </c>
      <c r="I96" s="839">
        <f>'Internal Pricelist'!J89</f>
        <v>62.11</v>
      </c>
      <c r="J96" s="839">
        <f>'Internal Pricelist'!K89</f>
        <v>5.19</v>
      </c>
      <c r="K96" s="839">
        <f>'Internal Pricelist'!L89</f>
        <v>0</v>
      </c>
      <c r="L96" s="840">
        <f t="shared" si="24"/>
        <v>67.3</v>
      </c>
      <c r="M96" s="851" t="str">
        <f>'Internal Pricelist'!AA89</f>
        <v>INNER</v>
      </c>
      <c r="N96" s="841"/>
      <c r="O96" s="842">
        <f>'Internal Pricelist'!BM89</f>
        <v>12909541.279478963</v>
      </c>
      <c r="P96" s="843">
        <f t="shared" si="28"/>
        <v>1549144.9535374756</v>
      </c>
      <c r="Q96" s="844">
        <f t="shared" si="29"/>
        <v>1290954.1279478965</v>
      </c>
      <c r="R96" s="843">
        <f t="shared" si="30"/>
        <v>15749640.360964336</v>
      </c>
      <c r="S96" s="845">
        <f>'Internal Pricelist'!BS89</f>
        <v>0.15</v>
      </c>
      <c r="T96" s="844">
        <f t="shared" si="31"/>
        <v>2362446.0541446502</v>
      </c>
      <c r="U96" s="839">
        <f>'Internal Pricelist'!BU89</f>
        <v>50000</v>
      </c>
      <c r="V96" s="844">
        <f t="shared" si="32"/>
        <v>2312446.0541446502</v>
      </c>
      <c r="W96" s="846">
        <f>'Internal Pricelist'!BW89</f>
        <v>7</v>
      </c>
      <c r="X96" s="844">
        <f t="shared" si="33"/>
        <v>330349.43630637863</v>
      </c>
      <c r="Y96" s="847">
        <f t="shared" si="34"/>
        <v>0.85</v>
      </c>
      <c r="Z96" s="844">
        <f t="shared" si="35"/>
        <v>13387194.306819685</v>
      </c>
      <c r="AA96" s="844">
        <f t="shared" si="36"/>
        <v>120327.88710364192</v>
      </c>
      <c r="AC96" s="849">
        <f t="shared" si="25"/>
        <v>191820.82138898908</v>
      </c>
      <c r="AD96" s="873">
        <f t="shared" si="37"/>
        <v>0</v>
      </c>
      <c r="AG96" s="882">
        <f t="shared" si="38"/>
        <v>7</v>
      </c>
      <c r="AH96" s="853">
        <f t="shared" si="39"/>
        <v>2312446.0541446502</v>
      </c>
      <c r="AI96" s="854">
        <f t="shared" si="40"/>
        <v>0</v>
      </c>
      <c r="AK96" s="872">
        <f>O96-'Internal Pricelist'!AK96</f>
        <v>2383357.3879766688</v>
      </c>
      <c r="AL96" s="872">
        <f>P96-'Internal Pricelist'!BP96</f>
        <v>-155475.58270141482</v>
      </c>
      <c r="AM96" s="872">
        <f>'Internal Pricelist'!BN96+'Internal Pricelist'!BO96</f>
        <v>1420517.1135324088</v>
      </c>
      <c r="AN96" s="872">
        <f t="shared" si="23"/>
        <v>129562.98558451235</v>
      </c>
      <c r="AO96" s="872">
        <f>R96-'Internal Pricelist'!BQ96</f>
        <v>-1580668.4241310507</v>
      </c>
      <c r="AS96" s="873">
        <f>'Internal Pricelist'!AK96-PriceLink_Fitted!O96</f>
        <v>-2383357.3879766688</v>
      </c>
      <c r="AT96" s="873">
        <f>'Internal Pricelist'!BP96-PriceLink_Fitted!P96</f>
        <v>155475.58270141482</v>
      </c>
      <c r="AU96" s="849">
        <f>'Internal Pricelist'!BN96+'Internal Pricelist'!BO96</f>
        <v>1420517.1135324088</v>
      </c>
      <c r="AV96" s="873">
        <f>PriceLink_Fitted!Q96-PriceLink_Fitted!AU96</f>
        <v>-129562.98558451235</v>
      </c>
      <c r="AW96" s="873">
        <f>'Internal Pricelist'!BQ96-PriceLink_Fitted!R96</f>
        <v>1580668.4241310507</v>
      </c>
    </row>
    <row r="97" spans="1:49" hidden="1" x14ac:dyDescent="0.2">
      <c r="A97" s="835">
        <f t="shared" si="26"/>
        <v>84</v>
      </c>
      <c r="B97" s="836" t="str">
        <f>'Internal Pricelist'!H90</f>
        <v>10E</v>
      </c>
      <c r="C97" s="836" t="str">
        <f>'Internal Pricelist'!C90</f>
        <v>Sold</v>
      </c>
      <c r="D97" s="836">
        <v>84</v>
      </c>
      <c r="E97" s="837" t="str">
        <f>'Internal Pricelist'!E90</f>
        <v>9th</v>
      </c>
      <c r="F97" s="838" t="str">
        <f>'Internal Pricelist'!F90</f>
        <v>10th</v>
      </c>
      <c r="G97" s="839" t="str">
        <f t="shared" si="27"/>
        <v>10E</v>
      </c>
      <c r="H97" s="839" t="str">
        <f>'Internal Pricelist'!I90</f>
        <v>2-BR</v>
      </c>
      <c r="I97" s="839">
        <f>'Internal Pricelist'!J90</f>
        <v>80.900000000000006</v>
      </c>
      <c r="J97" s="839">
        <f>'Internal Pricelist'!K90</f>
        <v>15.65</v>
      </c>
      <c r="K97" s="839">
        <f>'Internal Pricelist'!L90</f>
        <v>0</v>
      </c>
      <c r="L97" s="840">
        <f t="shared" si="24"/>
        <v>96.550000000000011</v>
      </c>
      <c r="M97" s="851" t="str">
        <f>'Internal Pricelist'!AA90</f>
        <v>CORNER</v>
      </c>
      <c r="N97" s="841"/>
      <c r="O97" s="842">
        <f>'Internal Pricelist'!BM90</f>
        <v>18008331.653473247</v>
      </c>
      <c r="P97" s="843">
        <f t="shared" si="28"/>
        <v>2160999.7984167896</v>
      </c>
      <c r="Q97" s="844">
        <f t="shared" si="29"/>
        <v>1800833.1653473247</v>
      </c>
      <c r="R97" s="843">
        <f t="shared" si="30"/>
        <v>21970164.617237359</v>
      </c>
      <c r="S97" s="845">
        <f>'Internal Pricelist'!BS90</f>
        <v>0.15</v>
      </c>
      <c r="T97" s="844">
        <f t="shared" si="31"/>
        <v>3295524.6925856038</v>
      </c>
      <c r="U97" s="839">
        <f>'Internal Pricelist'!BU90</f>
        <v>50000</v>
      </c>
      <c r="V97" s="844">
        <f t="shared" si="32"/>
        <v>3245524.6925856038</v>
      </c>
      <c r="W97" s="846">
        <f>'Internal Pricelist'!BW90</f>
        <v>7</v>
      </c>
      <c r="X97" s="844">
        <f t="shared" si="33"/>
        <v>463646.38465508627</v>
      </c>
      <c r="Y97" s="847">
        <f t="shared" si="34"/>
        <v>0.85</v>
      </c>
      <c r="Z97" s="844">
        <f t="shared" si="35"/>
        <v>18674639.924651753</v>
      </c>
      <c r="AA97" s="844">
        <f t="shared" si="36"/>
        <v>167852.94312266432</v>
      </c>
      <c r="AC97" s="849">
        <f t="shared" si="25"/>
        <v>186518.19423586997</v>
      </c>
      <c r="AD97" s="873">
        <f t="shared" si="37"/>
        <v>0</v>
      </c>
      <c r="AG97" s="882">
        <f t="shared" si="38"/>
        <v>7</v>
      </c>
      <c r="AH97" s="853">
        <f t="shared" si="39"/>
        <v>3245524.6925856038</v>
      </c>
      <c r="AI97" s="854">
        <f t="shared" si="40"/>
        <v>0</v>
      </c>
      <c r="AK97" s="872">
        <f>O97-'Internal Pricelist'!AK97</f>
        <v>4535331.7226079144</v>
      </c>
      <c r="AL97" s="872">
        <f>P97-'Internal Pricelist'!BP97</f>
        <v>-20831.015449073631</v>
      </c>
      <c r="AM97" s="872">
        <f>'Internal Pricelist'!BN97+'Internal Pricelist'!BO97</f>
        <v>1818192.3448882196</v>
      </c>
      <c r="AN97" s="872">
        <f t="shared" si="23"/>
        <v>17359.179540894926</v>
      </c>
      <c r="AO97" s="872">
        <f>R97-'Internal Pricelist'!BQ97</f>
        <v>-211781.99039892107</v>
      </c>
      <c r="AS97" s="873">
        <f>'Internal Pricelist'!AK97-PriceLink_Fitted!O97</f>
        <v>-4535331.7226079144</v>
      </c>
      <c r="AT97" s="873">
        <f>'Internal Pricelist'!BP97-PriceLink_Fitted!P97</f>
        <v>20831.015449073631</v>
      </c>
      <c r="AU97" s="849">
        <f>'Internal Pricelist'!BN97+'Internal Pricelist'!BO97</f>
        <v>1818192.3448882196</v>
      </c>
      <c r="AV97" s="873">
        <f>PriceLink_Fitted!Q97-PriceLink_Fitted!AU97</f>
        <v>-17359.179540894926</v>
      </c>
      <c r="AW97" s="873">
        <f>'Internal Pricelist'!BQ97-PriceLink_Fitted!R97</f>
        <v>211781.99039892107</v>
      </c>
    </row>
    <row r="98" spans="1:49" hidden="1" x14ac:dyDescent="0.2">
      <c r="A98" s="835">
        <f t="shared" si="26"/>
        <v>85</v>
      </c>
      <c r="B98" s="836" t="str">
        <f>'Internal Pricelist'!H91</f>
        <v>10F</v>
      </c>
      <c r="C98" s="836" t="str">
        <f>'Internal Pricelist'!C91</f>
        <v>Sold</v>
      </c>
      <c r="D98" s="836">
        <v>85</v>
      </c>
      <c r="E98" s="837" t="str">
        <f>'Internal Pricelist'!E91</f>
        <v>9th</v>
      </c>
      <c r="F98" s="838" t="str">
        <f>'Internal Pricelist'!F91</f>
        <v>10th</v>
      </c>
      <c r="G98" s="839" t="str">
        <f t="shared" si="27"/>
        <v>10F</v>
      </c>
      <c r="H98" s="839" t="str">
        <f>'Internal Pricelist'!I91</f>
        <v>2-BR</v>
      </c>
      <c r="I98" s="839">
        <f>'Internal Pricelist'!J91</f>
        <v>61.56</v>
      </c>
      <c r="J98" s="839">
        <f>'Internal Pricelist'!K91</f>
        <v>4.0999999999999996</v>
      </c>
      <c r="K98" s="839">
        <f>'Internal Pricelist'!L91</f>
        <v>0</v>
      </c>
      <c r="L98" s="840">
        <f t="shared" si="24"/>
        <v>65.66</v>
      </c>
      <c r="M98" s="851" t="str">
        <f>'Internal Pricelist'!AA91</f>
        <v>INNER</v>
      </c>
      <c r="N98" s="841"/>
      <c r="O98" s="842">
        <f>'Internal Pricelist'!BM91</f>
        <v>12592404.388270026</v>
      </c>
      <c r="P98" s="843">
        <f t="shared" si="28"/>
        <v>1511088.5265924032</v>
      </c>
      <c r="Q98" s="844">
        <f t="shared" si="29"/>
        <v>1259240.4388270027</v>
      </c>
      <c r="R98" s="843">
        <f t="shared" si="30"/>
        <v>15362733.353689432</v>
      </c>
      <c r="S98" s="845">
        <f>'Internal Pricelist'!BS91</f>
        <v>0.15</v>
      </c>
      <c r="T98" s="844">
        <f t="shared" si="31"/>
        <v>2304410.0030534146</v>
      </c>
      <c r="U98" s="839">
        <f>'Internal Pricelist'!BU91</f>
        <v>50000</v>
      </c>
      <c r="V98" s="844">
        <f t="shared" si="32"/>
        <v>2254410.0030534146</v>
      </c>
      <c r="W98" s="846">
        <f>'Internal Pricelist'!BW91</f>
        <v>7</v>
      </c>
      <c r="X98" s="844">
        <f t="shared" si="33"/>
        <v>322058.57186477352</v>
      </c>
      <c r="Y98" s="847">
        <f t="shared" si="34"/>
        <v>0.85</v>
      </c>
      <c r="Z98" s="844">
        <f t="shared" si="35"/>
        <v>13058323.350636017</v>
      </c>
      <c r="AA98" s="844">
        <f t="shared" si="36"/>
        <v>117371.9019748404</v>
      </c>
      <c r="AC98" s="849">
        <f t="shared" si="25"/>
        <v>191781.97362579999</v>
      </c>
      <c r="AD98" s="873">
        <f t="shared" si="37"/>
        <v>0</v>
      </c>
      <c r="AG98" s="882">
        <f t="shared" si="38"/>
        <v>7</v>
      </c>
      <c r="AH98" s="853">
        <f t="shared" si="39"/>
        <v>2254410.0030534146</v>
      </c>
      <c r="AI98" s="854">
        <f t="shared" si="40"/>
        <v>0</v>
      </c>
      <c r="AK98" s="872">
        <f>O98-'Internal Pricelist'!AK98</f>
        <v>4672148.5030189194</v>
      </c>
      <c r="AL98" s="872">
        <f>P98-'Internal Pricelist'!BP98</f>
        <v>228474.52578958194</v>
      </c>
      <c r="AM98" s="872">
        <f>'Internal Pricelist'!BN98+'Internal Pricelist'!BO98</f>
        <v>1068845.0006690179</v>
      </c>
      <c r="AN98" s="872">
        <f t="shared" si="23"/>
        <v>-190395.43815798475</v>
      </c>
      <c r="AO98" s="872">
        <f>R98-'Internal Pricelist'!BQ98</f>
        <v>2322824.3455274161</v>
      </c>
      <c r="AS98" s="873">
        <f>'Internal Pricelist'!AK98-PriceLink_Fitted!O98</f>
        <v>-4672148.5030189194</v>
      </c>
      <c r="AT98" s="873">
        <f>'Internal Pricelist'!BP98-PriceLink_Fitted!P98</f>
        <v>-228474.52578958194</v>
      </c>
      <c r="AU98" s="849">
        <f>'Internal Pricelist'!BN98+'Internal Pricelist'!BO98</f>
        <v>1068845.0006690179</v>
      </c>
      <c r="AV98" s="873">
        <f>PriceLink_Fitted!Q98-PriceLink_Fitted!AU98</f>
        <v>190395.43815798475</v>
      </c>
      <c r="AW98" s="873">
        <f>'Internal Pricelist'!BQ98-PriceLink_Fitted!R98</f>
        <v>-2322824.3455274161</v>
      </c>
    </row>
    <row r="99" spans="1:49" hidden="1" x14ac:dyDescent="0.2">
      <c r="A99" s="835">
        <f t="shared" si="26"/>
        <v>86</v>
      </c>
      <c r="B99" s="836" t="str">
        <f>'Internal Pricelist'!H92</f>
        <v>10G</v>
      </c>
      <c r="C99" s="836" t="str">
        <f>'Internal Pricelist'!C92</f>
        <v>Sold</v>
      </c>
      <c r="D99" s="836">
        <v>86</v>
      </c>
      <c r="E99" s="837" t="str">
        <f>'Internal Pricelist'!E92</f>
        <v>9th</v>
      </c>
      <c r="F99" s="838" t="str">
        <f>'Internal Pricelist'!F92</f>
        <v>10th</v>
      </c>
      <c r="G99" s="839" t="str">
        <f t="shared" si="27"/>
        <v>10G</v>
      </c>
      <c r="H99" s="839" t="str">
        <f>'Internal Pricelist'!I92</f>
        <v>2-BR</v>
      </c>
      <c r="I99" s="839">
        <f>'Internal Pricelist'!J92</f>
        <v>95.44</v>
      </c>
      <c r="J99" s="839">
        <f>'Internal Pricelist'!K92</f>
        <v>13.34</v>
      </c>
      <c r="K99" s="839">
        <f>'Internal Pricelist'!L92</f>
        <v>0</v>
      </c>
      <c r="L99" s="840">
        <f t="shared" si="24"/>
        <v>108.78</v>
      </c>
      <c r="M99" s="851" t="str">
        <f>'Internal Pricelist'!AA92</f>
        <v>CORNER</v>
      </c>
      <c r="N99" s="841"/>
      <c r="O99" s="842">
        <f>'Internal Pricelist'!BM92</f>
        <v>20545999.133174371</v>
      </c>
      <c r="P99" s="843">
        <f t="shared" si="28"/>
        <v>2465519.8959809244</v>
      </c>
      <c r="Q99" s="844">
        <f t="shared" si="29"/>
        <v>2054599.9133174373</v>
      </c>
      <c r="R99" s="843">
        <f t="shared" si="30"/>
        <v>25066118.942472734</v>
      </c>
      <c r="S99" s="845">
        <f>'Internal Pricelist'!BS92</f>
        <v>0.15</v>
      </c>
      <c r="T99" s="844">
        <f t="shared" si="31"/>
        <v>3759917.8413709099</v>
      </c>
      <c r="U99" s="839">
        <f>'Internal Pricelist'!BU92</f>
        <v>50000</v>
      </c>
      <c r="V99" s="844">
        <f t="shared" si="32"/>
        <v>3709917.8413709099</v>
      </c>
      <c r="W99" s="846">
        <f>'Internal Pricelist'!BW92</f>
        <v>7</v>
      </c>
      <c r="X99" s="844">
        <f t="shared" si="33"/>
        <v>529988.26305298717</v>
      </c>
      <c r="Y99" s="847">
        <f t="shared" si="34"/>
        <v>0.85</v>
      </c>
      <c r="Z99" s="844">
        <f t="shared" si="35"/>
        <v>21306201.101101823</v>
      </c>
      <c r="AA99" s="844">
        <f t="shared" si="36"/>
        <v>191506.15894137425</v>
      </c>
      <c r="AC99" s="849">
        <f t="shared" si="25"/>
        <v>188876.62376516245</v>
      </c>
      <c r="AD99" s="873">
        <f t="shared" si="37"/>
        <v>0</v>
      </c>
      <c r="AG99" s="882">
        <f t="shared" si="38"/>
        <v>7</v>
      </c>
      <c r="AH99" s="853">
        <f t="shared" si="39"/>
        <v>3709917.8413709104</v>
      </c>
      <c r="AI99" s="854">
        <f t="shared" si="40"/>
        <v>0</v>
      </c>
      <c r="AK99" s="872">
        <f>O99-'Internal Pricelist'!AK99</f>
        <v>4702225.4938927591</v>
      </c>
      <c r="AL99" s="872">
        <f>P99-'Internal Pricelist'!BP99</f>
        <v>-100236.33585185418</v>
      </c>
      <c r="AM99" s="872">
        <f>'Internal Pricelist'!BN99+'Internal Pricelist'!BO99</f>
        <v>2138130.1931939824</v>
      </c>
      <c r="AN99" s="872">
        <f t="shared" si="23"/>
        <v>83530.279876545072</v>
      </c>
      <c r="AO99" s="872">
        <f>R99-'Internal Pricelist'!BQ99</f>
        <v>-1019069.4144938514</v>
      </c>
      <c r="AS99" s="873">
        <f>'Internal Pricelist'!AK99-PriceLink_Fitted!O99</f>
        <v>-4702225.4938927591</v>
      </c>
      <c r="AT99" s="873">
        <f>'Internal Pricelist'!BP99-PriceLink_Fitted!P99</f>
        <v>100236.33585185418</v>
      </c>
      <c r="AU99" s="849">
        <f>'Internal Pricelist'!BN99+'Internal Pricelist'!BO99</f>
        <v>2138130.1931939824</v>
      </c>
      <c r="AV99" s="873">
        <f>PriceLink_Fitted!Q99-PriceLink_Fitted!AU99</f>
        <v>-83530.279876545072</v>
      </c>
      <c r="AW99" s="873">
        <f>'Internal Pricelist'!BQ99-PriceLink_Fitted!R99</f>
        <v>1019069.4144938514</v>
      </c>
    </row>
    <row r="100" spans="1:49" hidden="1" x14ac:dyDescent="0.2">
      <c r="A100" s="835">
        <f t="shared" si="26"/>
        <v>87</v>
      </c>
      <c r="B100" s="836" t="str">
        <f>'Internal Pricelist'!H93</f>
        <v>10H</v>
      </c>
      <c r="C100" s="836" t="str">
        <f>'Internal Pricelist'!C93</f>
        <v>Sold</v>
      </c>
      <c r="D100" s="836">
        <v>87</v>
      </c>
      <c r="E100" s="837" t="str">
        <f>'Internal Pricelist'!E93</f>
        <v>9th</v>
      </c>
      <c r="F100" s="838" t="str">
        <f>'Internal Pricelist'!F93</f>
        <v>10th</v>
      </c>
      <c r="G100" s="839" t="str">
        <f t="shared" si="27"/>
        <v>10H</v>
      </c>
      <c r="H100" s="839" t="str">
        <f>'Internal Pricelist'!I93</f>
        <v>2-BR</v>
      </c>
      <c r="I100" s="839">
        <f>'Internal Pricelist'!J93</f>
        <v>69.2</v>
      </c>
      <c r="J100" s="839">
        <f>'Internal Pricelist'!K93</f>
        <v>4.7699999999999996</v>
      </c>
      <c r="K100" s="839">
        <f>'Internal Pricelist'!L93</f>
        <v>0</v>
      </c>
      <c r="L100" s="840">
        <f t="shared" si="24"/>
        <v>73.97</v>
      </c>
      <c r="M100" s="851" t="str">
        <f>'Internal Pricelist'!AA93</f>
        <v>INNER</v>
      </c>
      <c r="N100" s="841"/>
      <c r="O100" s="842">
        <f>'Internal Pricelist'!BM93</f>
        <v>14171497.705119407</v>
      </c>
      <c r="P100" s="843">
        <f t="shared" si="28"/>
        <v>1700579.7246143287</v>
      </c>
      <c r="Q100" s="844">
        <f t="shared" si="29"/>
        <v>1417149.7705119408</v>
      </c>
      <c r="R100" s="843">
        <f t="shared" si="30"/>
        <v>17289227.200245675</v>
      </c>
      <c r="S100" s="845">
        <f>'Internal Pricelist'!BS93</f>
        <v>0.15</v>
      </c>
      <c r="T100" s="844">
        <f t="shared" si="31"/>
        <v>2593384.0800368511</v>
      </c>
      <c r="U100" s="839">
        <f>'Internal Pricelist'!BU93</f>
        <v>50000</v>
      </c>
      <c r="V100" s="844">
        <f t="shared" si="32"/>
        <v>2543384.0800368511</v>
      </c>
      <c r="W100" s="846">
        <f>'Internal Pricelist'!BW93</f>
        <v>7</v>
      </c>
      <c r="X100" s="844">
        <f t="shared" si="33"/>
        <v>363340.58286240732</v>
      </c>
      <c r="Y100" s="847">
        <f t="shared" si="34"/>
        <v>0.85</v>
      </c>
      <c r="Z100" s="844">
        <f t="shared" si="35"/>
        <v>14695843.120208822</v>
      </c>
      <c r="AA100" s="844">
        <f t="shared" si="36"/>
        <v>132090.39260455829</v>
      </c>
      <c r="AC100" s="849">
        <f t="shared" si="25"/>
        <v>191584.39509421936</v>
      </c>
      <c r="AD100" s="873">
        <f t="shared" si="37"/>
        <v>0</v>
      </c>
      <c r="AG100" s="882">
        <f t="shared" si="38"/>
        <v>7</v>
      </c>
      <c r="AH100" s="853">
        <f t="shared" si="39"/>
        <v>2543384.0800368511</v>
      </c>
      <c r="AI100" s="854">
        <f t="shared" si="40"/>
        <v>0</v>
      </c>
      <c r="AK100" s="872">
        <f>O100-'Internal Pricelist'!AK100</f>
        <v>5947613.7787436871</v>
      </c>
      <c r="AL100" s="872">
        <f>P100-'Internal Pricelist'!BP100</f>
        <v>368795.90124201612</v>
      </c>
      <c r="AM100" s="872">
        <f>'Internal Pricelist'!BN100+'Internal Pricelist'!BO100</f>
        <v>1109819.8528102604</v>
      </c>
      <c r="AN100" s="872">
        <f t="shared" si="23"/>
        <v>-307329.91770168045</v>
      </c>
      <c r="AO100" s="872">
        <f>R100-'Internal Pricelist'!BQ100</f>
        <v>3749424.9959604964</v>
      </c>
      <c r="AS100" s="873">
        <f>'Internal Pricelist'!AK100-PriceLink_Fitted!O100</f>
        <v>-5947613.7787436871</v>
      </c>
      <c r="AT100" s="873">
        <f>'Internal Pricelist'!BP100-PriceLink_Fitted!P100</f>
        <v>-368795.90124201612</v>
      </c>
      <c r="AU100" s="849">
        <f>'Internal Pricelist'!BN100+'Internal Pricelist'!BO100</f>
        <v>1109819.8528102604</v>
      </c>
      <c r="AV100" s="873">
        <f>PriceLink_Fitted!Q100-PriceLink_Fitted!AU100</f>
        <v>307329.91770168045</v>
      </c>
      <c r="AW100" s="873">
        <f>'Internal Pricelist'!BQ100-PriceLink_Fitted!R100</f>
        <v>-3749424.9959604964</v>
      </c>
    </row>
    <row r="101" spans="1:49" hidden="1" x14ac:dyDescent="0.2">
      <c r="A101" s="835">
        <f t="shared" si="26"/>
        <v>88</v>
      </c>
      <c r="B101" s="836" t="str">
        <f>'Internal Pricelist'!H94</f>
        <v>10I</v>
      </c>
      <c r="C101" s="836" t="str">
        <f>'Internal Pricelist'!C94</f>
        <v>Sold</v>
      </c>
      <c r="D101" s="836">
        <v>88</v>
      </c>
      <c r="E101" s="837" t="str">
        <f>'Internal Pricelist'!E94</f>
        <v>9th</v>
      </c>
      <c r="F101" s="838" t="str">
        <f>'Internal Pricelist'!F94</f>
        <v>10th</v>
      </c>
      <c r="G101" s="839" t="str">
        <f t="shared" si="27"/>
        <v>10I</v>
      </c>
      <c r="H101" s="839" t="str">
        <f>'Internal Pricelist'!I94</f>
        <v>2-BR</v>
      </c>
      <c r="I101" s="839">
        <f>'Internal Pricelist'!J94</f>
        <v>69.36</v>
      </c>
      <c r="J101" s="839">
        <f>'Internal Pricelist'!K94</f>
        <v>4.79</v>
      </c>
      <c r="K101" s="839">
        <f>'Internal Pricelist'!L94</f>
        <v>0</v>
      </c>
      <c r="L101" s="840">
        <f t="shared" si="24"/>
        <v>74.150000000000006</v>
      </c>
      <c r="M101" s="851" t="str">
        <f>'Internal Pricelist'!AA94</f>
        <v>INNER</v>
      </c>
      <c r="N101" s="841"/>
      <c r="O101" s="842">
        <f>'Internal Pricelist'!BM94</f>
        <v>14205171.135324087</v>
      </c>
      <c r="P101" s="843">
        <f t="shared" si="28"/>
        <v>1704620.5362388904</v>
      </c>
      <c r="Q101" s="844">
        <f t="shared" si="29"/>
        <v>1420517.1135324088</v>
      </c>
      <c r="R101" s="843">
        <f t="shared" si="30"/>
        <v>17330308.785095386</v>
      </c>
      <c r="S101" s="845">
        <f>'Internal Pricelist'!BS94</f>
        <v>0.15</v>
      </c>
      <c r="T101" s="844">
        <f t="shared" si="31"/>
        <v>2599546.3177643078</v>
      </c>
      <c r="U101" s="839">
        <f>'Internal Pricelist'!BU94</f>
        <v>50000</v>
      </c>
      <c r="V101" s="844">
        <f t="shared" si="32"/>
        <v>2549546.3177643078</v>
      </c>
      <c r="W101" s="846">
        <f>'Internal Pricelist'!BW94</f>
        <v>7</v>
      </c>
      <c r="X101" s="844">
        <f t="shared" si="33"/>
        <v>364220.90253775829</v>
      </c>
      <c r="Y101" s="847">
        <f t="shared" si="34"/>
        <v>0.85</v>
      </c>
      <c r="Z101" s="844">
        <f t="shared" si="35"/>
        <v>14730762.467331078</v>
      </c>
      <c r="AA101" s="844">
        <f t="shared" si="36"/>
        <v>132404.25756849023</v>
      </c>
      <c r="AC101" s="849">
        <f t="shared" si="25"/>
        <v>191573.44754314344</v>
      </c>
      <c r="AD101" s="873">
        <f t="shared" si="37"/>
        <v>0</v>
      </c>
      <c r="AG101" s="882">
        <f t="shared" si="38"/>
        <v>7</v>
      </c>
      <c r="AH101" s="853">
        <f t="shared" si="39"/>
        <v>2549546.3177643078</v>
      </c>
      <c r="AI101" s="854">
        <f t="shared" si="40"/>
        <v>0</v>
      </c>
      <c r="AK101" s="872">
        <f>O101-'Internal Pricelist'!AK101</f>
        <v>5293598.3504760526</v>
      </c>
      <c r="AL101" s="872">
        <f>P101-'Internal Pricelist'!BP101</f>
        <v>261471.70511282445</v>
      </c>
      <c r="AM101" s="872">
        <f>'Internal Pricelist'!BN101+'Internal Pricelist'!BO101</f>
        <v>1202624.0259383884</v>
      </c>
      <c r="AN101" s="872">
        <f t="shared" si="23"/>
        <v>-217893.08759402041</v>
      </c>
      <c r="AO101" s="872">
        <f>R101-'Internal Pricelist'!BQ101</f>
        <v>2658295.6686470471</v>
      </c>
      <c r="AS101" s="873">
        <f>'Internal Pricelist'!AK101-PriceLink_Fitted!O101</f>
        <v>-5293598.3504760526</v>
      </c>
      <c r="AT101" s="873">
        <f>'Internal Pricelist'!BP101-PriceLink_Fitted!P101</f>
        <v>-261471.70511282445</v>
      </c>
      <c r="AU101" s="849">
        <f>'Internal Pricelist'!BN101+'Internal Pricelist'!BO101</f>
        <v>1202624.0259383884</v>
      </c>
      <c r="AV101" s="873">
        <f>PriceLink_Fitted!Q101-PriceLink_Fitted!AU101</f>
        <v>217893.08759402041</v>
      </c>
      <c r="AW101" s="873">
        <f>'Internal Pricelist'!BQ101-PriceLink_Fitted!R101</f>
        <v>-2658295.6686470471</v>
      </c>
    </row>
    <row r="102" spans="1:49" x14ac:dyDescent="0.2">
      <c r="A102" s="835">
        <f t="shared" si="26"/>
        <v>89</v>
      </c>
      <c r="B102" s="836" t="str">
        <f>'Internal Pricelist'!H95</f>
        <v>10J</v>
      </c>
      <c r="C102" s="836" t="str">
        <f>'Internal Pricelist'!C95</f>
        <v>Unsold</v>
      </c>
      <c r="D102" s="836">
        <v>89</v>
      </c>
      <c r="E102" s="837" t="str">
        <f>'Internal Pricelist'!E95</f>
        <v>9th</v>
      </c>
      <c r="F102" s="838" t="str">
        <f>'Internal Pricelist'!F95</f>
        <v>10th</v>
      </c>
      <c r="G102" s="839" t="str">
        <f t="shared" si="27"/>
        <v>10J</v>
      </c>
      <c r="H102" s="839" t="str">
        <f>'Internal Pricelist'!I95</f>
        <v>2-BR</v>
      </c>
      <c r="I102" s="839">
        <f>'Internal Pricelist'!J95</f>
        <v>69.36</v>
      </c>
      <c r="J102" s="839">
        <f>'Internal Pricelist'!K95</f>
        <v>4.79</v>
      </c>
      <c r="K102" s="839">
        <f>'Internal Pricelist'!L95</f>
        <v>0</v>
      </c>
      <c r="L102" s="840">
        <f t="shared" si="24"/>
        <v>74.150000000000006</v>
      </c>
      <c r="M102" s="851" t="str">
        <f>'Internal Pricelist'!AA95</f>
        <v>INNER</v>
      </c>
      <c r="N102" s="841"/>
      <c r="O102" s="842">
        <f>'Internal Pricelist'!BM95</f>
        <v>14205171.135324087</v>
      </c>
      <c r="P102" s="843">
        <f t="shared" si="28"/>
        <v>1704620.5362388904</v>
      </c>
      <c r="Q102" s="844">
        <f t="shared" si="29"/>
        <v>1420517.1135324088</v>
      </c>
      <c r="R102" s="843">
        <f t="shared" si="30"/>
        <v>17330308.785095386</v>
      </c>
      <c r="S102" s="845">
        <f>'Internal Pricelist'!BS95</f>
        <v>0.15</v>
      </c>
      <c r="T102" s="844">
        <f t="shared" si="31"/>
        <v>2599546.3177643078</v>
      </c>
      <c r="U102" s="839">
        <f>'Internal Pricelist'!BU95</f>
        <v>50000</v>
      </c>
      <c r="V102" s="844">
        <f t="shared" si="32"/>
        <v>2549546.3177643078</v>
      </c>
      <c r="W102" s="846">
        <f>'Internal Pricelist'!BW95</f>
        <v>7</v>
      </c>
      <c r="X102" s="844">
        <f t="shared" si="33"/>
        <v>364220.90253775829</v>
      </c>
      <c r="Y102" s="847">
        <f t="shared" si="34"/>
        <v>0.85</v>
      </c>
      <c r="Z102" s="844">
        <f t="shared" si="35"/>
        <v>14730762.467331078</v>
      </c>
      <c r="AA102" s="844">
        <f t="shared" si="36"/>
        <v>132404.25756849023</v>
      </c>
      <c r="AC102" s="849">
        <f t="shared" si="25"/>
        <v>191573.44754314344</v>
      </c>
      <c r="AD102" s="873">
        <f t="shared" si="37"/>
        <v>0</v>
      </c>
      <c r="AG102" s="882">
        <f t="shared" si="38"/>
        <v>7</v>
      </c>
      <c r="AH102" s="853">
        <f t="shared" si="39"/>
        <v>2549546.3177643078</v>
      </c>
      <c r="AI102" s="854">
        <f t="shared" si="40"/>
        <v>0</v>
      </c>
      <c r="AK102" s="872">
        <f>O102-'Internal Pricelist'!AK102</f>
        <v>4602702.1912083589</v>
      </c>
      <c r="AL102" s="872">
        <f>P102-'Internal Pricelist'!BP102</f>
        <v>149587.30392475077</v>
      </c>
      <c r="AM102" s="872">
        <f>'Internal Pricelist'!BN102+'Internal Pricelist'!BO102</f>
        <v>1295861.0269284497</v>
      </c>
      <c r="AN102" s="872">
        <f t="shared" si="23"/>
        <v>-124656.08660395909</v>
      </c>
      <c r="AO102" s="872">
        <f>R102-'Internal Pricelist'!BQ102</f>
        <v>1520804.2565682996</v>
      </c>
      <c r="AS102" s="873">
        <f>'Internal Pricelist'!AK102-PriceLink_Fitted!O102</f>
        <v>-4602702.1912083589</v>
      </c>
      <c r="AT102" s="873">
        <f>'Internal Pricelist'!BP102-PriceLink_Fitted!P102</f>
        <v>-149587.30392475077</v>
      </c>
      <c r="AU102" s="849">
        <f>'Internal Pricelist'!BN102+'Internal Pricelist'!BO102</f>
        <v>1295861.0269284497</v>
      </c>
      <c r="AV102" s="873">
        <f>PriceLink_Fitted!Q102-PriceLink_Fitted!AU102</f>
        <v>124656.08660395909</v>
      </c>
      <c r="AW102" s="873">
        <f>'Internal Pricelist'!BQ102-PriceLink_Fitted!R102</f>
        <v>-1520804.2565682996</v>
      </c>
    </row>
    <row r="103" spans="1:49" x14ac:dyDescent="0.2">
      <c r="A103" s="835">
        <f t="shared" si="26"/>
        <v>90</v>
      </c>
      <c r="B103" s="836" t="str">
        <f>'Internal Pricelist'!H96</f>
        <v>10K</v>
      </c>
      <c r="C103" s="836" t="str">
        <f>'Internal Pricelist'!C96</f>
        <v>Unsold</v>
      </c>
      <c r="D103" s="836">
        <v>90</v>
      </c>
      <c r="E103" s="837" t="str">
        <f>'Internal Pricelist'!E96</f>
        <v>9th</v>
      </c>
      <c r="F103" s="838" t="str">
        <f>'Internal Pricelist'!F96</f>
        <v>10th</v>
      </c>
      <c r="G103" s="839" t="str">
        <f t="shared" si="27"/>
        <v>10K</v>
      </c>
      <c r="H103" s="839" t="str">
        <f>'Internal Pricelist'!I96</f>
        <v>1-BR</v>
      </c>
      <c r="I103" s="839">
        <f>'Internal Pricelist'!J96</f>
        <v>69.36</v>
      </c>
      <c r="J103" s="839">
        <f>'Internal Pricelist'!K96</f>
        <v>4.79</v>
      </c>
      <c r="K103" s="839">
        <f>'Internal Pricelist'!L96</f>
        <v>0</v>
      </c>
      <c r="L103" s="840">
        <f t="shared" si="24"/>
        <v>74.150000000000006</v>
      </c>
      <c r="M103" s="851" t="str">
        <f>'Internal Pricelist'!AA96</f>
        <v>INNER</v>
      </c>
      <c r="N103" s="841"/>
      <c r="O103" s="842">
        <f>'Internal Pricelist'!BM96</f>
        <v>14205171.135324087</v>
      </c>
      <c r="P103" s="843">
        <f t="shared" si="28"/>
        <v>1704620.5362388904</v>
      </c>
      <c r="Q103" s="844">
        <f t="shared" si="29"/>
        <v>1420517.1135324088</v>
      </c>
      <c r="R103" s="843">
        <f t="shared" si="30"/>
        <v>17330308.785095386</v>
      </c>
      <c r="S103" s="845">
        <f>'Internal Pricelist'!BS96</f>
        <v>0.15</v>
      </c>
      <c r="T103" s="844">
        <f t="shared" si="31"/>
        <v>2599546.3177643078</v>
      </c>
      <c r="U103" s="839">
        <f>'Internal Pricelist'!BU96</f>
        <v>50000</v>
      </c>
      <c r="V103" s="844">
        <f t="shared" si="32"/>
        <v>2549546.3177643078</v>
      </c>
      <c r="W103" s="846">
        <f>'Internal Pricelist'!BW96</f>
        <v>7</v>
      </c>
      <c r="X103" s="844">
        <f t="shared" si="33"/>
        <v>364220.90253775829</v>
      </c>
      <c r="Y103" s="847">
        <f t="shared" si="34"/>
        <v>0.85</v>
      </c>
      <c r="Z103" s="844">
        <f t="shared" si="35"/>
        <v>14730762.467331078</v>
      </c>
      <c r="AA103" s="844">
        <f t="shared" si="36"/>
        <v>132404.25756849023</v>
      </c>
      <c r="AC103" s="849">
        <f t="shared" si="25"/>
        <v>191573.44754314344</v>
      </c>
      <c r="AD103" s="873">
        <f t="shared" si="37"/>
        <v>0</v>
      </c>
      <c r="AG103" s="882">
        <f t="shared" si="38"/>
        <v>7</v>
      </c>
      <c r="AH103" s="853">
        <f t="shared" si="39"/>
        <v>2549546.3177643078</v>
      </c>
      <c r="AI103" s="854">
        <f t="shared" si="40"/>
        <v>0</v>
      </c>
      <c r="AK103" s="872">
        <f>O103-'Internal Pricelist'!AK103</f>
        <v>808640.83226623014</v>
      </c>
      <c r="AL103" s="872">
        <f>P103-'Internal Pricelist'!BP103</f>
        <v>-464826.71115095937</v>
      </c>
      <c r="AM103" s="872">
        <f>'Internal Pricelist'!BN103+'Internal Pricelist'!BO103</f>
        <v>1807872.7061582082</v>
      </c>
      <c r="AN103" s="872">
        <f t="shared" si="23"/>
        <v>387355.59262579936</v>
      </c>
      <c r="AO103" s="872">
        <f>R103-'Internal Pricelist'!BQ103</f>
        <v>-4725738.23003475</v>
      </c>
      <c r="AS103" s="873">
        <f>'Internal Pricelist'!AK103-PriceLink_Fitted!O103</f>
        <v>-808640.83226623014</v>
      </c>
      <c r="AT103" s="873">
        <f>'Internal Pricelist'!BP103-PriceLink_Fitted!P103</f>
        <v>464826.71115095937</v>
      </c>
      <c r="AU103" s="849">
        <f>'Internal Pricelist'!BN103+'Internal Pricelist'!BO103</f>
        <v>1807872.7061582082</v>
      </c>
      <c r="AV103" s="873">
        <f>PriceLink_Fitted!Q103-PriceLink_Fitted!AU103</f>
        <v>-387355.59262579936</v>
      </c>
      <c r="AW103" s="873">
        <f>'Internal Pricelist'!BQ103-PriceLink_Fitted!R103</f>
        <v>4725738.23003475</v>
      </c>
    </row>
    <row r="104" spans="1:49" hidden="1" x14ac:dyDescent="0.2">
      <c r="A104" s="835">
        <f t="shared" si="26"/>
        <v>91</v>
      </c>
      <c r="B104" s="836" t="str">
        <f>'Internal Pricelist'!H97</f>
        <v>10L</v>
      </c>
      <c r="C104" s="836" t="str">
        <f>'Internal Pricelist'!C97</f>
        <v>Sold</v>
      </c>
      <c r="D104" s="836">
        <v>91</v>
      </c>
      <c r="E104" s="837" t="str">
        <f>'Internal Pricelist'!E97</f>
        <v>9th</v>
      </c>
      <c r="F104" s="838" t="str">
        <f>'Internal Pricelist'!F97</f>
        <v>10th</v>
      </c>
      <c r="G104" s="839" t="str">
        <f t="shared" si="27"/>
        <v>10L</v>
      </c>
      <c r="H104" s="839" t="str">
        <f>'Internal Pricelist'!I97</f>
        <v>2-BR</v>
      </c>
      <c r="I104" s="839">
        <f>'Internal Pricelist'!J97</f>
        <v>83.12</v>
      </c>
      <c r="J104" s="839">
        <f>'Internal Pricelist'!K97</f>
        <v>13.04</v>
      </c>
      <c r="K104" s="839">
        <f>'Internal Pricelist'!L97</f>
        <v>0</v>
      </c>
      <c r="L104" s="840">
        <f t="shared" si="24"/>
        <v>96.16</v>
      </c>
      <c r="M104" s="851" t="str">
        <f>'Internal Pricelist'!AA97</f>
        <v>CORNER</v>
      </c>
      <c r="N104" s="841"/>
      <c r="O104" s="842">
        <f>'Internal Pricelist'!BM97</f>
        <v>18181923.448882196</v>
      </c>
      <c r="P104" s="843">
        <f t="shared" si="28"/>
        <v>2181830.8138658633</v>
      </c>
      <c r="Q104" s="844">
        <f t="shared" si="29"/>
        <v>1818192.3448882196</v>
      </c>
      <c r="R104" s="843">
        <f t="shared" si="30"/>
        <v>22181946.60763628</v>
      </c>
      <c r="S104" s="845">
        <f>'Internal Pricelist'!BS97</f>
        <v>0.15</v>
      </c>
      <c r="T104" s="844">
        <f t="shared" si="31"/>
        <v>3327291.9911454418</v>
      </c>
      <c r="U104" s="839">
        <f>'Internal Pricelist'!BU97</f>
        <v>50000</v>
      </c>
      <c r="V104" s="844">
        <f t="shared" si="32"/>
        <v>3277291.9911454418</v>
      </c>
      <c r="W104" s="846">
        <f>'Internal Pricelist'!BW97</f>
        <v>7</v>
      </c>
      <c r="X104" s="844">
        <f t="shared" si="33"/>
        <v>468184.57016363455</v>
      </c>
      <c r="Y104" s="847">
        <f t="shared" si="34"/>
        <v>0.85</v>
      </c>
      <c r="Z104" s="844">
        <f t="shared" si="35"/>
        <v>18854654.616490837</v>
      </c>
      <c r="AA104" s="844">
        <f t="shared" si="36"/>
        <v>169470.96606460187</v>
      </c>
      <c r="AC104" s="849">
        <f t="shared" si="25"/>
        <v>189079.90275459856</v>
      </c>
      <c r="AD104" s="873">
        <f t="shared" si="37"/>
        <v>0</v>
      </c>
      <c r="AG104" s="882">
        <f t="shared" si="38"/>
        <v>7</v>
      </c>
      <c r="AH104" s="853">
        <f t="shared" si="39"/>
        <v>3277291.9911454418</v>
      </c>
      <c r="AI104" s="854">
        <f t="shared" si="40"/>
        <v>0</v>
      </c>
      <c r="AK104" s="872">
        <f>O104-'Internal Pricelist'!AK104</f>
        <v>8815342.3908063453</v>
      </c>
      <c r="AL104" s="872">
        <f>P104-'Internal Pricelist'!BP104</f>
        <v>664997.49701378983</v>
      </c>
      <c r="AM104" s="872">
        <f>'Internal Pricelist'!BN104+'Internal Pricelist'!BO104</f>
        <v>1264027.7640433945</v>
      </c>
      <c r="AN104" s="872">
        <f t="shared" si="23"/>
        <v>-554164.58084482513</v>
      </c>
      <c r="AO104" s="872">
        <f>R104-'Internal Pricelist'!BQ104</f>
        <v>6760807.886306867</v>
      </c>
      <c r="AS104" s="873">
        <f>'Internal Pricelist'!AK104-PriceLink_Fitted!O104</f>
        <v>-8815342.3908063453</v>
      </c>
      <c r="AT104" s="873">
        <f>'Internal Pricelist'!BP104-PriceLink_Fitted!P104</f>
        <v>-664997.49701378983</v>
      </c>
      <c r="AU104" s="849">
        <f>'Internal Pricelist'!BN104+'Internal Pricelist'!BO104</f>
        <v>1264027.7640433945</v>
      </c>
      <c r="AV104" s="873">
        <f>PriceLink_Fitted!Q104-PriceLink_Fitted!AU104</f>
        <v>554164.58084482513</v>
      </c>
      <c r="AW104" s="873">
        <f>'Internal Pricelist'!BQ104-PriceLink_Fitted!R104</f>
        <v>-6760807.886306867</v>
      </c>
    </row>
    <row r="105" spans="1:49" hidden="1" x14ac:dyDescent="0.2">
      <c r="A105" s="835">
        <f t="shared" si="26"/>
        <v>92</v>
      </c>
      <c r="B105" s="836" t="str">
        <f>'Internal Pricelist'!H98</f>
        <v>10M</v>
      </c>
      <c r="C105" s="836" t="str">
        <f>'Internal Pricelist'!C98</f>
        <v>Sold</v>
      </c>
      <c r="D105" s="836">
        <v>92</v>
      </c>
      <c r="E105" s="837" t="str">
        <f>'Internal Pricelist'!E98</f>
        <v>9th</v>
      </c>
      <c r="F105" s="838" t="str">
        <f>'Internal Pricelist'!F98</f>
        <v>10th</v>
      </c>
      <c r="G105" s="839" t="str">
        <f t="shared" si="27"/>
        <v>10M</v>
      </c>
      <c r="H105" s="839" t="str">
        <f>'Internal Pricelist'!I98</f>
        <v>1-BR</v>
      </c>
      <c r="I105" s="839">
        <f>'Internal Pricelist'!J98</f>
        <v>52.04</v>
      </c>
      <c r="J105" s="839">
        <f>'Internal Pricelist'!K98</f>
        <v>3.1</v>
      </c>
      <c r="K105" s="839">
        <f>'Internal Pricelist'!L98</f>
        <v>0</v>
      </c>
      <c r="L105" s="840">
        <f t="shared" si="24"/>
        <v>55.14</v>
      </c>
      <c r="M105" s="851" t="str">
        <f>'Internal Pricelist'!AA98</f>
        <v>INNER</v>
      </c>
      <c r="N105" s="841"/>
      <c r="O105" s="842">
        <f>'Internal Pricelist'!BM98</f>
        <v>10688450.006690178</v>
      </c>
      <c r="P105" s="843">
        <f t="shared" si="28"/>
        <v>1282614.0008028212</v>
      </c>
      <c r="Q105" s="844">
        <f t="shared" si="29"/>
        <v>1068845.0006690179</v>
      </c>
      <c r="R105" s="843">
        <f t="shared" si="30"/>
        <v>13039909.008162016</v>
      </c>
      <c r="S105" s="845">
        <f>'Internal Pricelist'!BS98</f>
        <v>0.15</v>
      </c>
      <c r="T105" s="844">
        <f t="shared" si="31"/>
        <v>1955986.3512243023</v>
      </c>
      <c r="U105" s="839">
        <f>'Internal Pricelist'!BU98</f>
        <v>50000</v>
      </c>
      <c r="V105" s="844">
        <f t="shared" si="32"/>
        <v>1905986.3512243023</v>
      </c>
      <c r="W105" s="846">
        <f>'Internal Pricelist'!BW98</f>
        <v>7</v>
      </c>
      <c r="X105" s="844">
        <f t="shared" si="33"/>
        <v>272283.76446061459</v>
      </c>
      <c r="Y105" s="847">
        <f t="shared" si="34"/>
        <v>0.85</v>
      </c>
      <c r="Z105" s="844">
        <f t="shared" si="35"/>
        <v>11083922.656937713</v>
      </c>
      <c r="AA105" s="844">
        <f t="shared" si="36"/>
        <v>99625.430359973616</v>
      </c>
      <c r="AC105" s="849">
        <f t="shared" si="25"/>
        <v>193842.03856891871</v>
      </c>
      <c r="AD105" s="873">
        <f t="shared" si="37"/>
        <v>0</v>
      </c>
      <c r="AG105" s="882">
        <f t="shared" si="38"/>
        <v>7</v>
      </c>
      <c r="AH105" s="853">
        <f t="shared" si="39"/>
        <v>1905986.3512243021</v>
      </c>
      <c r="AI105" s="854">
        <f t="shared" si="40"/>
        <v>0</v>
      </c>
      <c r="AK105" s="872">
        <f>O105-'Internal Pricelist'!AK105</f>
        <v>-4595126.6555943824</v>
      </c>
      <c r="AL105" s="872">
        <f>P105-'Internal Pricelist'!BP105</f>
        <v>-1192423.3835187501</v>
      </c>
      <c r="AM105" s="872">
        <f>'Internal Pricelist'!BN105+'Internal Pricelist'!BO105</f>
        <v>2062531.1536013098</v>
      </c>
      <c r="AN105" s="872">
        <f t="shared" si="23"/>
        <v>993686.15293229185</v>
      </c>
      <c r="AO105" s="872">
        <f>R105-'Internal Pricelist'!BQ105</f>
        <v>-12122971.065773958</v>
      </c>
      <c r="AS105" s="873">
        <f>'Internal Pricelist'!AK105-PriceLink_Fitted!O105</f>
        <v>4595126.6555943824</v>
      </c>
      <c r="AT105" s="873">
        <f>'Internal Pricelist'!BP105-PriceLink_Fitted!P105</f>
        <v>1192423.3835187501</v>
      </c>
      <c r="AU105" s="849">
        <f>'Internal Pricelist'!BN105+'Internal Pricelist'!BO105</f>
        <v>2062531.1536013098</v>
      </c>
      <c r="AV105" s="873">
        <f>PriceLink_Fitted!Q105-PriceLink_Fitted!AU105</f>
        <v>-993686.15293229185</v>
      </c>
      <c r="AW105" s="873">
        <f>'Internal Pricelist'!BQ105-PriceLink_Fitted!R105</f>
        <v>12122971.065773958</v>
      </c>
    </row>
    <row r="106" spans="1:49" hidden="1" x14ac:dyDescent="0.2">
      <c r="A106" s="835">
        <f t="shared" si="26"/>
        <v>93</v>
      </c>
      <c r="B106" s="836" t="str">
        <f>'Internal Pricelist'!H99</f>
        <v>11A</v>
      </c>
      <c r="C106" s="836" t="str">
        <f>'Internal Pricelist'!C99</f>
        <v>Sold</v>
      </c>
      <c r="D106" s="836">
        <v>93</v>
      </c>
      <c r="E106" s="837" t="str">
        <f>'Internal Pricelist'!E99</f>
        <v>10th</v>
      </c>
      <c r="F106" s="838" t="str">
        <f>'Internal Pricelist'!F99</f>
        <v>11th</v>
      </c>
      <c r="G106" s="839" t="str">
        <f t="shared" si="27"/>
        <v>11A</v>
      </c>
      <c r="H106" s="839" t="str">
        <f>'Internal Pricelist'!I99</f>
        <v>3-BR</v>
      </c>
      <c r="I106" s="839">
        <f>'Internal Pricelist'!J99</f>
        <v>99.98</v>
      </c>
      <c r="J106" s="839">
        <f>'Internal Pricelist'!K99</f>
        <v>10.29</v>
      </c>
      <c r="K106" s="839">
        <f>'Internal Pricelist'!L99</f>
        <v>0</v>
      </c>
      <c r="L106" s="840">
        <f t="shared" si="24"/>
        <v>110.27000000000001</v>
      </c>
      <c r="M106" s="851" t="str">
        <f>'Internal Pricelist'!AA99</f>
        <v>CORNER</v>
      </c>
      <c r="N106" s="841"/>
      <c r="O106" s="842">
        <f>'Internal Pricelist'!BM99</f>
        <v>21381301.931939822</v>
      </c>
      <c r="P106" s="843">
        <f t="shared" si="28"/>
        <v>2565756.2318327785</v>
      </c>
      <c r="Q106" s="844">
        <f t="shared" si="29"/>
        <v>2138130.1931939824</v>
      </c>
      <c r="R106" s="843">
        <f t="shared" si="30"/>
        <v>26085188.356966585</v>
      </c>
      <c r="S106" s="845">
        <f>'Internal Pricelist'!BS99</f>
        <v>0.15</v>
      </c>
      <c r="T106" s="844">
        <f t="shared" si="31"/>
        <v>3912778.2535449876</v>
      </c>
      <c r="U106" s="839">
        <f>'Internal Pricelist'!BU99</f>
        <v>50000</v>
      </c>
      <c r="V106" s="844">
        <f t="shared" si="32"/>
        <v>3862778.2535449876</v>
      </c>
      <c r="W106" s="846">
        <f>'Internal Pricelist'!BW99</f>
        <v>7</v>
      </c>
      <c r="X106" s="844">
        <f t="shared" si="33"/>
        <v>551825.46479214111</v>
      </c>
      <c r="Y106" s="847">
        <f t="shared" si="34"/>
        <v>0.85</v>
      </c>
      <c r="Z106" s="844">
        <f t="shared" si="35"/>
        <v>22172410.103421595</v>
      </c>
      <c r="AA106" s="844">
        <f t="shared" si="36"/>
        <v>199291.89033889311</v>
      </c>
      <c r="AC106" s="849">
        <f t="shared" si="25"/>
        <v>193899.53688165249</v>
      </c>
      <c r="AD106" s="873">
        <f t="shared" si="37"/>
        <v>0</v>
      </c>
      <c r="AG106" s="882">
        <f t="shared" si="38"/>
        <v>7</v>
      </c>
      <c r="AH106" s="853">
        <f t="shared" si="39"/>
        <v>3862778.2535449876</v>
      </c>
      <c r="AI106" s="854">
        <f t="shared" si="40"/>
        <v>0</v>
      </c>
      <c r="AK106" s="872">
        <f>O106-'Internal Pricelist'!AK106</f>
        <v>10840106.117895229</v>
      </c>
      <c r="AL106" s="872">
        <f>P106-'Internal Pricelist'!BP106</f>
        <v>858704.65014400845</v>
      </c>
      <c r="AM106" s="872">
        <f>'Internal Pricelist'!BN106+'Internal Pricelist'!BO106</f>
        <v>1422542.9847406417</v>
      </c>
      <c r="AN106" s="872">
        <f t="shared" si="23"/>
        <v>-715587.20845334069</v>
      </c>
      <c r="AO106" s="872">
        <f>R106-'Internal Pricelist'!BQ106</f>
        <v>8730163.9431307539</v>
      </c>
      <c r="AS106" s="873">
        <f>'Internal Pricelist'!AK106-PriceLink_Fitted!O106</f>
        <v>-10840106.117895229</v>
      </c>
      <c r="AT106" s="873">
        <f>'Internal Pricelist'!BP106-PriceLink_Fitted!P106</f>
        <v>-858704.65014400845</v>
      </c>
      <c r="AU106" s="849">
        <f>'Internal Pricelist'!BN106+'Internal Pricelist'!BO106</f>
        <v>1422542.9847406417</v>
      </c>
      <c r="AV106" s="873">
        <f>PriceLink_Fitted!Q106-PriceLink_Fitted!AU106</f>
        <v>715587.20845334069</v>
      </c>
      <c r="AW106" s="873">
        <f>'Internal Pricelist'!BQ106-PriceLink_Fitted!R106</f>
        <v>-8730163.9431307539</v>
      </c>
    </row>
    <row r="107" spans="1:49" hidden="1" x14ac:dyDescent="0.2">
      <c r="A107" s="835">
        <f t="shared" si="26"/>
        <v>94</v>
      </c>
      <c r="B107" s="836" t="str">
        <f>'Internal Pricelist'!H100</f>
        <v>11B</v>
      </c>
      <c r="C107" s="836" t="str">
        <f>'Internal Pricelist'!C100</f>
        <v>Sold</v>
      </c>
      <c r="D107" s="836">
        <v>94</v>
      </c>
      <c r="E107" s="837" t="str">
        <f>'Internal Pricelist'!E100</f>
        <v>10th</v>
      </c>
      <c r="F107" s="838" t="str">
        <f>'Internal Pricelist'!F100</f>
        <v>11th</v>
      </c>
      <c r="G107" s="839" t="str">
        <f t="shared" si="27"/>
        <v>11B</v>
      </c>
      <c r="H107" s="839" t="str">
        <f>'Internal Pricelist'!I100</f>
        <v>1-BR</v>
      </c>
      <c r="I107" s="839">
        <f>'Internal Pricelist'!J100</f>
        <v>52.86</v>
      </c>
      <c r="J107" s="839">
        <f>'Internal Pricelist'!K100</f>
        <v>5.09</v>
      </c>
      <c r="K107" s="839">
        <f>'Internal Pricelist'!L100</f>
        <v>0</v>
      </c>
      <c r="L107" s="840">
        <f t="shared" si="24"/>
        <v>57.95</v>
      </c>
      <c r="M107" s="851" t="str">
        <f>'Internal Pricelist'!AA100</f>
        <v>INNER</v>
      </c>
      <c r="N107" s="841"/>
      <c r="O107" s="842">
        <f>'Internal Pricelist'!BM100</f>
        <v>11098198.528102605</v>
      </c>
      <c r="P107" s="843">
        <f t="shared" si="28"/>
        <v>1331783.8233723126</v>
      </c>
      <c r="Q107" s="844">
        <f t="shared" si="29"/>
        <v>1109819.8528102606</v>
      </c>
      <c r="R107" s="843">
        <f t="shared" si="30"/>
        <v>13539802.204285176</v>
      </c>
      <c r="S107" s="845">
        <f>'Internal Pricelist'!BS100</f>
        <v>0.15</v>
      </c>
      <c r="T107" s="844">
        <f t="shared" si="31"/>
        <v>2030970.3306427763</v>
      </c>
      <c r="U107" s="839">
        <f>'Internal Pricelist'!BU100</f>
        <v>50000</v>
      </c>
      <c r="V107" s="844">
        <f t="shared" si="32"/>
        <v>1980970.3306427763</v>
      </c>
      <c r="W107" s="846">
        <f>'Internal Pricelist'!BW100</f>
        <v>7</v>
      </c>
      <c r="X107" s="844">
        <f t="shared" si="33"/>
        <v>282995.76152039663</v>
      </c>
      <c r="Y107" s="847">
        <f t="shared" si="34"/>
        <v>0.85</v>
      </c>
      <c r="Z107" s="844">
        <f t="shared" si="35"/>
        <v>11508831.8736424</v>
      </c>
      <c r="AA107" s="844">
        <f t="shared" si="36"/>
        <v>103444.63452517295</v>
      </c>
      <c r="AC107" s="849">
        <f t="shared" si="25"/>
        <v>191513.34819849188</v>
      </c>
      <c r="AD107" s="873">
        <f t="shared" si="37"/>
        <v>0</v>
      </c>
      <c r="AG107" s="882">
        <f t="shared" si="38"/>
        <v>7</v>
      </c>
      <c r="AH107" s="853">
        <f t="shared" si="39"/>
        <v>1980970.3306427763</v>
      </c>
      <c r="AI107" s="854">
        <f t="shared" si="40"/>
        <v>0</v>
      </c>
      <c r="AK107" s="872">
        <f>O107-'Internal Pricelist'!AK107</f>
        <v>531953.09189688601</v>
      </c>
      <c r="AL107" s="872">
        <f>P107-'Internal Pricelist'!BP107</f>
        <v>-379324.31868068827</v>
      </c>
      <c r="AM107" s="872">
        <f>'Internal Pricelist'!BN107+'Internal Pricelist'!BO107</f>
        <v>1425923.4517108342</v>
      </c>
      <c r="AN107" s="872">
        <f t="shared" si="23"/>
        <v>316103.59890057356</v>
      </c>
      <c r="AO107" s="872">
        <f>R107-'Internal Pricelist'!BQ107</f>
        <v>-3856463.9065870028</v>
      </c>
      <c r="AS107" s="873">
        <f>'Internal Pricelist'!AK107-PriceLink_Fitted!O107</f>
        <v>-531953.09189688601</v>
      </c>
      <c r="AT107" s="873">
        <f>'Internal Pricelist'!BP107-PriceLink_Fitted!P107</f>
        <v>379324.31868068827</v>
      </c>
      <c r="AU107" s="849">
        <f>'Internal Pricelist'!BN107+'Internal Pricelist'!BO107</f>
        <v>1425923.4517108342</v>
      </c>
      <c r="AV107" s="873">
        <f>PriceLink_Fitted!Q107-PriceLink_Fitted!AU107</f>
        <v>-316103.59890057356</v>
      </c>
      <c r="AW107" s="873">
        <f>'Internal Pricelist'!BQ107-PriceLink_Fitted!R107</f>
        <v>3856463.9065870028</v>
      </c>
    </row>
    <row r="108" spans="1:49" hidden="1" x14ac:dyDescent="0.2">
      <c r="A108" s="835">
        <f t="shared" si="26"/>
        <v>95</v>
      </c>
      <c r="B108" s="836" t="str">
        <f>'Internal Pricelist'!H101</f>
        <v>11C</v>
      </c>
      <c r="C108" s="836" t="str">
        <f>'Internal Pricelist'!C101</f>
        <v>Sold</v>
      </c>
      <c r="D108" s="836">
        <v>95</v>
      </c>
      <c r="E108" s="837" t="str">
        <f>'Internal Pricelist'!E101</f>
        <v>10th</v>
      </c>
      <c r="F108" s="838" t="str">
        <f>'Internal Pricelist'!F101</f>
        <v>11th</v>
      </c>
      <c r="G108" s="839" t="str">
        <f t="shared" si="27"/>
        <v>11C</v>
      </c>
      <c r="H108" s="839" t="str">
        <f>'Internal Pricelist'!I101</f>
        <v>2-BR</v>
      </c>
      <c r="I108" s="839">
        <f>'Internal Pricelist'!J101</f>
        <v>57.5</v>
      </c>
      <c r="J108" s="839">
        <f>'Internal Pricelist'!K101</f>
        <v>5.09</v>
      </c>
      <c r="K108" s="839">
        <f>'Internal Pricelist'!L101</f>
        <v>0</v>
      </c>
      <c r="L108" s="840">
        <f t="shared" si="24"/>
        <v>62.59</v>
      </c>
      <c r="M108" s="851" t="str">
        <f>'Internal Pricelist'!AA101</f>
        <v>INNER</v>
      </c>
      <c r="N108" s="841"/>
      <c r="O108" s="842">
        <f>'Internal Pricelist'!BM101</f>
        <v>12026240.259383883</v>
      </c>
      <c r="P108" s="843">
        <f t="shared" si="28"/>
        <v>1443148.8311260659</v>
      </c>
      <c r="Q108" s="844">
        <f t="shared" si="29"/>
        <v>1202624.0259383884</v>
      </c>
      <c r="R108" s="843">
        <f t="shared" si="30"/>
        <v>14672013.116448337</v>
      </c>
      <c r="S108" s="845">
        <f>'Internal Pricelist'!BS101</f>
        <v>0.15</v>
      </c>
      <c r="T108" s="844">
        <f t="shared" si="31"/>
        <v>2200801.9674672503</v>
      </c>
      <c r="U108" s="839">
        <f>'Internal Pricelist'!BU101</f>
        <v>50000</v>
      </c>
      <c r="V108" s="844">
        <f t="shared" si="32"/>
        <v>2150801.9674672503</v>
      </c>
      <c r="W108" s="846">
        <f>'Internal Pricelist'!BW101</f>
        <v>7</v>
      </c>
      <c r="X108" s="844">
        <f t="shared" si="33"/>
        <v>307257.4239238929</v>
      </c>
      <c r="Y108" s="847">
        <f t="shared" si="34"/>
        <v>0.85</v>
      </c>
      <c r="Z108" s="844">
        <f t="shared" si="35"/>
        <v>12471211.148981087</v>
      </c>
      <c r="AA108" s="844">
        <f t="shared" si="36"/>
        <v>112094.77152474178</v>
      </c>
      <c r="AC108" s="849">
        <f t="shared" si="25"/>
        <v>192143.15800261835</v>
      </c>
      <c r="AD108" s="873">
        <f t="shared" si="37"/>
        <v>0</v>
      </c>
      <c r="AG108" s="882">
        <f t="shared" si="38"/>
        <v>7</v>
      </c>
      <c r="AH108" s="853">
        <f t="shared" si="39"/>
        <v>2150801.9674672503</v>
      </c>
      <c r="AI108" s="854">
        <f t="shared" si="40"/>
        <v>0</v>
      </c>
      <c r="AK108" s="872">
        <f>O108-'Internal Pricelist'!AK108</f>
        <v>1459994.8231781647</v>
      </c>
      <c r="AL108" s="872">
        <f>P108-'Internal Pricelist'!BP108</f>
        <v>-267959.31092693494</v>
      </c>
      <c r="AM108" s="872">
        <f>'Internal Pricelist'!BN108+'Internal Pricelist'!BO108</f>
        <v>1425923.4517108342</v>
      </c>
      <c r="AN108" s="872">
        <f t="shared" si="23"/>
        <v>223299.42577244574</v>
      </c>
      <c r="AO108" s="872">
        <f>R108-'Internal Pricelist'!BQ108</f>
        <v>-2724252.9944238421</v>
      </c>
      <c r="AS108" s="873">
        <f>'Internal Pricelist'!AK108-PriceLink_Fitted!O108</f>
        <v>-1459994.8231781647</v>
      </c>
      <c r="AT108" s="873">
        <f>'Internal Pricelist'!BP108-PriceLink_Fitted!P108</f>
        <v>267959.31092693494</v>
      </c>
      <c r="AU108" s="849">
        <f>'Internal Pricelist'!BN108+'Internal Pricelist'!BO108</f>
        <v>1425923.4517108342</v>
      </c>
      <c r="AV108" s="873">
        <f>PriceLink_Fitted!Q108-PriceLink_Fitted!AU108</f>
        <v>-223299.42577244574</v>
      </c>
      <c r="AW108" s="873">
        <f>'Internal Pricelist'!BQ108-PriceLink_Fitted!R108</f>
        <v>2724252.9944238421</v>
      </c>
    </row>
    <row r="109" spans="1:49" hidden="1" x14ac:dyDescent="0.2">
      <c r="A109" s="835">
        <f t="shared" si="26"/>
        <v>96</v>
      </c>
      <c r="B109" s="836" t="str">
        <f>'Internal Pricelist'!H102</f>
        <v>11D</v>
      </c>
      <c r="C109" s="836" t="str">
        <f>'Internal Pricelist'!C102</f>
        <v>Sold</v>
      </c>
      <c r="D109" s="836">
        <v>96</v>
      </c>
      <c r="E109" s="837" t="str">
        <f>'Internal Pricelist'!E102</f>
        <v>10th</v>
      </c>
      <c r="F109" s="838" t="str">
        <f>'Internal Pricelist'!F102</f>
        <v>11th</v>
      </c>
      <c r="G109" s="839" t="str">
        <f t="shared" si="27"/>
        <v>11D</v>
      </c>
      <c r="H109" s="839" t="str">
        <f>'Internal Pricelist'!I102</f>
        <v>2-BR</v>
      </c>
      <c r="I109" s="839">
        <f>'Internal Pricelist'!J102</f>
        <v>62.11</v>
      </c>
      <c r="J109" s="839">
        <f>'Internal Pricelist'!K102</f>
        <v>5.19</v>
      </c>
      <c r="K109" s="839">
        <f>'Internal Pricelist'!L102</f>
        <v>0</v>
      </c>
      <c r="L109" s="840">
        <f t="shared" si="24"/>
        <v>67.3</v>
      </c>
      <c r="M109" s="851" t="str">
        <f>'Internal Pricelist'!AA102</f>
        <v>INNER</v>
      </c>
      <c r="N109" s="841"/>
      <c r="O109" s="842">
        <f>'Internal Pricelist'!BM102</f>
        <v>12958610.269284498</v>
      </c>
      <c r="P109" s="843">
        <f t="shared" si="28"/>
        <v>1555033.2323141396</v>
      </c>
      <c r="Q109" s="844">
        <f t="shared" si="29"/>
        <v>1295861.02692845</v>
      </c>
      <c r="R109" s="843">
        <f t="shared" si="30"/>
        <v>15809504.528527088</v>
      </c>
      <c r="S109" s="845">
        <f>'Internal Pricelist'!BS102</f>
        <v>0.15</v>
      </c>
      <c r="T109" s="844">
        <f t="shared" si="31"/>
        <v>2371425.6792790634</v>
      </c>
      <c r="U109" s="839">
        <f>'Internal Pricelist'!BU102</f>
        <v>50000</v>
      </c>
      <c r="V109" s="844">
        <f t="shared" si="32"/>
        <v>2321425.6792790634</v>
      </c>
      <c r="W109" s="846">
        <f>'Internal Pricelist'!BW102</f>
        <v>7</v>
      </c>
      <c r="X109" s="844">
        <f t="shared" si="33"/>
        <v>331632.23989700904</v>
      </c>
      <c r="Y109" s="847">
        <f t="shared" si="34"/>
        <v>0.85</v>
      </c>
      <c r="Z109" s="844">
        <f t="shared" si="35"/>
        <v>13438078.849248026</v>
      </c>
      <c r="AA109" s="844">
        <f t="shared" si="36"/>
        <v>120785.25175648174</v>
      </c>
      <c r="AC109" s="849">
        <f t="shared" si="25"/>
        <v>192549.9297070505</v>
      </c>
      <c r="AD109" s="873">
        <f t="shared" si="37"/>
        <v>0</v>
      </c>
      <c r="AG109" s="882">
        <f t="shared" si="38"/>
        <v>7</v>
      </c>
      <c r="AH109" s="853">
        <f t="shared" si="39"/>
        <v>2321425.6792790634</v>
      </c>
      <c r="AI109" s="854">
        <f t="shared" si="40"/>
        <v>0</v>
      </c>
      <c r="AK109" s="872">
        <f>O109-'Internal Pricelist'!AK109</f>
        <v>2392364.8330787793</v>
      </c>
      <c r="AL109" s="872">
        <f>P109-'Internal Pricelist'!BP109</f>
        <v>-156074.90973886126</v>
      </c>
      <c r="AM109" s="872">
        <f>'Internal Pricelist'!BN109+'Internal Pricelist'!BO109</f>
        <v>1425923.4517108342</v>
      </c>
      <c r="AN109" s="872">
        <f t="shared" ref="AN109:AN140" si="41">AM109-Q109</f>
        <v>130062.42478238419</v>
      </c>
      <c r="AO109" s="872">
        <f>R109-'Internal Pricelist'!BQ109</f>
        <v>-1586761.5823450908</v>
      </c>
      <c r="AS109" s="873">
        <f>'Internal Pricelist'!AK109-PriceLink_Fitted!O109</f>
        <v>-2392364.8330787793</v>
      </c>
      <c r="AT109" s="873">
        <f>'Internal Pricelist'!BP109-PriceLink_Fitted!P109</f>
        <v>156074.90973886126</v>
      </c>
      <c r="AU109" s="849">
        <f>'Internal Pricelist'!BN109+'Internal Pricelist'!BO109</f>
        <v>1425923.4517108342</v>
      </c>
      <c r="AV109" s="873">
        <f>PriceLink_Fitted!Q109-PriceLink_Fitted!AU109</f>
        <v>-130062.42478238419</v>
      </c>
      <c r="AW109" s="873">
        <f>'Internal Pricelist'!BQ109-PriceLink_Fitted!R109</f>
        <v>1586761.5823450908</v>
      </c>
    </row>
    <row r="110" spans="1:49" hidden="1" x14ac:dyDescent="0.2">
      <c r="A110" s="835">
        <f t="shared" si="26"/>
        <v>97</v>
      </c>
      <c r="B110" s="836" t="str">
        <f>'Internal Pricelist'!H103</f>
        <v>11E</v>
      </c>
      <c r="C110" s="836" t="str">
        <f>'Internal Pricelist'!C103</f>
        <v>Sold</v>
      </c>
      <c r="D110" s="836">
        <v>97</v>
      </c>
      <c r="E110" s="837" t="str">
        <f>'Internal Pricelist'!E103</f>
        <v>10th</v>
      </c>
      <c r="F110" s="838" t="str">
        <f>'Internal Pricelist'!F103</f>
        <v>11th</v>
      </c>
      <c r="G110" s="839" t="str">
        <f t="shared" si="27"/>
        <v>11E</v>
      </c>
      <c r="H110" s="839" t="str">
        <f>'Internal Pricelist'!I103</f>
        <v>2-BR</v>
      </c>
      <c r="I110" s="839">
        <f>'Internal Pricelist'!J103</f>
        <v>80.900000000000006</v>
      </c>
      <c r="J110" s="839">
        <f>'Internal Pricelist'!K103</f>
        <v>15.65</v>
      </c>
      <c r="K110" s="839">
        <f>'Internal Pricelist'!L103</f>
        <v>0</v>
      </c>
      <c r="L110" s="840">
        <f t="shared" si="24"/>
        <v>96.550000000000011</v>
      </c>
      <c r="M110" s="851" t="str">
        <f>'Internal Pricelist'!AA103</f>
        <v>CORNER</v>
      </c>
      <c r="N110" s="841"/>
      <c r="O110" s="842">
        <f>'Internal Pricelist'!BM103</f>
        <v>18078727.061582081</v>
      </c>
      <c r="P110" s="843">
        <f t="shared" si="28"/>
        <v>2169447.2473898497</v>
      </c>
      <c r="Q110" s="844">
        <f t="shared" si="29"/>
        <v>1807872.7061582082</v>
      </c>
      <c r="R110" s="843">
        <f t="shared" si="30"/>
        <v>22056047.01513014</v>
      </c>
      <c r="S110" s="845">
        <f>'Internal Pricelist'!BS103</f>
        <v>0.15</v>
      </c>
      <c r="T110" s="844">
        <f t="shared" si="31"/>
        <v>3308407.0522695207</v>
      </c>
      <c r="U110" s="839">
        <f>'Internal Pricelist'!BU103</f>
        <v>50000</v>
      </c>
      <c r="V110" s="844">
        <f t="shared" si="32"/>
        <v>3258407.0522695207</v>
      </c>
      <c r="W110" s="846">
        <f>'Internal Pricelist'!BW103</f>
        <v>7</v>
      </c>
      <c r="X110" s="844">
        <f t="shared" si="33"/>
        <v>465486.7217527887</v>
      </c>
      <c r="Y110" s="847">
        <f t="shared" si="34"/>
        <v>0.85</v>
      </c>
      <c r="Z110" s="844">
        <f t="shared" si="35"/>
        <v>18747639.962860618</v>
      </c>
      <c r="AA110" s="844">
        <f t="shared" si="36"/>
        <v>168509.08810381865</v>
      </c>
      <c r="AC110" s="849">
        <f t="shared" si="25"/>
        <v>187247.30255393143</v>
      </c>
      <c r="AD110" s="873">
        <f t="shared" si="37"/>
        <v>0</v>
      </c>
      <c r="AG110" s="882">
        <f t="shared" si="38"/>
        <v>7</v>
      </c>
      <c r="AH110" s="853">
        <f t="shared" si="39"/>
        <v>3258407.0522695207</v>
      </c>
      <c r="AI110" s="854">
        <f t="shared" si="40"/>
        <v>0</v>
      </c>
      <c r="AK110" s="872">
        <f>O110-'Internal Pricelist'!AK110</f>
        <v>4553774.0877136271</v>
      </c>
      <c r="AL110" s="872">
        <f>P110-'Internal Pricelist'!BP110</f>
        <v>-20796.89317978872</v>
      </c>
      <c r="AM110" s="872">
        <f>'Internal Pricelist'!BN110+'Internal Pricelist'!BO110</f>
        <v>1825203.4504746988</v>
      </c>
      <c r="AN110" s="872">
        <f t="shared" si="41"/>
        <v>17330.7443164906</v>
      </c>
      <c r="AO110" s="872">
        <f>R110-'Internal Pricelist'!BQ110</f>
        <v>-211435.08066118509</v>
      </c>
      <c r="AS110" s="873">
        <f>'Internal Pricelist'!AK110-PriceLink_Fitted!O110</f>
        <v>-4553774.0877136271</v>
      </c>
      <c r="AT110" s="873">
        <f>'Internal Pricelist'!BP110-PriceLink_Fitted!P110</f>
        <v>20796.89317978872</v>
      </c>
      <c r="AU110" s="849">
        <f>'Internal Pricelist'!BN110+'Internal Pricelist'!BO110</f>
        <v>1825203.4504746988</v>
      </c>
      <c r="AV110" s="873">
        <f>PriceLink_Fitted!Q110-PriceLink_Fitted!AU110</f>
        <v>-17330.7443164906</v>
      </c>
      <c r="AW110" s="873">
        <f>'Internal Pricelist'!BQ110-PriceLink_Fitted!R110</f>
        <v>211435.08066118509</v>
      </c>
    </row>
    <row r="111" spans="1:49" hidden="1" x14ac:dyDescent="0.2">
      <c r="A111" s="835">
        <f t="shared" si="26"/>
        <v>98</v>
      </c>
      <c r="B111" s="836" t="str">
        <f>'Internal Pricelist'!H104</f>
        <v>11F</v>
      </c>
      <c r="C111" s="836" t="str">
        <f>'Internal Pricelist'!C104</f>
        <v>Sold</v>
      </c>
      <c r="D111" s="836">
        <v>98</v>
      </c>
      <c r="E111" s="837" t="str">
        <f>'Internal Pricelist'!E104</f>
        <v>10th</v>
      </c>
      <c r="F111" s="838" t="str">
        <f>'Internal Pricelist'!F104</f>
        <v>11th</v>
      </c>
      <c r="G111" s="839" t="str">
        <f t="shared" si="27"/>
        <v>11F</v>
      </c>
      <c r="H111" s="839" t="str">
        <f>'Internal Pricelist'!I104</f>
        <v>2-BR</v>
      </c>
      <c r="I111" s="839">
        <f>'Internal Pricelist'!J104</f>
        <v>61.56</v>
      </c>
      <c r="J111" s="839">
        <f>'Internal Pricelist'!K104</f>
        <v>4.0999999999999996</v>
      </c>
      <c r="K111" s="839">
        <f>'Internal Pricelist'!L104</f>
        <v>0</v>
      </c>
      <c r="L111" s="840">
        <f t="shared" si="24"/>
        <v>65.66</v>
      </c>
      <c r="M111" s="851" t="str">
        <f>'Internal Pricelist'!AA104</f>
        <v>INNER</v>
      </c>
      <c r="N111" s="841"/>
      <c r="O111" s="842">
        <f>'Internal Pricelist'!BM104</f>
        <v>12640277.640433945</v>
      </c>
      <c r="P111" s="843">
        <f t="shared" si="28"/>
        <v>1516833.3168520734</v>
      </c>
      <c r="Q111" s="844">
        <f t="shared" si="29"/>
        <v>1264027.7640433945</v>
      </c>
      <c r="R111" s="843">
        <f t="shared" si="30"/>
        <v>15421138.721329413</v>
      </c>
      <c r="S111" s="845">
        <f>'Internal Pricelist'!BS104</f>
        <v>0.15</v>
      </c>
      <c r="T111" s="844">
        <f t="shared" si="31"/>
        <v>2313170.8081994117</v>
      </c>
      <c r="U111" s="839">
        <f>'Internal Pricelist'!BU104</f>
        <v>50000</v>
      </c>
      <c r="V111" s="844">
        <f t="shared" si="32"/>
        <v>2263170.8081994117</v>
      </c>
      <c r="W111" s="846">
        <f>'Internal Pricelist'!BW104</f>
        <v>7</v>
      </c>
      <c r="X111" s="844">
        <f t="shared" si="33"/>
        <v>323310.11545705883</v>
      </c>
      <c r="Y111" s="847">
        <f t="shared" si="34"/>
        <v>0.85</v>
      </c>
      <c r="Z111" s="844">
        <f t="shared" si="35"/>
        <v>13107967.91313</v>
      </c>
      <c r="AA111" s="844">
        <f t="shared" si="36"/>
        <v>117818.12133747732</v>
      </c>
      <c r="AC111" s="849">
        <f t="shared" si="25"/>
        <v>192511.0819438615</v>
      </c>
      <c r="AD111" s="873">
        <f t="shared" si="37"/>
        <v>0</v>
      </c>
      <c r="AG111" s="882">
        <f t="shared" si="38"/>
        <v>7</v>
      </c>
      <c r="AH111" s="853">
        <f t="shared" si="39"/>
        <v>2263170.8081994117</v>
      </c>
      <c r="AI111" s="854">
        <f t="shared" si="40"/>
        <v>0</v>
      </c>
      <c r="AK111" s="872">
        <f>O111-'Internal Pricelist'!AK111</f>
        <v>4690230.8775706077</v>
      </c>
      <c r="AL111" s="872">
        <f>P111-'Internal Pricelist'!BP111</f>
        <v>229394.95213030255</v>
      </c>
      <c r="AM111" s="872">
        <f>'Internal Pricelist'!BN111+'Internal Pricelist'!BO111</f>
        <v>1072865.3039348091</v>
      </c>
      <c r="AN111" s="872">
        <f t="shared" si="41"/>
        <v>-191162.46010858542</v>
      </c>
      <c r="AO111" s="872">
        <f>R111-'Internal Pricelist'!BQ111</f>
        <v>2332182.0133247413</v>
      </c>
      <c r="AS111" s="873">
        <f>'Internal Pricelist'!AK111-PriceLink_Fitted!O111</f>
        <v>-4690230.8775706077</v>
      </c>
      <c r="AT111" s="873">
        <f>'Internal Pricelist'!BP111-PriceLink_Fitted!P111</f>
        <v>-229394.95213030255</v>
      </c>
      <c r="AU111" s="849">
        <f>'Internal Pricelist'!BN111+'Internal Pricelist'!BO111</f>
        <v>1072865.3039348091</v>
      </c>
      <c r="AV111" s="873">
        <f>PriceLink_Fitted!Q111-PriceLink_Fitted!AU111</f>
        <v>191162.46010858542</v>
      </c>
      <c r="AW111" s="873">
        <f>'Internal Pricelist'!BQ111-PriceLink_Fitted!R111</f>
        <v>-2332182.0133247413</v>
      </c>
    </row>
    <row r="112" spans="1:49" hidden="1" x14ac:dyDescent="0.2">
      <c r="A112" s="835">
        <f t="shared" si="26"/>
        <v>99</v>
      </c>
      <c r="B112" s="836" t="str">
        <f>'Internal Pricelist'!H105</f>
        <v>11G</v>
      </c>
      <c r="C112" s="836" t="str">
        <f>'Internal Pricelist'!C105</f>
        <v>Sold</v>
      </c>
      <c r="D112" s="836">
        <v>99</v>
      </c>
      <c r="E112" s="837" t="str">
        <f>'Internal Pricelist'!E105</f>
        <v>10th</v>
      </c>
      <c r="F112" s="838" t="str">
        <f>'Internal Pricelist'!F105</f>
        <v>11th</v>
      </c>
      <c r="G112" s="839" t="str">
        <f t="shared" si="27"/>
        <v>11G</v>
      </c>
      <c r="H112" s="839" t="str">
        <f>'Internal Pricelist'!I105</f>
        <v>2-BR</v>
      </c>
      <c r="I112" s="839">
        <f>'Internal Pricelist'!J105</f>
        <v>95.44</v>
      </c>
      <c r="J112" s="839">
        <f>'Internal Pricelist'!K105</f>
        <v>13.34</v>
      </c>
      <c r="K112" s="839">
        <f>'Internal Pricelist'!L105</f>
        <v>0</v>
      </c>
      <c r="L112" s="840">
        <f t="shared" si="24"/>
        <v>108.78</v>
      </c>
      <c r="M112" s="851" t="str">
        <f>'Internal Pricelist'!AA105</f>
        <v>CORNER</v>
      </c>
      <c r="N112" s="841"/>
      <c r="O112" s="842">
        <f>'Internal Pricelist'!BM105</f>
        <v>20625311.536013097</v>
      </c>
      <c r="P112" s="843">
        <f t="shared" si="28"/>
        <v>2475037.3843215713</v>
      </c>
      <c r="Q112" s="844">
        <f t="shared" si="29"/>
        <v>2062531.1536013098</v>
      </c>
      <c r="R112" s="843">
        <f t="shared" si="30"/>
        <v>25162880.073935978</v>
      </c>
      <c r="S112" s="845">
        <f>'Internal Pricelist'!BS105</f>
        <v>0.15</v>
      </c>
      <c r="T112" s="844">
        <f t="shared" si="31"/>
        <v>3774432.0110903964</v>
      </c>
      <c r="U112" s="839">
        <f>'Internal Pricelist'!BU105</f>
        <v>50000</v>
      </c>
      <c r="V112" s="844">
        <f t="shared" si="32"/>
        <v>3724432.0110903964</v>
      </c>
      <c r="W112" s="846">
        <f>'Internal Pricelist'!BW105</f>
        <v>7</v>
      </c>
      <c r="X112" s="844">
        <f t="shared" si="33"/>
        <v>532061.71587005665</v>
      </c>
      <c r="Y112" s="847">
        <f t="shared" si="34"/>
        <v>0.85</v>
      </c>
      <c r="Z112" s="844">
        <f t="shared" si="35"/>
        <v>21388448.06284558</v>
      </c>
      <c r="AA112" s="844">
        <f t="shared" si="36"/>
        <v>192245.41788544433</v>
      </c>
      <c r="AC112" s="849">
        <f t="shared" si="25"/>
        <v>189605.73208322391</v>
      </c>
      <c r="AD112" s="873">
        <f t="shared" si="37"/>
        <v>0</v>
      </c>
      <c r="AG112" s="882">
        <f t="shared" si="38"/>
        <v>7</v>
      </c>
      <c r="AH112" s="853">
        <f t="shared" si="39"/>
        <v>3724432.0110903964</v>
      </c>
      <c r="AI112" s="854">
        <f t="shared" si="40"/>
        <v>0</v>
      </c>
      <c r="AK112" s="872">
        <f>O112-'Internal Pricelist'!AK112</f>
        <v>4721961.5442777202</v>
      </c>
      <c r="AL112" s="872">
        <f>P112-'Internal Pricelist'!BP112</f>
        <v>-100366.70041912375</v>
      </c>
      <c r="AM112" s="872">
        <f>'Internal Pricelist'!BN112+'Internal Pricelist'!BO112</f>
        <v>2146170.070617246</v>
      </c>
      <c r="AN112" s="872">
        <f t="shared" si="41"/>
        <v>83638.917015936226</v>
      </c>
      <c r="AO112" s="872">
        <f>R112-'Internal Pricelist'!BQ112</f>
        <v>-1020394.787594419</v>
      </c>
      <c r="AS112" s="873">
        <f>'Internal Pricelist'!AK112-PriceLink_Fitted!O112</f>
        <v>-4721961.5442777202</v>
      </c>
      <c r="AT112" s="873">
        <f>'Internal Pricelist'!BP112-PriceLink_Fitted!P112</f>
        <v>100366.70041912375</v>
      </c>
      <c r="AU112" s="849">
        <f>'Internal Pricelist'!BN112+'Internal Pricelist'!BO112</f>
        <v>2146170.070617246</v>
      </c>
      <c r="AV112" s="873">
        <f>PriceLink_Fitted!Q112-PriceLink_Fitted!AU112</f>
        <v>-83638.917015936226</v>
      </c>
      <c r="AW112" s="873">
        <f>'Internal Pricelist'!BQ112-PriceLink_Fitted!R112</f>
        <v>1020394.787594419</v>
      </c>
    </row>
    <row r="113" spans="1:49" hidden="1" x14ac:dyDescent="0.2">
      <c r="A113" s="835">
        <f t="shared" si="26"/>
        <v>100</v>
      </c>
      <c r="B113" s="836" t="str">
        <f>'Internal Pricelist'!H106</f>
        <v>11H</v>
      </c>
      <c r="C113" s="836" t="str">
        <f>'Internal Pricelist'!C106</f>
        <v>Sold</v>
      </c>
      <c r="D113" s="836">
        <v>100</v>
      </c>
      <c r="E113" s="837" t="str">
        <f>'Internal Pricelist'!E106</f>
        <v>10th</v>
      </c>
      <c r="F113" s="838" t="str">
        <f>'Internal Pricelist'!F106</f>
        <v>11th</v>
      </c>
      <c r="G113" s="839" t="str">
        <f t="shared" si="27"/>
        <v>11H</v>
      </c>
      <c r="H113" s="839" t="str">
        <f>'Internal Pricelist'!I106</f>
        <v>2-BR</v>
      </c>
      <c r="I113" s="839">
        <f>'Internal Pricelist'!J106</f>
        <v>69.2</v>
      </c>
      <c r="J113" s="839">
        <f>'Internal Pricelist'!K106</f>
        <v>4.7699999999999996</v>
      </c>
      <c r="K113" s="839">
        <f>'Internal Pricelist'!L106</f>
        <v>0</v>
      </c>
      <c r="L113" s="840">
        <f t="shared" si="24"/>
        <v>73.97</v>
      </c>
      <c r="M113" s="851" t="str">
        <f>'Internal Pricelist'!AA106</f>
        <v>INNER</v>
      </c>
      <c r="N113" s="841"/>
      <c r="O113" s="842">
        <f>'Internal Pricelist'!BM106</f>
        <v>14225429.847406417</v>
      </c>
      <c r="P113" s="843">
        <f t="shared" si="28"/>
        <v>1707051.5816887701</v>
      </c>
      <c r="Q113" s="844">
        <f t="shared" si="29"/>
        <v>1422542.9847406419</v>
      </c>
      <c r="R113" s="843">
        <f t="shared" si="30"/>
        <v>17355024.413835827</v>
      </c>
      <c r="S113" s="845">
        <f>'Internal Pricelist'!BS106</f>
        <v>0.15</v>
      </c>
      <c r="T113" s="844">
        <f t="shared" si="31"/>
        <v>2603253.6620753738</v>
      </c>
      <c r="U113" s="839">
        <f>'Internal Pricelist'!BU106</f>
        <v>50000</v>
      </c>
      <c r="V113" s="844">
        <f t="shared" si="32"/>
        <v>2553253.6620753738</v>
      </c>
      <c r="W113" s="846">
        <f>'Internal Pricelist'!BW106</f>
        <v>7</v>
      </c>
      <c r="X113" s="844">
        <f t="shared" si="33"/>
        <v>364750.52315362485</v>
      </c>
      <c r="Y113" s="847">
        <f t="shared" si="34"/>
        <v>0.85</v>
      </c>
      <c r="Z113" s="844">
        <f t="shared" si="35"/>
        <v>14751770.751760453</v>
      </c>
      <c r="AA113" s="844">
        <f t="shared" si="36"/>
        <v>132593.08596816254</v>
      </c>
      <c r="AC113" s="849">
        <f t="shared" si="25"/>
        <v>192313.5034122809</v>
      </c>
      <c r="AD113" s="873">
        <f t="shared" si="37"/>
        <v>0</v>
      </c>
      <c r="AG113" s="882">
        <f t="shared" si="38"/>
        <v>7</v>
      </c>
      <c r="AH113" s="853">
        <f t="shared" si="39"/>
        <v>2553253.6620753738</v>
      </c>
      <c r="AI113" s="854">
        <f t="shared" si="40"/>
        <v>0</v>
      </c>
      <c r="AK113" s="872">
        <f>O113-'Internal Pricelist'!AK113</f>
        <v>5970236.8648531716</v>
      </c>
      <c r="AL113" s="872">
        <f>P113-'Internal Pricelist'!BP113</f>
        <v>370197.53907265817</v>
      </c>
      <c r="AM113" s="872">
        <f>'Internal Pricelist'!BN113+'Internal Pricelist'!BO113</f>
        <v>1114045.0355134266</v>
      </c>
      <c r="AN113" s="872">
        <f t="shared" si="41"/>
        <v>-308497.94922721526</v>
      </c>
      <c r="AO113" s="872">
        <f>R113-'Internal Pricelist'!BQ113</f>
        <v>3763674.9805720244</v>
      </c>
      <c r="AS113" s="873">
        <f>'Internal Pricelist'!AK113-PriceLink_Fitted!O113</f>
        <v>-5970236.8648531716</v>
      </c>
      <c r="AT113" s="873">
        <f>'Internal Pricelist'!BP113-PriceLink_Fitted!P113</f>
        <v>-370197.53907265817</v>
      </c>
      <c r="AU113" s="849">
        <f>'Internal Pricelist'!BN113+'Internal Pricelist'!BO113</f>
        <v>1114045.0355134266</v>
      </c>
      <c r="AV113" s="873">
        <f>PriceLink_Fitted!Q113-PriceLink_Fitted!AU113</f>
        <v>308497.94922721526</v>
      </c>
      <c r="AW113" s="873">
        <f>'Internal Pricelist'!BQ113-PriceLink_Fitted!R113</f>
        <v>-3763674.9805720244</v>
      </c>
    </row>
    <row r="114" spans="1:49" hidden="1" x14ac:dyDescent="0.2">
      <c r="A114" s="835">
        <f t="shared" si="26"/>
        <v>101</v>
      </c>
      <c r="B114" s="836" t="str">
        <f>'Internal Pricelist'!H107</f>
        <v>11I</v>
      </c>
      <c r="C114" s="836" t="str">
        <f>'Internal Pricelist'!C107</f>
        <v>Sold</v>
      </c>
      <c r="D114" s="836">
        <v>101</v>
      </c>
      <c r="E114" s="837" t="str">
        <f>'Internal Pricelist'!E107</f>
        <v>10th</v>
      </c>
      <c r="F114" s="838" t="str">
        <f>'Internal Pricelist'!F107</f>
        <v>11th</v>
      </c>
      <c r="G114" s="839" t="str">
        <f t="shared" si="27"/>
        <v>11I</v>
      </c>
      <c r="H114" s="839" t="str">
        <f>'Internal Pricelist'!I107</f>
        <v>2-BR</v>
      </c>
      <c r="I114" s="839">
        <f>'Internal Pricelist'!J107</f>
        <v>69.36</v>
      </c>
      <c r="J114" s="839">
        <f>'Internal Pricelist'!K107</f>
        <v>4.79</v>
      </c>
      <c r="K114" s="839">
        <f>'Internal Pricelist'!L107</f>
        <v>0</v>
      </c>
      <c r="L114" s="840">
        <f t="shared" si="24"/>
        <v>74.150000000000006</v>
      </c>
      <c r="M114" s="851" t="str">
        <f>'Internal Pricelist'!AA107</f>
        <v>INNER</v>
      </c>
      <c r="N114" s="841"/>
      <c r="O114" s="842">
        <f>'Internal Pricelist'!BM107</f>
        <v>14259234.517108342</v>
      </c>
      <c r="P114" s="843">
        <f t="shared" si="28"/>
        <v>1711108.1420530009</v>
      </c>
      <c r="Q114" s="844">
        <f t="shared" si="29"/>
        <v>1425923.4517108342</v>
      </c>
      <c r="R114" s="843">
        <f t="shared" si="30"/>
        <v>17396266.110872176</v>
      </c>
      <c r="S114" s="845">
        <f>'Internal Pricelist'!BS107</f>
        <v>0.15</v>
      </c>
      <c r="T114" s="844">
        <f t="shared" si="31"/>
        <v>2609439.9166308264</v>
      </c>
      <c r="U114" s="839">
        <f>'Internal Pricelist'!BU107</f>
        <v>50000</v>
      </c>
      <c r="V114" s="844">
        <f t="shared" si="32"/>
        <v>2559439.9166308264</v>
      </c>
      <c r="W114" s="846">
        <f>'Internal Pricelist'!BW107</f>
        <v>7</v>
      </c>
      <c r="X114" s="844">
        <f t="shared" si="33"/>
        <v>365634.27380440378</v>
      </c>
      <c r="Y114" s="847">
        <f t="shared" si="34"/>
        <v>0.85</v>
      </c>
      <c r="Z114" s="844">
        <f t="shared" si="35"/>
        <v>14786826.194241349</v>
      </c>
      <c r="AA114" s="844">
        <f t="shared" si="36"/>
        <v>132908.17419565324</v>
      </c>
      <c r="AC114" s="849">
        <f t="shared" si="25"/>
        <v>192302.55586120486</v>
      </c>
      <c r="AD114" s="873">
        <f t="shared" si="37"/>
        <v>0</v>
      </c>
      <c r="AG114" s="882">
        <f t="shared" si="38"/>
        <v>7</v>
      </c>
      <c r="AH114" s="853">
        <f t="shared" si="39"/>
        <v>2559439.9166308264</v>
      </c>
      <c r="AI114" s="854">
        <f t="shared" si="40"/>
        <v>0</v>
      </c>
      <c r="AK114" s="872">
        <f>O114-'Internal Pricelist'!AK114</f>
        <v>5313845.7904803026</v>
      </c>
      <c r="AL114" s="872">
        <f>P114-'Internal Pricelist'!BP114</f>
        <v>262483.12417163933</v>
      </c>
      <c r="AM114" s="872">
        <f>'Internal Pricelist'!BN114+'Internal Pricelist'!BO114</f>
        <v>1207187.5149011347</v>
      </c>
      <c r="AN114" s="872">
        <f t="shared" si="41"/>
        <v>-218735.93680969952</v>
      </c>
      <c r="AO114" s="872">
        <f>R114-'Internal Pricelist'!BQ114</f>
        <v>2668578.4290783331</v>
      </c>
      <c r="AS114" s="873">
        <f>'Internal Pricelist'!AK114-PriceLink_Fitted!O114</f>
        <v>-5313845.7904803026</v>
      </c>
      <c r="AT114" s="873">
        <f>'Internal Pricelist'!BP114-PriceLink_Fitted!P114</f>
        <v>-262483.12417163933</v>
      </c>
      <c r="AU114" s="849">
        <f>'Internal Pricelist'!BN114+'Internal Pricelist'!BO114</f>
        <v>1207187.5149011347</v>
      </c>
      <c r="AV114" s="873">
        <f>PriceLink_Fitted!Q114-PriceLink_Fitted!AU114</f>
        <v>218735.93680969952</v>
      </c>
      <c r="AW114" s="873">
        <f>'Internal Pricelist'!BQ114-PriceLink_Fitted!R114</f>
        <v>-2668578.4290783331</v>
      </c>
    </row>
    <row r="115" spans="1:49" hidden="1" x14ac:dyDescent="0.2">
      <c r="A115" s="835">
        <f t="shared" si="26"/>
        <v>102</v>
      </c>
      <c r="B115" s="836" t="str">
        <f>'Internal Pricelist'!H108</f>
        <v>11J</v>
      </c>
      <c r="C115" s="836" t="str">
        <f>'Internal Pricelist'!C108</f>
        <v>Sold</v>
      </c>
      <c r="D115" s="836">
        <v>102</v>
      </c>
      <c r="E115" s="837" t="str">
        <f>'Internal Pricelist'!E108</f>
        <v>10th</v>
      </c>
      <c r="F115" s="838" t="str">
        <f>'Internal Pricelist'!F108</f>
        <v>11th</v>
      </c>
      <c r="G115" s="839" t="str">
        <f t="shared" si="27"/>
        <v>11J</v>
      </c>
      <c r="H115" s="839" t="str">
        <f>'Internal Pricelist'!I108</f>
        <v>2-BR</v>
      </c>
      <c r="I115" s="839">
        <f>'Internal Pricelist'!J108</f>
        <v>69.36</v>
      </c>
      <c r="J115" s="839">
        <f>'Internal Pricelist'!K108</f>
        <v>4.79</v>
      </c>
      <c r="K115" s="839">
        <f>'Internal Pricelist'!L108</f>
        <v>0</v>
      </c>
      <c r="L115" s="840">
        <f t="shared" si="24"/>
        <v>74.150000000000006</v>
      </c>
      <c r="M115" s="851" t="str">
        <f>'Internal Pricelist'!AA108</f>
        <v>INNER</v>
      </c>
      <c r="N115" s="841"/>
      <c r="O115" s="842">
        <f>'Internal Pricelist'!BM108</f>
        <v>14259234.517108342</v>
      </c>
      <c r="P115" s="843">
        <f t="shared" si="28"/>
        <v>1711108.1420530009</v>
      </c>
      <c r="Q115" s="844">
        <f t="shared" si="29"/>
        <v>1425923.4517108342</v>
      </c>
      <c r="R115" s="843">
        <f t="shared" si="30"/>
        <v>17396266.110872176</v>
      </c>
      <c r="S115" s="845">
        <f>'Internal Pricelist'!BS108</f>
        <v>0.15</v>
      </c>
      <c r="T115" s="844">
        <f t="shared" si="31"/>
        <v>2609439.9166308264</v>
      </c>
      <c r="U115" s="839">
        <f>'Internal Pricelist'!BU108</f>
        <v>50000</v>
      </c>
      <c r="V115" s="844">
        <f t="shared" si="32"/>
        <v>2559439.9166308264</v>
      </c>
      <c r="W115" s="846">
        <f>'Internal Pricelist'!BW108</f>
        <v>7</v>
      </c>
      <c r="X115" s="844">
        <f t="shared" si="33"/>
        <v>365634.27380440378</v>
      </c>
      <c r="Y115" s="847">
        <f t="shared" si="34"/>
        <v>0.85</v>
      </c>
      <c r="Z115" s="844">
        <f t="shared" si="35"/>
        <v>14786826.194241349</v>
      </c>
      <c r="AA115" s="844">
        <f t="shared" si="36"/>
        <v>132908.17419565324</v>
      </c>
      <c r="AC115" s="849">
        <f t="shared" si="25"/>
        <v>192302.55586120486</v>
      </c>
      <c r="AD115" s="873">
        <f t="shared" si="37"/>
        <v>0</v>
      </c>
      <c r="AG115" s="882">
        <f t="shared" si="38"/>
        <v>7</v>
      </c>
      <c r="AH115" s="853">
        <f t="shared" si="39"/>
        <v>2559439.9166308264</v>
      </c>
      <c r="AI115" s="854">
        <f t="shared" si="40"/>
        <v>0</v>
      </c>
      <c r="AK115" s="872">
        <f>O115-'Internal Pricelist'!AK115</f>
        <v>4620404.9262152631</v>
      </c>
      <c r="AL115" s="872">
        <f>P115-'Internal Pricelist'!BP115</f>
        <v>150186.6309621965</v>
      </c>
      <c r="AM115" s="872">
        <f>'Internal Pricelist'!BN115+'Internal Pricelist'!BO115</f>
        <v>1300767.9259090037</v>
      </c>
      <c r="AN115" s="872">
        <f t="shared" si="41"/>
        <v>-125155.52580183046</v>
      </c>
      <c r="AO115" s="872">
        <f>R115-'Internal Pricelist'!BQ115</f>
        <v>1526897.4147823323</v>
      </c>
      <c r="AS115" s="873">
        <f>'Internal Pricelist'!AK115-PriceLink_Fitted!O115</f>
        <v>-4620404.9262152631</v>
      </c>
      <c r="AT115" s="873">
        <f>'Internal Pricelist'!BP115-PriceLink_Fitted!P115</f>
        <v>-150186.6309621965</v>
      </c>
      <c r="AU115" s="849">
        <f>'Internal Pricelist'!BN115+'Internal Pricelist'!BO115</f>
        <v>1300767.9259090037</v>
      </c>
      <c r="AV115" s="873">
        <f>PriceLink_Fitted!Q115-PriceLink_Fitted!AU115</f>
        <v>125155.52580183046</v>
      </c>
      <c r="AW115" s="873">
        <f>'Internal Pricelist'!BQ115-PriceLink_Fitted!R115</f>
        <v>-1526897.4147823323</v>
      </c>
    </row>
    <row r="116" spans="1:49" hidden="1" x14ac:dyDescent="0.2">
      <c r="A116" s="835">
        <f t="shared" si="26"/>
        <v>103</v>
      </c>
      <c r="B116" s="836" t="str">
        <f>'Internal Pricelist'!H109</f>
        <v>11K</v>
      </c>
      <c r="C116" s="836" t="str">
        <f>'Internal Pricelist'!C109</f>
        <v>Sold</v>
      </c>
      <c r="D116" s="836">
        <v>103</v>
      </c>
      <c r="E116" s="837" t="str">
        <f>'Internal Pricelist'!E109</f>
        <v>10th</v>
      </c>
      <c r="F116" s="838" t="str">
        <f>'Internal Pricelist'!F109</f>
        <v>11th</v>
      </c>
      <c r="G116" s="839" t="str">
        <f t="shared" si="27"/>
        <v>11K</v>
      </c>
      <c r="H116" s="839" t="str">
        <f>'Internal Pricelist'!I109</f>
        <v>2-BR</v>
      </c>
      <c r="I116" s="839">
        <f>'Internal Pricelist'!J109</f>
        <v>69.36</v>
      </c>
      <c r="J116" s="839">
        <f>'Internal Pricelist'!K109</f>
        <v>4.79</v>
      </c>
      <c r="K116" s="839">
        <f>'Internal Pricelist'!L109</f>
        <v>0</v>
      </c>
      <c r="L116" s="840">
        <f t="shared" si="24"/>
        <v>74.150000000000006</v>
      </c>
      <c r="M116" s="851" t="str">
        <f>'Internal Pricelist'!AA109</f>
        <v>INNER</v>
      </c>
      <c r="N116" s="841"/>
      <c r="O116" s="842">
        <f>'Internal Pricelist'!BM109</f>
        <v>14259234.517108342</v>
      </c>
      <c r="P116" s="843">
        <f t="shared" si="28"/>
        <v>1711108.1420530009</v>
      </c>
      <c r="Q116" s="844">
        <f t="shared" si="29"/>
        <v>1425923.4517108342</v>
      </c>
      <c r="R116" s="843">
        <f t="shared" si="30"/>
        <v>17396266.110872176</v>
      </c>
      <c r="S116" s="845">
        <f>'Internal Pricelist'!BS109</f>
        <v>0.15</v>
      </c>
      <c r="T116" s="844">
        <f t="shared" si="31"/>
        <v>2609439.9166308264</v>
      </c>
      <c r="U116" s="839">
        <f>'Internal Pricelist'!BU109</f>
        <v>50000</v>
      </c>
      <c r="V116" s="844">
        <f t="shared" si="32"/>
        <v>2559439.9166308264</v>
      </c>
      <c r="W116" s="846">
        <f>'Internal Pricelist'!BW109</f>
        <v>7</v>
      </c>
      <c r="X116" s="844">
        <f t="shared" si="33"/>
        <v>365634.27380440378</v>
      </c>
      <c r="Y116" s="847">
        <f t="shared" si="34"/>
        <v>0.85</v>
      </c>
      <c r="Z116" s="844">
        <f t="shared" si="35"/>
        <v>14786826.194241349</v>
      </c>
      <c r="AA116" s="844">
        <f t="shared" si="36"/>
        <v>132908.17419565324</v>
      </c>
      <c r="AC116" s="849">
        <f t="shared" si="25"/>
        <v>192302.55586120486</v>
      </c>
      <c r="AD116" s="873">
        <f t="shared" si="37"/>
        <v>0</v>
      </c>
      <c r="AG116" s="882">
        <f t="shared" si="38"/>
        <v>7</v>
      </c>
      <c r="AH116" s="853">
        <f t="shared" si="39"/>
        <v>2559439.9166308264</v>
      </c>
      <c r="AI116" s="854">
        <f t="shared" si="40"/>
        <v>0</v>
      </c>
      <c r="AK116" s="872">
        <f>O116-'Internal Pricelist'!AK116</f>
        <v>810540.46299026161</v>
      </c>
      <c r="AL116" s="872">
        <f>P116-'Internal Pricelist'!BP116</f>
        <v>-466786.554309909</v>
      </c>
      <c r="AM116" s="872">
        <f>'Internal Pricelist'!BN116+'Internal Pricelist'!BO116</f>
        <v>1814912.2469690915</v>
      </c>
      <c r="AN116" s="872">
        <f t="shared" si="41"/>
        <v>388988.79525825731</v>
      </c>
      <c r="AO116" s="872">
        <f>R116-'Internal Pricelist'!BQ116</f>
        <v>-4745663.3021507375</v>
      </c>
      <c r="AS116" s="873">
        <f>'Internal Pricelist'!AK116-PriceLink_Fitted!O116</f>
        <v>-810540.46299026161</v>
      </c>
      <c r="AT116" s="873">
        <f>'Internal Pricelist'!BP116-PriceLink_Fitted!P116</f>
        <v>466786.554309909</v>
      </c>
      <c r="AU116" s="849">
        <f>'Internal Pricelist'!BN116+'Internal Pricelist'!BO116</f>
        <v>1814912.2469690915</v>
      </c>
      <c r="AV116" s="873">
        <f>PriceLink_Fitted!Q116-PriceLink_Fitted!AU116</f>
        <v>-388988.79525825731</v>
      </c>
      <c r="AW116" s="873">
        <f>'Internal Pricelist'!BQ116-PriceLink_Fitted!R116</f>
        <v>4745663.3021507375</v>
      </c>
    </row>
    <row r="117" spans="1:49" hidden="1" x14ac:dyDescent="0.2">
      <c r="A117" s="835">
        <f t="shared" si="26"/>
        <v>104</v>
      </c>
      <c r="B117" s="836" t="str">
        <f>'Internal Pricelist'!H110</f>
        <v>11L</v>
      </c>
      <c r="C117" s="836" t="str">
        <f>'Internal Pricelist'!C110</f>
        <v>Sold</v>
      </c>
      <c r="D117" s="836">
        <v>104</v>
      </c>
      <c r="E117" s="837" t="str">
        <f>'Internal Pricelist'!E110</f>
        <v>10th</v>
      </c>
      <c r="F117" s="838" t="str">
        <f>'Internal Pricelist'!F110</f>
        <v>11th</v>
      </c>
      <c r="G117" s="839" t="str">
        <f t="shared" si="27"/>
        <v>11L</v>
      </c>
      <c r="H117" s="839" t="str">
        <f>'Internal Pricelist'!I110</f>
        <v>2-BR</v>
      </c>
      <c r="I117" s="839">
        <f>'Internal Pricelist'!J110</f>
        <v>83.12</v>
      </c>
      <c r="J117" s="839">
        <f>'Internal Pricelist'!K110</f>
        <v>13.04</v>
      </c>
      <c r="K117" s="839">
        <f>'Internal Pricelist'!L110</f>
        <v>0</v>
      </c>
      <c r="L117" s="840">
        <f t="shared" si="24"/>
        <v>96.16</v>
      </c>
      <c r="M117" s="851" t="str">
        <f>'Internal Pricelist'!AA110</f>
        <v>CORNER</v>
      </c>
      <c r="N117" s="841"/>
      <c r="O117" s="842">
        <f>'Internal Pricelist'!BM110</f>
        <v>18252034.504746988</v>
      </c>
      <c r="P117" s="843">
        <f t="shared" si="28"/>
        <v>2190244.1405696385</v>
      </c>
      <c r="Q117" s="844">
        <f t="shared" si="29"/>
        <v>1825203.450474699</v>
      </c>
      <c r="R117" s="843">
        <f t="shared" si="30"/>
        <v>22267482.095791325</v>
      </c>
      <c r="S117" s="845">
        <f>'Internal Pricelist'!BS110</f>
        <v>0.15</v>
      </c>
      <c r="T117" s="844">
        <f t="shared" si="31"/>
        <v>3340122.3143686987</v>
      </c>
      <c r="U117" s="839">
        <f>'Internal Pricelist'!BU110</f>
        <v>50000</v>
      </c>
      <c r="V117" s="844">
        <f t="shared" si="32"/>
        <v>3290122.3143686987</v>
      </c>
      <c r="W117" s="846">
        <f>'Internal Pricelist'!BW110</f>
        <v>7</v>
      </c>
      <c r="X117" s="844">
        <f t="shared" si="33"/>
        <v>470017.47348124266</v>
      </c>
      <c r="Y117" s="847">
        <f t="shared" si="34"/>
        <v>0.85</v>
      </c>
      <c r="Z117" s="844">
        <f t="shared" si="35"/>
        <v>18927359.781422626</v>
      </c>
      <c r="AA117" s="844">
        <f t="shared" si="36"/>
        <v>170124.46064137868</v>
      </c>
      <c r="AC117" s="849">
        <f t="shared" si="25"/>
        <v>189809.01107266004</v>
      </c>
      <c r="AD117" s="873">
        <f t="shared" si="37"/>
        <v>0</v>
      </c>
      <c r="AG117" s="882">
        <f t="shared" si="38"/>
        <v>7</v>
      </c>
      <c r="AH117" s="853">
        <f t="shared" si="39"/>
        <v>3290122.3143686987</v>
      </c>
      <c r="AI117" s="854">
        <f t="shared" si="40"/>
        <v>0</v>
      </c>
      <c r="AK117" s="872">
        <f>O117-'Internal Pricelist'!AK117</f>
        <v>8849978.8542877659</v>
      </c>
      <c r="AL117" s="872">
        <f>P117-'Internal Pricelist'!BP117</f>
        <v>667666.03345789504</v>
      </c>
      <c r="AM117" s="872">
        <f>'Internal Pricelist'!BN117+'Internal Pricelist'!BO117</f>
        <v>1268815.0892597861</v>
      </c>
      <c r="AN117" s="872">
        <f t="shared" si="41"/>
        <v>-556388.36121491296</v>
      </c>
      <c r="AO117" s="872">
        <f>R117-'Internal Pricelist'!BQ117</f>
        <v>6787938.0068219341</v>
      </c>
      <c r="AS117" s="873">
        <f>'Internal Pricelist'!AK117-PriceLink_Fitted!O117</f>
        <v>-8849978.8542877659</v>
      </c>
      <c r="AT117" s="873">
        <f>'Internal Pricelist'!BP117-PriceLink_Fitted!P117</f>
        <v>-667666.03345789504</v>
      </c>
      <c r="AU117" s="849">
        <f>'Internal Pricelist'!BN117+'Internal Pricelist'!BO117</f>
        <v>1268815.0892597861</v>
      </c>
      <c r="AV117" s="873">
        <f>PriceLink_Fitted!Q117-PriceLink_Fitted!AU117</f>
        <v>556388.36121491296</v>
      </c>
      <c r="AW117" s="873">
        <f>'Internal Pricelist'!BQ117-PriceLink_Fitted!R117</f>
        <v>-6787938.0068219341</v>
      </c>
    </row>
    <row r="118" spans="1:49" hidden="1" x14ac:dyDescent="0.2">
      <c r="A118" s="835">
        <f t="shared" si="26"/>
        <v>105</v>
      </c>
      <c r="B118" s="836" t="str">
        <f>'Internal Pricelist'!H111</f>
        <v>11M</v>
      </c>
      <c r="C118" s="836" t="str">
        <f>'Internal Pricelist'!C111</f>
        <v>Sold</v>
      </c>
      <c r="D118" s="836">
        <v>105</v>
      </c>
      <c r="E118" s="837" t="str">
        <f>'Internal Pricelist'!E111</f>
        <v>10th</v>
      </c>
      <c r="F118" s="838" t="str">
        <f>'Internal Pricelist'!F111</f>
        <v>11th</v>
      </c>
      <c r="G118" s="839" t="str">
        <f t="shared" si="27"/>
        <v>11M</v>
      </c>
      <c r="H118" s="839" t="str">
        <f>'Internal Pricelist'!I111</f>
        <v>1-BR</v>
      </c>
      <c r="I118" s="839">
        <f>'Internal Pricelist'!J111</f>
        <v>52.04</v>
      </c>
      <c r="J118" s="839">
        <f>'Internal Pricelist'!K111</f>
        <v>3.1</v>
      </c>
      <c r="K118" s="839">
        <f>'Internal Pricelist'!L111</f>
        <v>0</v>
      </c>
      <c r="L118" s="840">
        <f t="shared" si="24"/>
        <v>55.14</v>
      </c>
      <c r="M118" s="851" t="str">
        <f>'Internal Pricelist'!AA111</f>
        <v>INNER</v>
      </c>
      <c r="N118" s="841"/>
      <c r="O118" s="842">
        <f>'Internal Pricelist'!BM111</f>
        <v>10728653.03934809</v>
      </c>
      <c r="P118" s="843">
        <f t="shared" si="28"/>
        <v>1287438.3647217709</v>
      </c>
      <c r="Q118" s="844">
        <f t="shared" si="29"/>
        <v>1072865.3039348091</v>
      </c>
      <c r="R118" s="843">
        <f t="shared" si="30"/>
        <v>13088956.70800467</v>
      </c>
      <c r="S118" s="845">
        <f>'Internal Pricelist'!BS111</f>
        <v>0.15</v>
      </c>
      <c r="T118" s="844">
        <f t="shared" si="31"/>
        <v>1963343.5062007005</v>
      </c>
      <c r="U118" s="839">
        <f>'Internal Pricelist'!BU111</f>
        <v>50000</v>
      </c>
      <c r="V118" s="844">
        <f t="shared" si="32"/>
        <v>1913343.5062007005</v>
      </c>
      <c r="W118" s="846">
        <f>'Internal Pricelist'!BW111</f>
        <v>7</v>
      </c>
      <c r="X118" s="844">
        <f t="shared" si="33"/>
        <v>273334.78660010005</v>
      </c>
      <c r="Y118" s="847">
        <f t="shared" si="34"/>
        <v>0.85</v>
      </c>
      <c r="Z118" s="844">
        <f t="shared" si="35"/>
        <v>11125613.201803969</v>
      </c>
      <c r="AA118" s="844">
        <f t="shared" si="36"/>
        <v>100000.15676350394</v>
      </c>
      <c r="AC118" s="849">
        <f t="shared" si="25"/>
        <v>194571.14688698022</v>
      </c>
      <c r="AD118" s="873">
        <f t="shared" si="37"/>
        <v>0</v>
      </c>
      <c r="AG118" s="882">
        <f t="shared" si="38"/>
        <v>7</v>
      </c>
      <c r="AH118" s="853">
        <f t="shared" si="39"/>
        <v>1913343.5062007003</v>
      </c>
      <c r="AI118" s="854">
        <f t="shared" si="40"/>
        <v>0</v>
      </c>
      <c r="AK118" s="872">
        <f>O118-'Internal Pricelist'!AK118</f>
        <v>-4613694.9625566807</v>
      </c>
      <c r="AL118" s="872">
        <f>P118-'Internal Pricelist'!BP118</f>
        <v>-1197116.5079404474</v>
      </c>
      <c r="AM118" s="872">
        <f>'Internal Pricelist'!BN118+'Internal Pricelist'!BO118</f>
        <v>2070462.393885182</v>
      </c>
      <c r="AN118" s="872">
        <f t="shared" si="41"/>
        <v>997597.08995037293</v>
      </c>
      <c r="AO118" s="872">
        <f>R118-'Internal Pricelist'!BQ118</f>
        <v>-12170684.497394545</v>
      </c>
      <c r="AS118" s="873">
        <f>'Internal Pricelist'!AK118-PriceLink_Fitted!O118</f>
        <v>4613694.9625566807</v>
      </c>
      <c r="AT118" s="873">
        <f>'Internal Pricelist'!BP118-PriceLink_Fitted!P118</f>
        <v>1197116.5079404474</v>
      </c>
      <c r="AU118" s="849">
        <f>'Internal Pricelist'!BN118+'Internal Pricelist'!BO118</f>
        <v>2070462.393885182</v>
      </c>
      <c r="AV118" s="873">
        <f>PriceLink_Fitted!Q118-PriceLink_Fitted!AU118</f>
        <v>-997597.08995037293</v>
      </c>
      <c r="AW118" s="873">
        <f>'Internal Pricelist'!BQ118-PriceLink_Fitted!R118</f>
        <v>12170684.497394545</v>
      </c>
    </row>
    <row r="119" spans="1:49" hidden="1" x14ac:dyDescent="0.2">
      <c r="A119" s="835">
        <f t="shared" si="26"/>
        <v>106</v>
      </c>
      <c r="B119" s="836" t="str">
        <f>'Internal Pricelist'!H112</f>
        <v>12A</v>
      </c>
      <c r="C119" s="836" t="str">
        <f>'Internal Pricelist'!C112</f>
        <v>Sold</v>
      </c>
      <c r="D119" s="836">
        <v>106</v>
      </c>
      <c r="E119" s="837" t="str">
        <f>'Internal Pricelist'!E112</f>
        <v>11th</v>
      </c>
      <c r="F119" s="838" t="str">
        <f>'Internal Pricelist'!F112</f>
        <v>12th</v>
      </c>
      <c r="G119" s="839" t="str">
        <f t="shared" si="27"/>
        <v>12A</v>
      </c>
      <c r="H119" s="839" t="str">
        <f>'Internal Pricelist'!I112</f>
        <v>3-BR</v>
      </c>
      <c r="I119" s="839">
        <f>'Internal Pricelist'!J112</f>
        <v>99.98</v>
      </c>
      <c r="J119" s="839">
        <f>'Internal Pricelist'!K112</f>
        <v>10.29</v>
      </c>
      <c r="K119" s="839">
        <f>'Internal Pricelist'!L112</f>
        <v>0</v>
      </c>
      <c r="L119" s="840">
        <f t="shared" si="24"/>
        <v>110.27000000000001</v>
      </c>
      <c r="M119" s="851" t="str">
        <f>'Internal Pricelist'!AA112</f>
        <v>CORNER</v>
      </c>
      <c r="N119" s="841"/>
      <c r="O119" s="842">
        <f>'Internal Pricelist'!BM112</f>
        <v>21461700.706172459</v>
      </c>
      <c r="P119" s="843">
        <f t="shared" si="28"/>
        <v>2575404.0847406951</v>
      </c>
      <c r="Q119" s="844">
        <f t="shared" si="29"/>
        <v>2146170.070617246</v>
      </c>
      <c r="R119" s="843">
        <f t="shared" si="30"/>
        <v>26183274.861530401</v>
      </c>
      <c r="S119" s="845">
        <f>'Internal Pricelist'!BS112</f>
        <v>0.15</v>
      </c>
      <c r="T119" s="844">
        <f t="shared" si="31"/>
        <v>3927491.2292295601</v>
      </c>
      <c r="U119" s="839">
        <f>'Internal Pricelist'!BU112</f>
        <v>50000</v>
      </c>
      <c r="V119" s="844">
        <f t="shared" si="32"/>
        <v>3877491.2292295601</v>
      </c>
      <c r="W119" s="846">
        <f>'Internal Pricelist'!BW112</f>
        <v>7</v>
      </c>
      <c r="X119" s="844">
        <f t="shared" si="33"/>
        <v>553927.31846136576</v>
      </c>
      <c r="Y119" s="847">
        <f t="shared" si="34"/>
        <v>0.85</v>
      </c>
      <c r="Z119" s="844">
        <f t="shared" si="35"/>
        <v>22255783.632300839</v>
      </c>
      <c r="AA119" s="844">
        <f t="shared" si="36"/>
        <v>200041.27518686707</v>
      </c>
      <c r="AC119" s="849">
        <f t="shared" si="25"/>
        <v>194628.64519971394</v>
      </c>
      <c r="AD119" s="873">
        <f t="shared" si="37"/>
        <v>0</v>
      </c>
      <c r="AG119" s="882">
        <f t="shared" si="38"/>
        <v>7</v>
      </c>
      <c r="AH119" s="853">
        <f t="shared" si="39"/>
        <v>3877491.2292295601</v>
      </c>
      <c r="AI119" s="854">
        <f t="shared" si="40"/>
        <v>0</v>
      </c>
      <c r="AK119" s="872">
        <f>O119-'Internal Pricelist'!AK119</f>
        <v>10880540.597296951</v>
      </c>
      <c r="AL119" s="872">
        <f>P119-'Internal Pricelist'!BP119</f>
        <v>861880.64597748476</v>
      </c>
      <c r="AM119" s="872">
        <f>'Internal Pricelist'!BN119+'Internal Pricelist'!BO119</f>
        <v>1427936.1989693418</v>
      </c>
      <c r="AN119" s="872">
        <f t="shared" si="41"/>
        <v>-718233.87164790416</v>
      </c>
      <c r="AO119" s="872">
        <f>R119-'Internal Pricelist'!BQ119</f>
        <v>8762453.2341044284</v>
      </c>
      <c r="AS119" s="873">
        <f>'Internal Pricelist'!AK119-PriceLink_Fitted!O119</f>
        <v>-10880540.597296951</v>
      </c>
      <c r="AT119" s="873">
        <f>'Internal Pricelist'!BP119-PriceLink_Fitted!P119</f>
        <v>-861880.64597748476</v>
      </c>
      <c r="AU119" s="849">
        <f>'Internal Pricelist'!BN119+'Internal Pricelist'!BO119</f>
        <v>1427936.1989693418</v>
      </c>
      <c r="AV119" s="873">
        <f>PriceLink_Fitted!Q119-PriceLink_Fitted!AU119</f>
        <v>718233.87164790416</v>
      </c>
      <c r="AW119" s="873">
        <f>'Internal Pricelist'!BQ119-PriceLink_Fitted!R119</f>
        <v>-8762453.2341044284</v>
      </c>
    </row>
    <row r="120" spans="1:49" hidden="1" x14ac:dyDescent="0.2">
      <c r="A120" s="835">
        <f t="shared" si="26"/>
        <v>107</v>
      </c>
      <c r="B120" s="836" t="str">
        <f>'Internal Pricelist'!H113</f>
        <v>12B</v>
      </c>
      <c r="C120" s="836" t="str">
        <f>'Internal Pricelist'!C113</f>
        <v>Sold</v>
      </c>
      <c r="D120" s="836">
        <v>107</v>
      </c>
      <c r="E120" s="837" t="str">
        <f>'Internal Pricelist'!E113</f>
        <v>11th</v>
      </c>
      <c r="F120" s="838" t="str">
        <f>'Internal Pricelist'!F113</f>
        <v>12th</v>
      </c>
      <c r="G120" s="839" t="str">
        <f t="shared" si="27"/>
        <v>12B</v>
      </c>
      <c r="H120" s="839" t="str">
        <f>'Internal Pricelist'!I113</f>
        <v>1-BR</v>
      </c>
      <c r="I120" s="839">
        <f>'Internal Pricelist'!J113</f>
        <v>52.86</v>
      </c>
      <c r="J120" s="839">
        <f>'Internal Pricelist'!K113</f>
        <v>5.09</v>
      </c>
      <c r="K120" s="839">
        <f>'Internal Pricelist'!L113</f>
        <v>0</v>
      </c>
      <c r="L120" s="840">
        <f t="shared" si="24"/>
        <v>57.95</v>
      </c>
      <c r="M120" s="851" t="str">
        <f>'Internal Pricelist'!AA113</f>
        <v>INNER</v>
      </c>
      <c r="N120" s="841"/>
      <c r="O120" s="842">
        <f>'Internal Pricelist'!BM113</f>
        <v>11140450.355134265</v>
      </c>
      <c r="P120" s="843">
        <f t="shared" si="28"/>
        <v>1336854.0426161119</v>
      </c>
      <c r="Q120" s="844">
        <f t="shared" si="29"/>
        <v>1114045.0355134266</v>
      </c>
      <c r="R120" s="843">
        <f t="shared" si="30"/>
        <v>13591349.433263805</v>
      </c>
      <c r="S120" s="845">
        <f>'Internal Pricelist'!BS113</f>
        <v>0.15</v>
      </c>
      <c r="T120" s="844">
        <f t="shared" si="31"/>
        <v>2038702.4149895706</v>
      </c>
      <c r="U120" s="839">
        <f>'Internal Pricelist'!BU113</f>
        <v>50000</v>
      </c>
      <c r="V120" s="844">
        <f t="shared" si="32"/>
        <v>1988702.4149895706</v>
      </c>
      <c r="W120" s="846">
        <f>'Internal Pricelist'!BW113</f>
        <v>7</v>
      </c>
      <c r="X120" s="844">
        <f t="shared" si="33"/>
        <v>284100.34499851009</v>
      </c>
      <c r="Y120" s="847">
        <f t="shared" si="34"/>
        <v>0.85</v>
      </c>
      <c r="Z120" s="844">
        <f t="shared" si="35"/>
        <v>11552647.018274235</v>
      </c>
      <c r="AA120" s="844">
        <f t="shared" si="36"/>
        <v>103838.45743203876</v>
      </c>
      <c r="AC120" s="849">
        <f t="shared" si="25"/>
        <v>192242.45651655333</v>
      </c>
      <c r="AD120" s="873">
        <f t="shared" si="37"/>
        <v>0</v>
      </c>
      <c r="AG120" s="882">
        <f t="shared" si="38"/>
        <v>7</v>
      </c>
      <c r="AH120" s="853">
        <f t="shared" si="39"/>
        <v>1988702.4149895706</v>
      </c>
      <c r="AI120" s="854">
        <f t="shared" si="40"/>
        <v>0</v>
      </c>
      <c r="AK120" s="872">
        <f>O120-'Internal Pricelist'!AK120</f>
        <v>534143.37422511913</v>
      </c>
      <c r="AL120" s="872">
        <f>P120-'Internal Pricelist'!BP120</f>
        <v>-380741.70525100036</v>
      </c>
      <c r="AM120" s="872">
        <f>'Internal Pricelist'!BN120+'Internal Pricelist'!BO120</f>
        <v>1431329.7898892602</v>
      </c>
      <c r="AN120" s="872">
        <f t="shared" si="41"/>
        <v>317284.75437583355</v>
      </c>
      <c r="AO120" s="872">
        <f>R120-'Internal Pricelist'!BQ120</f>
        <v>-3870874.0033851713</v>
      </c>
      <c r="AS120" s="873">
        <f>'Internal Pricelist'!AK120-PriceLink_Fitted!O120</f>
        <v>-534143.37422511913</v>
      </c>
      <c r="AT120" s="873">
        <f>'Internal Pricelist'!BP120-PriceLink_Fitted!P120</f>
        <v>380741.70525100036</v>
      </c>
      <c r="AU120" s="849">
        <f>'Internal Pricelist'!BN120+'Internal Pricelist'!BO120</f>
        <v>1431329.7898892602</v>
      </c>
      <c r="AV120" s="873">
        <f>PriceLink_Fitted!Q120-PriceLink_Fitted!AU120</f>
        <v>-317284.75437583355</v>
      </c>
      <c r="AW120" s="873">
        <f>'Internal Pricelist'!BQ120-PriceLink_Fitted!R120</f>
        <v>3870874.0033851713</v>
      </c>
    </row>
    <row r="121" spans="1:49" hidden="1" x14ac:dyDescent="0.2">
      <c r="A121" s="835">
        <f t="shared" si="26"/>
        <v>108</v>
      </c>
      <c r="B121" s="836" t="str">
        <f>'Internal Pricelist'!H114</f>
        <v>12C</v>
      </c>
      <c r="C121" s="836" t="str">
        <f>'Internal Pricelist'!C114</f>
        <v>Sold</v>
      </c>
      <c r="D121" s="836">
        <v>108</v>
      </c>
      <c r="E121" s="837" t="str">
        <f>'Internal Pricelist'!E114</f>
        <v>11th</v>
      </c>
      <c r="F121" s="838" t="str">
        <f>'Internal Pricelist'!F114</f>
        <v>12th</v>
      </c>
      <c r="G121" s="839" t="str">
        <f t="shared" si="27"/>
        <v>12C</v>
      </c>
      <c r="H121" s="839" t="str">
        <f>'Internal Pricelist'!I114</f>
        <v>2-BR</v>
      </c>
      <c r="I121" s="839">
        <f>'Internal Pricelist'!J114</f>
        <v>57.5</v>
      </c>
      <c r="J121" s="839">
        <f>'Internal Pricelist'!K114</f>
        <v>5.09</v>
      </c>
      <c r="K121" s="839">
        <f>'Internal Pricelist'!L114</f>
        <v>0</v>
      </c>
      <c r="L121" s="840">
        <f t="shared" si="24"/>
        <v>62.59</v>
      </c>
      <c r="M121" s="851" t="str">
        <f>'Internal Pricelist'!AA114</f>
        <v>INNER</v>
      </c>
      <c r="N121" s="841"/>
      <c r="O121" s="842">
        <f>'Internal Pricelist'!BM114</f>
        <v>12071875.149011347</v>
      </c>
      <c r="P121" s="843">
        <f t="shared" si="28"/>
        <v>1448625.0178813615</v>
      </c>
      <c r="Q121" s="844">
        <f t="shared" si="29"/>
        <v>1207187.5149011349</v>
      </c>
      <c r="R121" s="843">
        <f t="shared" si="30"/>
        <v>14727687.681793844</v>
      </c>
      <c r="S121" s="845">
        <f>'Internal Pricelist'!BS114</f>
        <v>0.15</v>
      </c>
      <c r="T121" s="844">
        <f t="shared" si="31"/>
        <v>2209153.1522690766</v>
      </c>
      <c r="U121" s="839">
        <f>'Internal Pricelist'!BU114</f>
        <v>50000</v>
      </c>
      <c r="V121" s="844">
        <f t="shared" si="32"/>
        <v>2159153.1522690766</v>
      </c>
      <c r="W121" s="846">
        <f>'Internal Pricelist'!BW114</f>
        <v>7</v>
      </c>
      <c r="X121" s="844">
        <f t="shared" si="33"/>
        <v>308450.45032415382</v>
      </c>
      <c r="Y121" s="847">
        <f t="shared" si="34"/>
        <v>0.85</v>
      </c>
      <c r="Z121" s="844">
        <f t="shared" si="35"/>
        <v>12518534.529524768</v>
      </c>
      <c r="AA121" s="844">
        <f t="shared" si="36"/>
        <v>112520.12744779147</v>
      </c>
      <c r="AC121" s="849">
        <f t="shared" si="25"/>
        <v>192872.26632067977</v>
      </c>
      <c r="AD121" s="873">
        <f t="shared" si="37"/>
        <v>0</v>
      </c>
      <c r="AG121" s="882">
        <f t="shared" si="38"/>
        <v>7</v>
      </c>
      <c r="AH121" s="853">
        <f t="shared" si="39"/>
        <v>2159153.1522690766</v>
      </c>
      <c r="AI121" s="854">
        <f t="shared" si="40"/>
        <v>0</v>
      </c>
      <c r="AK121" s="872">
        <f>O121-'Internal Pricelist'!AK121</f>
        <v>1465568.1681022011</v>
      </c>
      <c r="AL121" s="872">
        <f>P121-'Internal Pricelist'!BP121</f>
        <v>-268970.72998575075</v>
      </c>
      <c r="AM121" s="872">
        <f>'Internal Pricelist'!BN121+'Internal Pricelist'!BO121</f>
        <v>1431329.7898892602</v>
      </c>
      <c r="AN121" s="872">
        <f t="shared" si="41"/>
        <v>224142.27498812531</v>
      </c>
      <c r="AO121" s="872">
        <f>R121-'Internal Pricelist'!BQ121</f>
        <v>-2734535.7548551317</v>
      </c>
      <c r="AS121" s="873">
        <f>'Internal Pricelist'!AK121-PriceLink_Fitted!O121</f>
        <v>-1465568.1681022011</v>
      </c>
      <c r="AT121" s="873">
        <f>'Internal Pricelist'!BP121-PriceLink_Fitted!P121</f>
        <v>268970.72998575075</v>
      </c>
      <c r="AU121" s="849">
        <f>'Internal Pricelist'!BN121+'Internal Pricelist'!BO121</f>
        <v>1431329.7898892602</v>
      </c>
      <c r="AV121" s="873">
        <f>PriceLink_Fitted!Q121-PriceLink_Fitted!AU121</f>
        <v>-224142.27498812531</v>
      </c>
      <c r="AW121" s="873">
        <f>'Internal Pricelist'!BQ121-PriceLink_Fitted!R121</f>
        <v>2734535.7548551317</v>
      </c>
    </row>
    <row r="122" spans="1:49" x14ac:dyDescent="0.2">
      <c r="A122" s="835">
        <f t="shared" si="26"/>
        <v>109</v>
      </c>
      <c r="B122" s="836" t="str">
        <f>'Internal Pricelist'!H115</f>
        <v>12D</v>
      </c>
      <c r="C122" s="836" t="str">
        <f>'Internal Pricelist'!C115</f>
        <v>Unsold</v>
      </c>
      <c r="D122" s="836">
        <v>109</v>
      </c>
      <c r="E122" s="837" t="str">
        <f>'Internal Pricelist'!E115</f>
        <v>11th</v>
      </c>
      <c r="F122" s="838" t="str">
        <f>'Internal Pricelist'!F115</f>
        <v>12th</v>
      </c>
      <c r="G122" s="839" t="str">
        <f t="shared" si="27"/>
        <v>12D</v>
      </c>
      <c r="H122" s="839" t="str">
        <f>'Internal Pricelist'!I115</f>
        <v>2-BR</v>
      </c>
      <c r="I122" s="839">
        <f>'Internal Pricelist'!J115</f>
        <v>62.11</v>
      </c>
      <c r="J122" s="839">
        <f>'Internal Pricelist'!K115</f>
        <v>5.19</v>
      </c>
      <c r="K122" s="839">
        <f>'Internal Pricelist'!L115</f>
        <v>0</v>
      </c>
      <c r="L122" s="840">
        <f t="shared" si="24"/>
        <v>67.3</v>
      </c>
      <c r="M122" s="851" t="str">
        <f>'Internal Pricelist'!AA115</f>
        <v>INNER</v>
      </c>
      <c r="N122" s="841"/>
      <c r="O122" s="842">
        <f>'Internal Pricelist'!BM115</f>
        <v>13007679.259090036</v>
      </c>
      <c r="P122" s="843">
        <f t="shared" si="28"/>
        <v>1560921.5110908044</v>
      </c>
      <c r="Q122" s="844">
        <f t="shared" si="29"/>
        <v>1300767.9259090037</v>
      </c>
      <c r="R122" s="843">
        <f t="shared" si="30"/>
        <v>15869368.696089843</v>
      </c>
      <c r="S122" s="845">
        <f>'Internal Pricelist'!BS115</f>
        <v>0.15</v>
      </c>
      <c r="T122" s="844">
        <f t="shared" si="31"/>
        <v>2380405.3044134765</v>
      </c>
      <c r="U122" s="839">
        <f>'Internal Pricelist'!BU115</f>
        <v>50000</v>
      </c>
      <c r="V122" s="844">
        <f t="shared" si="32"/>
        <v>2330405.3044134765</v>
      </c>
      <c r="W122" s="846">
        <f>'Internal Pricelist'!BW115</f>
        <v>7</v>
      </c>
      <c r="X122" s="844">
        <f t="shared" si="33"/>
        <v>332915.04348763952</v>
      </c>
      <c r="Y122" s="847">
        <f t="shared" si="34"/>
        <v>0.85</v>
      </c>
      <c r="Z122" s="844">
        <f t="shared" si="35"/>
        <v>13488963.391676366</v>
      </c>
      <c r="AA122" s="844">
        <f t="shared" si="36"/>
        <v>121242.61640932156</v>
      </c>
      <c r="AC122" s="849">
        <f t="shared" si="25"/>
        <v>193279.03802511198</v>
      </c>
      <c r="AD122" s="873">
        <f t="shared" si="37"/>
        <v>0</v>
      </c>
      <c r="AG122" s="882">
        <f t="shared" si="38"/>
        <v>7</v>
      </c>
      <c r="AH122" s="853">
        <f t="shared" si="39"/>
        <v>2330405.3044134765</v>
      </c>
      <c r="AI122" s="854">
        <f t="shared" si="40"/>
        <v>0</v>
      </c>
      <c r="AK122" s="872">
        <f>O122-'Internal Pricelist'!AK122</f>
        <v>2401372.2781808898</v>
      </c>
      <c r="AL122" s="872">
        <f>P122-'Internal Pricelist'!BP122</f>
        <v>-156674.23677630792</v>
      </c>
      <c r="AM122" s="872">
        <f>'Internal Pricelist'!BN122+'Internal Pricelist'!BO122</f>
        <v>1431329.7898892602</v>
      </c>
      <c r="AN122" s="872">
        <f t="shared" si="41"/>
        <v>130561.86398025649</v>
      </c>
      <c r="AO122" s="872">
        <f>R122-'Internal Pricelist'!BQ122</f>
        <v>-1592854.7405591328</v>
      </c>
      <c r="AS122" s="873">
        <f>'Internal Pricelist'!AK122-PriceLink_Fitted!O122</f>
        <v>-2401372.2781808898</v>
      </c>
      <c r="AT122" s="873">
        <f>'Internal Pricelist'!BP122-PriceLink_Fitted!P122</f>
        <v>156674.23677630792</v>
      </c>
      <c r="AU122" s="849">
        <f>'Internal Pricelist'!BN122+'Internal Pricelist'!BO122</f>
        <v>1431329.7898892602</v>
      </c>
      <c r="AV122" s="873">
        <f>PriceLink_Fitted!Q122-PriceLink_Fitted!AU122</f>
        <v>-130561.86398025649</v>
      </c>
      <c r="AW122" s="873">
        <f>'Internal Pricelist'!BQ122-PriceLink_Fitted!R122</f>
        <v>1592854.7405591328</v>
      </c>
    </row>
    <row r="123" spans="1:49" hidden="1" x14ac:dyDescent="0.2">
      <c r="A123" s="835">
        <f t="shared" si="26"/>
        <v>110</v>
      </c>
      <c r="B123" s="836" t="str">
        <f>'Internal Pricelist'!H116</f>
        <v>12E</v>
      </c>
      <c r="C123" s="836" t="str">
        <f>'Internal Pricelist'!C116</f>
        <v>Sold</v>
      </c>
      <c r="D123" s="836">
        <v>110</v>
      </c>
      <c r="E123" s="837" t="str">
        <f>'Internal Pricelist'!E116</f>
        <v>11th</v>
      </c>
      <c r="F123" s="838" t="str">
        <f>'Internal Pricelist'!F116</f>
        <v>12th</v>
      </c>
      <c r="G123" s="839" t="str">
        <f t="shared" si="27"/>
        <v>12E</v>
      </c>
      <c r="H123" s="839" t="str">
        <f>'Internal Pricelist'!I116</f>
        <v>2-BR</v>
      </c>
      <c r="I123" s="839">
        <f>'Internal Pricelist'!J116</f>
        <v>80.900000000000006</v>
      </c>
      <c r="J123" s="839">
        <f>'Internal Pricelist'!K116</f>
        <v>15.65</v>
      </c>
      <c r="K123" s="839">
        <f>'Internal Pricelist'!L116</f>
        <v>0</v>
      </c>
      <c r="L123" s="840">
        <f t="shared" si="24"/>
        <v>96.550000000000011</v>
      </c>
      <c r="M123" s="851" t="str">
        <f>'Internal Pricelist'!AA116</f>
        <v>CORNER</v>
      </c>
      <c r="N123" s="841"/>
      <c r="O123" s="842">
        <f>'Internal Pricelist'!BM116</f>
        <v>18149122.469690915</v>
      </c>
      <c r="P123" s="843">
        <f t="shared" si="28"/>
        <v>2177894.6963629099</v>
      </c>
      <c r="Q123" s="844">
        <f t="shared" si="29"/>
        <v>1814912.2469690917</v>
      </c>
      <c r="R123" s="843">
        <f t="shared" si="30"/>
        <v>22141929.413022917</v>
      </c>
      <c r="S123" s="845">
        <f>'Internal Pricelist'!BS116</f>
        <v>0.15</v>
      </c>
      <c r="T123" s="844">
        <f t="shared" si="31"/>
        <v>3321289.4119534376</v>
      </c>
      <c r="U123" s="839">
        <f>'Internal Pricelist'!BU116</f>
        <v>50000</v>
      </c>
      <c r="V123" s="844">
        <f t="shared" si="32"/>
        <v>3271289.4119534376</v>
      </c>
      <c r="W123" s="846">
        <f>'Internal Pricelist'!BW116</f>
        <v>7</v>
      </c>
      <c r="X123" s="844">
        <f t="shared" si="33"/>
        <v>467327.05885049107</v>
      </c>
      <c r="Y123" s="847">
        <f t="shared" si="34"/>
        <v>0.85</v>
      </c>
      <c r="Z123" s="844">
        <f t="shared" si="35"/>
        <v>18820640.001069479</v>
      </c>
      <c r="AA123" s="844">
        <f t="shared" si="36"/>
        <v>169165.23308497298</v>
      </c>
      <c r="AC123" s="849">
        <f t="shared" si="25"/>
        <v>187976.41087199288</v>
      </c>
      <c r="AD123" s="873">
        <f t="shared" si="37"/>
        <v>0</v>
      </c>
      <c r="AG123" s="882">
        <f t="shared" si="38"/>
        <v>7</v>
      </c>
      <c r="AH123" s="853">
        <f t="shared" si="39"/>
        <v>3271289.4119534376</v>
      </c>
      <c r="AI123" s="854">
        <f t="shared" si="40"/>
        <v>0</v>
      </c>
      <c r="AK123" s="872">
        <f>O123-'Internal Pricelist'!AK123</f>
        <v>4572216.4528193418</v>
      </c>
      <c r="AL123" s="872">
        <f>P123-'Internal Pricelist'!BP123</f>
        <v>-20762.770910503343</v>
      </c>
      <c r="AM123" s="872">
        <f>'Internal Pricelist'!BN123+'Internal Pricelist'!BO123</f>
        <v>1832214.5560611775</v>
      </c>
      <c r="AN123" s="872">
        <f t="shared" si="41"/>
        <v>17302.309092085809</v>
      </c>
      <c r="AO123" s="872">
        <f>R123-'Internal Pricelist'!BQ123</f>
        <v>-211088.17092345282</v>
      </c>
      <c r="AS123" s="873">
        <f>'Internal Pricelist'!AK123-PriceLink_Fitted!O123</f>
        <v>-4572216.4528193418</v>
      </c>
      <c r="AT123" s="873">
        <f>'Internal Pricelist'!BP123-PriceLink_Fitted!P123</f>
        <v>20762.770910503343</v>
      </c>
      <c r="AU123" s="849">
        <f>'Internal Pricelist'!BN123+'Internal Pricelist'!BO123</f>
        <v>1832214.5560611775</v>
      </c>
      <c r="AV123" s="873">
        <f>PriceLink_Fitted!Q123-PriceLink_Fitted!AU123</f>
        <v>-17302.309092085809</v>
      </c>
      <c r="AW123" s="873">
        <f>'Internal Pricelist'!BQ123-PriceLink_Fitted!R123</f>
        <v>211088.17092345282</v>
      </c>
    </row>
    <row r="124" spans="1:49" hidden="1" x14ac:dyDescent="0.2">
      <c r="A124" s="835">
        <f t="shared" si="26"/>
        <v>111</v>
      </c>
      <c r="B124" s="836" t="str">
        <f>'Internal Pricelist'!H117</f>
        <v>12F</v>
      </c>
      <c r="C124" s="836" t="str">
        <f>'Internal Pricelist'!C117</f>
        <v>Sold</v>
      </c>
      <c r="D124" s="836">
        <v>111</v>
      </c>
      <c r="E124" s="837" t="str">
        <f>'Internal Pricelist'!E117</f>
        <v>11th</v>
      </c>
      <c r="F124" s="838" t="str">
        <f>'Internal Pricelist'!F117</f>
        <v>12th</v>
      </c>
      <c r="G124" s="839" t="str">
        <f t="shared" si="27"/>
        <v>12F</v>
      </c>
      <c r="H124" s="839" t="str">
        <f>'Internal Pricelist'!I117</f>
        <v>2-BR</v>
      </c>
      <c r="I124" s="839">
        <f>'Internal Pricelist'!J117</f>
        <v>61.56</v>
      </c>
      <c r="J124" s="839">
        <f>'Internal Pricelist'!K117</f>
        <v>4.0999999999999996</v>
      </c>
      <c r="K124" s="839">
        <f>'Internal Pricelist'!L117</f>
        <v>0</v>
      </c>
      <c r="L124" s="840">
        <f t="shared" si="24"/>
        <v>65.66</v>
      </c>
      <c r="M124" s="851" t="str">
        <f>'Internal Pricelist'!AA117</f>
        <v>INNER</v>
      </c>
      <c r="N124" s="841"/>
      <c r="O124" s="842">
        <f>'Internal Pricelist'!BM117</f>
        <v>12688150.892597862</v>
      </c>
      <c r="P124" s="843">
        <f t="shared" si="28"/>
        <v>1522578.1071117434</v>
      </c>
      <c r="Q124" s="844">
        <f t="shared" si="29"/>
        <v>1268815.0892597863</v>
      </c>
      <c r="R124" s="843">
        <f t="shared" si="30"/>
        <v>15479544.088969391</v>
      </c>
      <c r="S124" s="845">
        <f>'Internal Pricelist'!BS117</f>
        <v>0.15</v>
      </c>
      <c r="T124" s="844">
        <f t="shared" si="31"/>
        <v>2321931.6133454083</v>
      </c>
      <c r="U124" s="839">
        <f>'Internal Pricelist'!BU117</f>
        <v>50000</v>
      </c>
      <c r="V124" s="844">
        <f t="shared" si="32"/>
        <v>2271931.6133454083</v>
      </c>
      <c r="W124" s="846">
        <f>'Internal Pricelist'!BW117</f>
        <v>7</v>
      </c>
      <c r="X124" s="844">
        <f t="shared" si="33"/>
        <v>324561.65904934407</v>
      </c>
      <c r="Y124" s="847">
        <f t="shared" si="34"/>
        <v>0.85</v>
      </c>
      <c r="Z124" s="844">
        <f t="shared" si="35"/>
        <v>13157612.475623982</v>
      </c>
      <c r="AA124" s="844">
        <f t="shared" si="36"/>
        <v>118264.34070011423</v>
      </c>
      <c r="AC124" s="849">
        <f t="shared" si="25"/>
        <v>193240.19026192298</v>
      </c>
      <c r="AD124" s="873">
        <f t="shared" si="37"/>
        <v>0</v>
      </c>
      <c r="AG124" s="882">
        <f t="shared" si="38"/>
        <v>7</v>
      </c>
      <c r="AH124" s="853">
        <f t="shared" si="39"/>
        <v>2271931.6133454083</v>
      </c>
      <c r="AI124" s="854">
        <f t="shared" si="40"/>
        <v>0</v>
      </c>
      <c r="AK124" s="872">
        <f>O124-'Internal Pricelist'!AK124</f>
        <v>4708313.2521222951</v>
      </c>
      <c r="AL124" s="872">
        <f>P124-'Internal Pricelist'!BP124</f>
        <v>230315.37847102364</v>
      </c>
      <c r="AM124" s="872">
        <f>'Internal Pricelist'!BN124+'Internal Pricelist'!BO124</f>
        <v>1076885.6072005997</v>
      </c>
      <c r="AN124" s="872">
        <f t="shared" si="41"/>
        <v>-191929.48205918656</v>
      </c>
      <c r="AO124" s="872">
        <f>R124-'Internal Pricelist'!BQ124</f>
        <v>2341539.681122072</v>
      </c>
      <c r="AS124" s="873">
        <f>'Internal Pricelist'!AK124-PriceLink_Fitted!O124</f>
        <v>-4708313.2521222951</v>
      </c>
      <c r="AT124" s="873">
        <f>'Internal Pricelist'!BP124-PriceLink_Fitted!P124</f>
        <v>-230315.37847102364</v>
      </c>
      <c r="AU124" s="849">
        <f>'Internal Pricelist'!BN124+'Internal Pricelist'!BO124</f>
        <v>1076885.6072005997</v>
      </c>
      <c r="AV124" s="873">
        <f>PriceLink_Fitted!Q124-PriceLink_Fitted!AU124</f>
        <v>191929.48205918656</v>
      </c>
      <c r="AW124" s="873">
        <f>'Internal Pricelist'!BQ124-PriceLink_Fitted!R124</f>
        <v>-2341539.681122072</v>
      </c>
    </row>
    <row r="125" spans="1:49" hidden="1" x14ac:dyDescent="0.2">
      <c r="A125" s="835">
        <f t="shared" si="26"/>
        <v>112</v>
      </c>
      <c r="B125" s="836" t="str">
        <f>'Internal Pricelist'!H118</f>
        <v>12G</v>
      </c>
      <c r="C125" s="836" t="str">
        <f>'Internal Pricelist'!C118</f>
        <v>Sold</v>
      </c>
      <c r="D125" s="836">
        <v>112</v>
      </c>
      <c r="E125" s="837" t="str">
        <f>'Internal Pricelist'!E118</f>
        <v>11th</v>
      </c>
      <c r="F125" s="838" t="str">
        <f>'Internal Pricelist'!F118</f>
        <v>12th</v>
      </c>
      <c r="G125" s="839" t="str">
        <f t="shared" si="27"/>
        <v>12G</v>
      </c>
      <c r="H125" s="839" t="str">
        <f>'Internal Pricelist'!I118</f>
        <v>2-BR</v>
      </c>
      <c r="I125" s="839">
        <f>'Internal Pricelist'!J118</f>
        <v>95.44</v>
      </c>
      <c r="J125" s="839">
        <f>'Internal Pricelist'!K118</f>
        <v>13.34</v>
      </c>
      <c r="K125" s="839">
        <f>'Internal Pricelist'!L118</f>
        <v>0</v>
      </c>
      <c r="L125" s="840">
        <f t="shared" si="24"/>
        <v>108.78</v>
      </c>
      <c r="M125" s="851" t="str">
        <f>'Internal Pricelist'!AA118</f>
        <v>CORNER</v>
      </c>
      <c r="N125" s="841"/>
      <c r="O125" s="842">
        <f>'Internal Pricelist'!BM118</f>
        <v>20704623.938851818</v>
      </c>
      <c r="P125" s="843">
        <f t="shared" si="28"/>
        <v>2484554.8726622183</v>
      </c>
      <c r="Q125" s="844">
        <f t="shared" si="29"/>
        <v>2070462.393885182</v>
      </c>
      <c r="R125" s="843">
        <f t="shared" si="30"/>
        <v>25259641.205399215</v>
      </c>
      <c r="S125" s="845">
        <f>'Internal Pricelist'!BS118</f>
        <v>0.15</v>
      </c>
      <c r="T125" s="844">
        <f t="shared" si="31"/>
        <v>3788946.180809882</v>
      </c>
      <c r="U125" s="839">
        <f>'Internal Pricelist'!BU118</f>
        <v>50000</v>
      </c>
      <c r="V125" s="844">
        <f t="shared" si="32"/>
        <v>3738946.180809882</v>
      </c>
      <c r="W125" s="846">
        <f>'Internal Pricelist'!BW118</f>
        <v>7</v>
      </c>
      <c r="X125" s="844">
        <f t="shared" si="33"/>
        <v>534135.16868712602</v>
      </c>
      <c r="Y125" s="847">
        <f t="shared" si="34"/>
        <v>0.85</v>
      </c>
      <c r="Z125" s="844">
        <f t="shared" si="35"/>
        <v>21470695.024589334</v>
      </c>
      <c r="AA125" s="844">
        <f t="shared" si="36"/>
        <v>192984.67682951436</v>
      </c>
      <c r="AC125" s="849">
        <f t="shared" si="25"/>
        <v>190334.84040128533</v>
      </c>
      <c r="AD125" s="873">
        <f t="shared" si="37"/>
        <v>0</v>
      </c>
      <c r="AG125" s="882">
        <f t="shared" si="38"/>
        <v>7</v>
      </c>
      <c r="AH125" s="853">
        <f t="shared" si="39"/>
        <v>3738946.180809882</v>
      </c>
      <c r="AI125" s="854">
        <f t="shared" si="40"/>
        <v>0</v>
      </c>
      <c r="AK125" s="872">
        <f>O125-'Internal Pricelist'!AK125</f>
        <v>4741697.5946626738</v>
      </c>
      <c r="AL125" s="872">
        <f>P125-'Internal Pricelist'!BP125</f>
        <v>-100497.06498639332</v>
      </c>
      <c r="AM125" s="872">
        <f>'Internal Pricelist'!BN125+'Internal Pricelist'!BO125</f>
        <v>2154209.9480405096</v>
      </c>
      <c r="AN125" s="872">
        <f t="shared" si="41"/>
        <v>83747.554155327613</v>
      </c>
      <c r="AO125" s="872">
        <f>R125-'Internal Pricelist'!BQ125</f>
        <v>-1021720.1606950052</v>
      </c>
      <c r="AS125" s="873">
        <f>'Internal Pricelist'!AK125-PriceLink_Fitted!O125</f>
        <v>-4741697.5946626738</v>
      </c>
      <c r="AT125" s="873">
        <f>'Internal Pricelist'!BP125-PriceLink_Fitted!P125</f>
        <v>100497.06498639332</v>
      </c>
      <c r="AU125" s="849">
        <f>'Internal Pricelist'!BN125+'Internal Pricelist'!BO125</f>
        <v>2154209.9480405096</v>
      </c>
      <c r="AV125" s="873">
        <f>PriceLink_Fitted!Q125-PriceLink_Fitted!AU125</f>
        <v>-83747.554155327613</v>
      </c>
      <c r="AW125" s="873">
        <f>'Internal Pricelist'!BQ125-PriceLink_Fitted!R125</f>
        <v>1021720.1606950052</v>
      </c>
    </row>
    <row r="126" spans="1:49" hidden="1" x14ac:dyDescent="0.2">
      <c r="A126" s="835">
        <f t="shared" si="26"/>
        <v>113</v>
      </c>
      <c r="B126" s="836" t="str">
        <f>'Internal Pricelist'!H119</f>
        <v>12H</v>
      </c>
      <c r="C126" s="836" t="s">
        <v>558</v>
      </c>
      <c r="D126" s="836">
        <v>113</v>
      </c>
      <c r="E126" s="837" t="str">
        <f>'Internal Pricelist'!E119</f>
        <v>11th</v>
      </c>
      <c r="F126" s="838" t="str">
        <f>'Internal Pricelist'!F119</f>
        <v>12th</v>
      </c>
      <c r="G126" s="839" t="str">
        <f t="shared" si="27"/>
        <v>12H</v>
      </c>
      <c r="H126" s="839" t="str">
        <f>'Internal Pricelist'!I119</f>
        <v>2-BR</v>
      </c>
      <c r="I126" s="839">
        <f>'Internal Pricelist'!J119</f>
        <v>69.2</v>
      </c>
      <c r="J126" s="839">
        <f>'Internal Pricelist'!K119</f>
        <v>4.7699999999999996</v>
      </c>
      <c r="K126" s="839">
        <f>'Internal Pricelist'!L119</f>
        <v>0</v>
      </c>
      <c r="L126" s="840">
        <f t="shared" si="24"/>
        <v>73.97</v>
      </c>
      <c r="M126" s="851" t="str">
        <f>'Internal Pricelist'!AA119</f>
        <v>INNER</v>
      </c>
      <c r="N126" s="841"/>
      <c r="O126" s="842">
        <f>'Internal Pricelist'!BM119</f>
        <v>14279361.98969342</v>
      </c>
      <c r="P126" s="843">
        <f t="shared" si="28"/>
        <v>1713523.4387632103</v>
      </c>
      <c r="Q126" s="844">
        <f t="shared" si="29"/>
        <v>1427936.198969342</v>
      </c>
      <c r="R126" s="843">
        <f t="shared" si="30"/>
        <v>17420821.627425972</v>
      </c>
      <c r="S126" s="845">
        <f>'Internal Pricelist'!BS119</f>
        <v>0.15</v>
      </c>
      <c r="T126" s="844">
        <f t="shared" si="31"/>
        <v>2613123.2441138956</v>
      </c>
      <c r="U126" s="839">
        <f>'Internal Pricelist'!BU119</f>
        <v>50000</v>
      </c>
      <c r="V126" s="844">
        <f t="shared" si="32"/>
        <v>2563123.2441138956</v>
      </c>
      <c r="W126" s="846">
        <f>'Internal Pricelist'!BW119</f>
        <v>7</v>
      </c>
      <c r="X126" s="844">
        <f t="shared" si="33"/>
        <v>366160.4634448422</v>
      </c>
      <c r="Y126" s="847">
        <f t="shared" si="34"/>
        <v>0.85</v>
      </c>
      <c r="Z126" s="844">
        <f t="shared" si="35"/>
        <v>14807698.383312076</v>
      </c>
      <c r="AA126" s="844">
        <f t="shared" si="36"/>
        <v>133095.77933176671</v>
      </c>
      <c r="AC126" s="849">
        <f t="shared" si="25"/>
        <v>193042.61173034229</v>
      </c>
      <c r="AD126" s="873">
        <f t="shared" si="37"/>
        <v>0</v>
      </c>
      <c r="AG126" s="882">
        <f t="shared" si="38"/>
        <v>7</v>
      </c>
      <c r="AH126" s="853">
        <f t="shared" si="39"/>
        <v>2563123.2441138956</v>
      </c>
      <c r="AI126" s="854">
        <f t="shared" si="40"/>
        <v>0</v>
      </c>
      <c r="AK126" s="872">
        <f>O126-'Internal Pricelist'!AK126</f>
        <v>5992859.9509626497</v>
      </c>
      <c r="AL126" s="872">
        <f>P126-'Internal Pricelist'!BP126</f>
        <v>371599.17690329952</v>
      </c>
      <c r="AM126" s="872">
        <f>'Internal Pricelist'!BN126+'Internal Pricelist'!BO126</f>
        <v>1118270.2182165924</v>
      </c>
      <c r="AN126" s="872">
        <f t="shared" si="41"/>
        <v>-309665.9807527496</v>
      </c>
      <c r="AO126" s="872">
        <f>R126-'Internal Pricelist'!BQ126</f>
        <v>3777924.9651835449</v>
      </c>
      <c r="AS126" s="873">
        <f>'Internal Pricelist'!AK126-PriceLink_Fitted!O126</f>
        <v>-5992859.9509626497</v>
      </c>
      <c r="AT126" s="873">
        <f>'Internal Pricelist'!BP126-PriceLink_Fitted!P126</f>
        <v>-371599.17690329952</v>
      </c>
      <c r="AU126" s="849">
        <f>'Internal Pricelist'!BN126+'Internal Pricelist'!BO126</f>
        <v>1118270.2182165924</v>
      </c>
      <c r="AV126" s="873">
        <f>PriceLink_Fitted!Q126-PriceLink_Fitted!AU126</f>
        <v>309665.9807527496</v>
      </c>
      <c r="AW126" s="873">
        <f>'Internal Pricelist'!BQ126-PriceLink_Fitted!R126</f>
        <v>-3777924.9651835449</v>
      </c>
    </row>
    <row r="127" spans="1:49" hidden="1" x14ac:dyDescent="0.2">
      <c r="A127" s="835">
        <f t="shared" si="26"/>
        <v>114</v>
      </c>
      <c r="B127" s="836" t="str">
        <f>'Internal Pricelist'!H120</f>
        <v>12I</v>
      </c>
      <c r="C127" s="836" t="s">
        <v>558</v>
      </c>
      <c r="D127" s="836">
        <v>114</v>
      </c>
      <c r="E127" s="837" t="str">
        <f>'Internal Pricelist'!E120</f>
        <v>11th</v>
      </c>
      <c r="F127" s="838" t="str">
        <f>'Internal Pricelist'!F120</f>
        <v>12th</v>
      </c>
      <c r="G127" s="839" t="str">
        <f t="shared" si="27"/>
        <v>12I</v>
      </c>
      <c r="H127" s="839" t="str">
        <f>'Internal Pricelist'!I120</f>
        <v>2-BR</v>
      </c>
      <c r="I127" s="839">
        <f>'Internal Pricelist'!J120</f>
        <v>69.36</v>
      </c>
      <c r="J127" s="839">
        <f>'Internal Pricelist'!K120</f>
        <v>4.79</v>
      </c>
      <c r="K127" s="839">
        <f>'Internal Pricelist'!L120</f>
        <v>0</v>
      </c>
      <c r="L127" s="840">
        <f t="shared" si="24"/>
        <v>74.150000000000006</v>
      </c>
      <c r="M127" s="851" t="str">
        <f>'Internal Pricelist'!AA120</f>
        <v>INNER</v>
      </c>
      <c r="N127" s="841"/>
      <c r="O127" s="842">
        <f>'Internal Pricelist'!BM120</f>
        <v>14313297.898892604</v>
      </c>
      <c r="P127" s="843">
        <f t="shared" si="28"/>
        <v>1717595.7478671123</v>
      </c>
      <c r="Q127" s="844">
        <f t="shared" si="29"/>
        <v>1431329.7898892604</v>
      </c>
      <c r="R127" s="843">
        <f t="shared" si="30"/>
        <v>17462223.436648976</v>
      </c>
      <c r="S127" s="845">
        <f>'Internal Pricelist'!BS120</f>
        <v>0.15</v>
      </c>
      <c r="T127" s="844">
        <f t="shared" si="31"/>
        <v>2619333.5154973464</v>
      </c>
      <c r="U127" s="839">
        <f>'Internal Pricelist'!BU120</f>
        <v>50000</v>
      </c>
      <c r="V127" s="844">
        <f t="shared" si="32"/>
        <v>2569333.5154973464</v>
      </c>
      <c r="W127" s="846">
        <f>'Internal Pricelist'!BW120</f>
        <v>7</v>
      </c>
      <c r="X127" s="844">
        <f t="shared" si="33"/>
        <v>367047.64507104951</v>
      </c>
      <c r="Y127" s="847">
        <f t="shared" si="34"/>
        <v>0.85</v>
      </c>
      <c r="Z127" s="844">
        <f t="shared" si="35"/>
        <v>14842889.921151629</v>
      </c>
      <c r="AA127" s="844">
        <f t="shared" si="36"/>
        <v>133412.09082281633</v>
      </c>
      <c r="AC127" s="849">
        <f t="shared" si="25"/>
        <v>193031.6641792664</v>
      </c>
      <c r="AD127" s="873">
        <f t="shared" si="37"/>
        <v>0</v>
      </c>
      <c r="AG127" s="882">
        <f t="shared" si="38"/>
        <v>7</v>
      </c>
      <c r="AH127" s="853">
        <f t="shared" si="39"/>
        <v>2569333.5154973464</v>
      </c>
      <c r="AI127" s="854">
        <f t="shared" si="40"/>
        <v>0</v>
      </c>
      <c r="AK127" s="872">
        <f>O127-'Internal Pricelist'!AK127</f>
        <v>5334093.2304845601</v>
      </c>
      <c r="AL127" s="872">
        <f>P127-'Internal Pricelist'!BP127</f>
        <v>263494.54323045444</v>
      </c>
      <c r="AM127" s="872">
        <f>'Internal Pricelist'!BN127+'Internal Pricelist'!BO127</f>
        <v>1211751.0038638816</v>
      </c>
      <c r="AN127" s="872">
        <f t="shared" si="41"/>
        <v>-219578.78602537885</v>
      </c>
      <c r="AO127" s="872">
        <f>R127-'Internal Pricelist'!BQ127</f>
        <v>2678861.1895096228</v>
      </c>
      <c r="AS127" s="873">
        <f>'Internal Pricelist'!AK127-PriceLink_Fitted!O127</f>
        <v>-5334093.2304845601</v>
      </c>
      <c r="AT127" s="873">
        <f>'Internal Pricelist'!BP127-PriceLink_Fitted!P127</f>
        <v>-263494.54323045444</v>
      </c>
      <c r="AU127" s="849">
        <f>'Internal Pricelist'!BN127+'Internal Pricelist'!BO127</f>
        <v>1211751.0038638816</v>
      </c>
      <c r="AV127" s="873">
        <f>PriceLink_Fitted!Q127-PriceLink_Fitted!AU127</f>
        <v>219578.78602537885</v>
      </c>
      <c r="AW127" s="873">
        <f>'Internal Pricelist'!BQ127-PriceLink_Fitted!R127</f>
        <v>-2678861.1895096228</v>
      </c>
    </row>
    <row r="128" spans="1:49" x14ac:dyDescent="0.2">
      <c r="A128" s="835">
        <f t="shared" si="26"/>
        <v>115</v>
      </c>
      <c r="B128" s="836" t="str">
        <f>'Internal Pricelist'!H121</f>
        <v>12J</v>
      </c>
      <c r="C128" s="836" t="str">
        <f>'Internal Pricelist'!C121</f>
        <v>Unsold</v>
      </c>
      <c r="D128" s="836">
        <v>115</v>
      </c>
      <c r="E128" s="837" t="str">
        <f>'Internal Pricelist'!E121</f>
        <v>11th</v>
      </c>
      <c r="F128" s="838" t="str">
        <f>'Internal Pricelist'!F121</f>
        <v>12th</v>
      </c>
      <c r="G128" s="839" t="str">
        <f t="shared" si="27"/>
        <v>12J</v>
      </c>
      <c r="H128" s="839" t="str">
        <f>'Internal Pricelist'!I121</f>
        <v>1-BR</v>
      </c>
      <c r="I128" s="839">
        <f>'Internal Pricelist'!J121</f>
        <v>69.36</v>
      </c>
      <c r="J128" s="839">
        <f>'Internal Pricelist'!K121</f>
        <v>4.79</v>
      </c>
      <c r="K128" s="839">
        <f>'Internal Pricelist'!L121</f>
        <v>0</v>
      </c>
      <c r="L128" s="840">
        <f t="shared" si="24"/>
        <v>74.150000000000006</v>
      </c>
      <c r="M128" s="851" t="str">
        <f>'Internal Pricelist'!AA121</f>
        <v>INNER</v>
      </c>
      <c r="N128" s="841"/>
      <c r="O128" s="842">
        <f>'Internal Pricelist'!BM121</f>
        <v>14313297.898892604</v>
      </c>
      <c r="P128" s="843">
        <f t="shared" si="28"/>
        <v>1717595.7478671123</v>
      </c>
      <c r="Q128" s="844">
        <f t="shared" si="29"/>
        <v>1431329.7898892604</v>
      </c>
      <c r="R128" s="843">
        <f t="shared" si="30"/>
        <v>17462223.436648976</v>
      </c>
      <c r="S128" s="845">
        <f>'Internal Pricelist'!BS121</f>
        <v>0.15</v>
      </c>
      <c r="T128" s="844">
        <f t="shared" si="31"/>
        <v>2619333.5154973464</v>
      </c>
      <c r="U128" s="839">
        <f>'Internal Pricelist'!BU121</f>
        <v>50000</v>
      </c>
      <c r="V128" s="844">
        <f t="shared" si="32"/>
        <v>2569333.5154973464</v>
      </c>
      <c r="W128" s="846">
        <f>'Internal Pricelist'!BW121</f>
        <v>7</v>
      </c>
      <c r="X128" s="844">
        <f t="shared" si="33"/>
        <v>367047.64507104951</v>
      </c>
      <c r="Y128" s="847">
        <f t="shared" si="34"/>
        <v>0.85</v>
      </c>
      <c r="Z128" s="844">
        <f t="shared" si="35"/>
        <v>14842889.921151629</v>
      </c>
      <c r="AA128" s="844">
        <f t="shared" si="36"/>
        <v>133412.09082281633</v>
      </c>
      <c r="AC128" s="849">
        <f t="shared" si="25"/>
        <v>193031.6641792664</v>
      </c>
      <c r="AD128" s="873">
        <f t="shared" si="37"/>
        <v>0</v>
      </c>
      <c r="AG128" s="882">
        <f t="shared" si="38"/>
        <v>7</v>
      </c>
      <c r="AH128" s="853">
        <f t="shared" si="39"/>
        <v>2569333.5154973464</v>
      </c>
      <c r="AI128" s="854">
        <f t="shared" si="40"/>
        <v>0</v>
      </c>
      <c r="AK128" s="872">
        <f>O128-'Internal Pricelist'!AK128</f>
        <v>4638107.6612221748</v>
      </c>
      <c r="AL128" s="872">
        <f>P128-'Internal Pricelist'!BP128</f>
        <v>150785.95799964387</v>
      </c>
      <c r="AM128" s="872">
        <f>'Internal Pricelist'!BN128+'Internal Pricelist'!BO128</f>
        <v>1305674.824889557</v>
      </c>
      <c r="AN128" s="872">
        <f t="shared" si="41"/>
        <v>-125654.96499970346</v>
      </c>
      <c r="AO128" s="872">
        <f>R128-'Internal Pricelist'!BQ128</f>
        <v>1532990.5729963798</v>
      </c>
      <c r="AS128" s="873">
        <f>'Internal Pricelist'!AK128-PriceLink_Fitted!O128</f>
        <v>-4638107.6612221748</v>
      </c>
      <c r="AT128" s="873">
        <f>'Internal Pricelist'!BP128-PriceLink_Fitted!P128</f>
        <v>-150785.95799964387</v>
      </c>
      <c r="AU128" s="849">
        <f>'Internal Pricelist'!BN128+'Internal Pricelist'!BO128</f>
        <v>1305674.824889557</v>
      </c>
      <c r="AV128" s="873">
        <f>PriceLink_Fitted!Q128-PriceLink_Fitted!AU128</f>
        <v>125654.96499970346</v>
      </c>
      <c r="AW128" s="873">
        <f>'Internal Pricelist'!BQ128-PriceLink_Fitted!R128</f>
        <v>-1532990.5729963798</v>
      </c>
    </row>
    <row r="129" spans="1:49" hidden="1" x14ac:dyDescent="0.2">
      <c r="A129" s="835">
        <f t="shared" si="26"/>
        <v>116</v>
      </c>
      <c r="B129" s="836" t="str">
        <f>'Internal Pricelist'!H122</f>
        <v>12K</v>
      </c>
      <c r="C129" s="836" t="str">
        <f>'Internal Pricelist'!C122</f>
        <v>Sold</v>
      </c>
      <c r="D129" s="836">
        <v>116</v>
      </c>
      <c r="E129" s="837" t="str">
        <f>'Internal Pricelist'!E122</f>
        <v>11th</v>
      </c>
      <c r="F129" s="838" t="str">
        <f>'Internal Pricelist'!F122</f>
        <v>12th</v>
      </c>
      <c r="G129" s="839" t="str">
        <f t="shared" si="27"/>
        <v>12K</v>
      </c>
      <c r="H129" s="839" t="str">
        <f>'Internal Pricelist'!I122</f>
        <v>2-BR</v>
      </c>
      <c r="I129" s="839">
        <f>'Internal Pricelist'!J122</f>
        <v>69.36</v>
      </c>
      <c r="J129" s="839">
        <f>'Internal Pricelist'!K122</f>
        <v>4.79</v>
      </c>
      <c r="K129" s="839">
        <f>'Internal Pricelist'!L122</f>
        <v>0</v>
      </c>
      <c r="L129" s="840">
        <f t="shared" si="24"/>
        <v>74.150000000000006</v>
      </c>
      <c r="M129" s="851" t="str">
        <f>'Internal Pricelist'!AA122</f>
        <v>INNER</v>
      </c>
      <c r="N129" s="841"/>
      <c r="O129" s="842">
        <f>'Internal Pricelist'!BM122</f>
        <v>14313297.898892604</v>
      </c>
      <c r="P129" s="843">
        <f t="shared" si="28"/>
        <v>1717595.7478671123</v>
      </c>
      <c r="Q129" s="844">
        <f t="shared" si="29"/>
        <v>1431329.7898892604</v>
      </c>
      <c r="R129" s="843">
        <f t="shared" si="30"/>
        <v>17462223.436648976</v>
      </c>
      <c r="S129" s="845">
        <f>'Internal Pricelist'!BS122</f>
        <v>0.15</v>
      </c>
      <c r="T129" s="844">
        <f t="shared" si="31"/>
        <v>2619333.5154973464</v>
      </c>
      <c r="U129" s="839">
        <f>'Internal Pricelist'!BU122</f>
        <v>50000</v>
      </c>
      <c r="V129" s="844">
        <f t="shared" si="32"/>
        <v>2569333.5154973464</v>
      </c>
      <c r="W129" s="846">
        <f>'Internal Pricelist'!BW122</f>
        <v>7</v>
      </c>
      <c r="X129" s="844">
        <f t="shared" si="33"/>
        <v>367047.64507104951</v>
      </c>
      <c r="Y129" s="847">
        <f t="shared" si="34"/>
        <v>0.85</v>
      </c>
      <c r="Z129" s="844">
        <f t="shared" si="35"/>
        <v>14842889.921151629</v>
      </c>
      <c r="AA129" s="844">
        <f t="shared" si="36"/>
        <v>133412.09082281633</v>
      </c>
      <c r="AC129" s="849">
        <f t="shared" si="25"/>
        <v>193031.6641792664</v>
      </c>
      <c r="AD129" s="873">
        <f t="shared" si="37"/>
        <v>0</v>
      </c>
      <c r="AG129" s="882">
        <f t="shared" si="38"/>
        <v>7</v>
      </c>
      <c r="AH129" s="853">
        <f t="shared" si="39"/>
        <v>2569333.5154973464</v>
      </c>
      <c r="AI129" s="854">
        <f t="shared" si="40"/>
        <v>0</v>
      </c>
      <c r="AK129" s="872">
        <f>O129-'Internal Pricelist'!AK129</f>
        <v>812440.09371429682</v>
      </c>
      <c r="AL129" s="872">
        <f>P129-'Internal Pricelist'!BP129</f>
        <v>-468746.39746885723</v>
      </c>
      <c r="AM129" s="872">
        <f>'Internal Pricelist'!BN129+'Internal Pricelist'!BO129</f>
        <v>1821951.7877799745</v>
      </c>
      <c r="AN129" s="872">
        <f t="shared" si="41"/>
        <v>390621.99789071409</v>
      </c>
      <c r="AO129" s="872">
        <f>R129-'Internal Pricelist'!BQ129</f>
        <v>-4765588.3742667101</v>
      </c>
      <c r="AS129" s="873">
        <f>'Internal Pricelist'!AK129-PriceLink_Fitted!O129</f>
        <v>-812440.09371429682</v>
      </c>
      <c r="AT129" s="873">
        <f>'Internal Pricelist'!BP129-PriceLink_Fitted!P129</f>
        <v>468746.39746885723</v>
      </c>
      <c r="AU129" s="849">
        <f>'Internal Pricelist'!BN129+'Internal Pricelist'!BO129</f>
        <v>1821951.7877799745</v>
      </c>
      <c r="AV129" s="873">
        <f>PriceLink_Fitted!Q129-PriceLink_Fitted!AU129</f>
        <v>-390621.99789071409</v>
      </c>
      <c r="AW129" s="873">
        <f>'Internal Pricelist'!BQ129-PriceLink_Fitted!R129</f>
        <v>4765588.3742667101</v>
      </c>
    </row>
    <row r="130" spans="1:49" hidden="1" x14ac:dyDescent="0.2">
      <c r="A130" s="835">
        <f t="shared" si="26"/>
        <v>117</v>
      </c>
      <c r="B130" s="836" t="str">
        <f>'Internal Pricelist'!H123</f>
        <v>12L</v>
      </c>
      <c r="C130" s="836" t="str">
        <f>'Internal Pricelist'!C123</f>
        <v>Sold</v>
      </c>
      <c r="D130" s="836">
        <v>117</v>
      </c>
      <c r="E130" s="837" t="str">
        <f>'Internal Pricelist'!E123</f>
        <v>11th</v>
      </c>
      <c r="F130" s="838" t="str">
        <f>'Internal Pricelist'!F123</f>
        <v>12th</v>
      </c>
      <c r="G130" s="839" t="str">
        <f t="shared" si="27"/>
        <v>12L</v>
      </c>
      <c r="H130" s="839" t="str">
        <f>'Internal Pricelist'!I123</f>
        <v>2-BR</v>
      </c>
      <c r="I130" s="839">
        <f>'Internal Pricelist'!J123</f>
        <v>83.12</v>
      </c>
      <c r="J130" s="839">
        <f>'Internal Pricelist'!K123</f>
        <v>13.04</v>
      </c>
      <c r="K130" s="839">
        <f>'Internal Pricelist'!L123</f>
        <v>0</v>
      </c>
      <c r="L130" s="840">
        <f t="shared" si="24"/>
        <v>96.16</v>
      </c>
      <c r="M130" s="851" t="str">
        <f>'Internal Pricelist'!AA123</f>
        <v>CORNER</v>
      </c>
      <c r="N130" s="841"/>
      <c r="O130" s="842">
        <f>'Internal Pricelist'!BM123</f>
        <v>18322145.560611777</v>
      </c>
      <c r="P130" s="843">
        <f t="shared" si="28"/>
        <v>2198657.4672734132</v>
      </c>
      <c r="Q130" s="844">
        <f t="shared" si="29"/>
        <v>1832214.5560611777</v>
      </c>
      <c r="R130" s="843">
        <f t="shared" si="30"/>
        <v>22353017.58394637</v>
      </c>
      <c r="S130" s="845">
        <f>'Internal Pricelist'!BS123</f>
        <v>0.15</v>
      </c>
      <c r="T130" s="844">
        <f t="shared" si="31"/>
        <v>3352952.6375919553</v>
      </c>
      <c r="U130" s="839">
        <f>'Internal Pricelist'!BU123</f>
        <v>50000</v>
      </c>
      <c r="V130" s="844">
        <f t="shared" si="32"/>
        <v>3302952.6375919553</v>
      </c>
      <c r="W130" s="846">
        <f>'Internal Pricelist'!BW123</f>
        <v>7</v>
      </c>
      <c r="X130" s="844">
        <f t="shared" si="33"/>
        <v>471850.37679885078</v>
      </c>
      <c r="Y130" s="847">
        <f t="shared" si="34"/>
        <v>0.85</v>
      </c>
      <c r="Z130" s="844">
        <f t="shared" si="35"/>
        <v>19000064.946354415</v>
      </c>
      <c r="AA130" s="844">
        <f t="shared" si="36"/>
        <v>170777.95521815549</v>
      </c>
      <c r="AC130" s="849">
        <f t="shared" si="25"/>
        <v>190538.11939072149</v>
      </c>
      <c r="AD130" s="873">
        <f t="shared" si="37"/>
        <v>0</v>
      </c>
      <c r="AG130" s="882">
        <f t="shared" si="38"/>
        <v>7</v>
      </c>
      <c r="AH130" s="853">
        <f t="shared" si="39"/>
        <v>3302952.6375919553</v>
      </c>
      <c r="AI130" s="854">
        <f t="shared" si="40"/>
        <v>0</v>
      </c>
      <c r="AK130" s="872">
        <f>O130-'Internal Pricelist'!AK130</f>
        <v>8884615.3177691866</v>
      </c>
      <c r="AL130" s="872">
        <f>P130-'Internal Pricelist'!BP130</f>
        <v>670334.56990200002</v>
      </c>
      <c r="AM130" s="872">
        <f>'Internal Pricelist'!BN130+'Internal Pricelist'!BO130</f>
        <v>1273602.4144761777</v>
      </c>
      <c r="AN130" s="872">
        <f t="shared" si="41"/>
        <v>-558612.14158500009</v>
      </c>
      <c r="AO130" s="872">
        <f>R130-'Internal Pricelist'!BQ130</f>
        <v>6815068.1273370013</v>
      </c>
      <c r="AS130" s="873">
        <f>'Internal Pricelist'!AK130-PriceLink_Fitted!O130</f>
        <v>-8884615.3177691866</v>
      </c>
      <c r="AT130" s="873">
        <f>'Internal Pricelist'!BP130-PriceLink_Fitted!P130</f>
        <v>-670334.56990200002</v>
      </c>
      <c r="AU130" s="849">
        <f>'Internal Pricelist'!BN130+'Internal Pricelist'!BO130</f>
        <v>1273602.4144761777</v>
      </c>
      <c r="AV130" s="873">
        <f>PriceLink_Fitted!Q130-PriceLink_Fitted!AU130</f>
        <v>558612.14158500009</v>
      </c>
      <c r="AW130" s="873">
        <f>'Internal Pricelist'!BQ130-PriceLink_Fitted!R130</f>
        <v>-6815068.1273370013</v>
      </c>
    </row>
    <row r="131" spans="1:49" hidden="1" x14ac:dyDescent="0.2">
      <c r="A131" s="835">
        <f t="shared" si="26"/>
        <v>118</v>
      </c>
      <c r="B131" s="836" t="str">
        <f>'Internal Pricelist'!H124</f>
        <v>12M</v>
      </c>
      <c r="C131" s="836" t="str">
        <f>'Internal Pricelist'!C124</f>
        <v>Sold</v>
      </c>
      <c r="D131" s="836">
        <v>118</v>
      </c>
      <c r="E131" s="837" t="str">
        <f>'Internal Pricelist'!E124</f>
        <v>11th</v>
      </c>
      <c r="F131" s="838" t="str">
        <f>'Internal Pricelist'!F124</f>
        <v>12th</v>
      </c>
      <c r="G131" s="839" t="str">
        <f t="shared" si="27"/>
        <v>12M</v>
      </c>
      <c r="H131" s="839" t="str">
        <f>'Internal Pricelist'!I124</f>
        <v>1-BR</v>
      </c>
      <c r="I131" s="839">
        <f>'Internal Pricelist'!J124</f>
        <v>52.04</v>
      </c>
      <c r="J131" s="839">
        <f>'Internal Pricelist'!K124</f>
        <v>3.1</v>
      </c>
      <c r="K131" s="839">
        <f>'Internal Pricelist'!L124</f>
        <v>0</v>
      </c>
      <c r="L131" s="840">
        <f t="shared" si="24"/>
        <v>55.14</v>
      </c>
      <c r="M131" s="851" t="str">
        <f>'Internal Pricelist'!AA124</f>
        <v>INNER</v>
      </c>
      <c r="N131" s="841"/>
      <c r="O131" s="842">
        <f>'Internal Pricelist'!BM124</f>
        <v>10768856.072005998</v>
      </c>
      <c r="P131" s="843">
        <f t="shared" si="28"/>
        <v>1292262.7286407198</v>
      </c>
      <c r="Q131" s="844">
        <f t="shared" si="29"/>
        <v>1076885.6072006</v>
      </c>
      <c r="R131" s="843">
        <f t="shared" si="30"/>
        <v>13138004.407847319</v>
      </c>
      <c r="S131" s="845">
        <f>'Internal Pricelist'!BS124</f>
        <v>0.15</v>
      </c>
      <c r="T131" s="844">
        <f t="shared" si="31"/>
        <v>1970700.6611770978</v>
      </c>
      <c r="U131" s="839">
        <f>'Internal Pricelist'!BU124</f>
        <v>50000</v>
      </c>
      <c r="V131" s="844">
        <f t="shared" si="32"/>
        <v>1920700.6611770978</v>
      </c>
      <c r="W131" s="846">
        <f>'Internal Pricelist'!BW124</f>
        <v>7</v>
      </c>
      <c r="X131" s="844">
        <f t="shared" si="33"/>
        <v>274385.80873958539</v>
      </c>
      <c r="Y131" s="847">
        <f t="shared" si="34"/>
        <v>0.85</v>
      </c>
      <c r="Z131" s="844">
        <f t="shared" si="35"/>
        <v>11167303.74667022</v>
      </c>
      <c r="AA131" s="844">
        <f t="shared" si="36"/>
        <v>100374.88316703422</v>
      </c>
      <c r="AC131" s="849">
        <f t="shared" si="25"/>
        <v>195300.25520504167</v>
      </c>
      <c r="AD131" s="873">
        <f t="shared" si="37"/>
        <v>0</v>
      </c>
      <c r="AG131" s="882">
        <f t="shared" si="38"/>
        <v>7</v>
      </c>
      <c r="AH131" s="853">
        <f t="shared" si="39"/>
        <v>1920700.6611770978</v>
      </c>
      <c r="AI131" s="854">
        <f t="shared" si="40"/>
        <v>0</v>
      </c>
      <c r="AK131" s="872">
        <f>O131-'Internal Pricelist'!AK131</f>
        <v>-4632263.2695189826</v>
      </c>
      <c r="AL131" s="872">
        <f>P131-'Internal Pricelist'!BP131</f>
        <v>-1201809.6323621459</v>
      </c>
      <c r="AM131" s="872">
        <f>'Internal Pricelist'!BN131+'Internal Pricelist'!BO131</f>
        <v>2078393.6341690549</v>
      </c>
      <c r="AN131" s="872">
        <f t="shared" si="41"/>
        <v>1001508.0269684549</v>
      </c>
      <c r="AO131" s="872">
        <f>R131-'Internal Pricelist'!BQ131</f>
        <v>-12218397.929015152</v>
      </c>
      <c r="AS131" s="873">
        <f>'Internal Pricelist'!AK131-PriceLink_Fitted!O131</f>
        <v>4632263.2695189826</v>
      </c>
      <c r="AT131" s="873">
        <f>'Internal Pricelist'!BP131-PriceLink_Fitted!P131</f>
        <v>1201809.6323621459</v>
      </c>
      <c r="AU131" s="849">
        <f>'Internal Pricelist'!BN131+'Internal Pricelist'!BO131</f>
        <v>2078393.6341690549</v>
      </c>
      <c r="AV131" s="873">
        <f>PriceLink_Fitted!Q131-PriceLink_Fitted!AU131</f>
        <v>-1001508.0269684549</v>
      </c>
      <c r="AW131" s="873">
        <f>'Internal Pricelist'!BQ131-PriceLink_Fitted!R131</f>
        <v>12218397.929015152</v>
      </c>
    </row>
    <row r="132" spans="1:49" hidden="1" x14ac:dyDescent="0.2">
      <c r="A132" s="835">
        <f t="shared" si="26"/>
        <v>119</v>
      </c>
      <c r="B132" s="836" t="str">
        <f>'Internal Pricelist'!H125</f>
        <v>14A</v>
      </c>
      <c r="C132" s="836" t="str">
        <f>'Internal Pricelist'!C125</f>
        <v>Sold</v>
      </c>
      <c r="D132" s="836">
        <v>119</v>
      </c>
      <c r="E132" s="837" t="str">
        <f>'Internal Pricelist'!E125</f>
        <v>12th</v>
      </c>
      <c r="F132" s="838" t="str">
        <f>'Internal Pricelist'!F125</f>
        <v>14th</v>
      </c>
      <c r="G132" s="839" t="str">
        <f t="shared" si="27"/>
        <v>14A</v>
      </c>
      <c r="H132" s="839" t="str">
        <f>'Internal Pricelist'!I125</f>
        <v>3-BR</v>
      </c>
      <c r="I132" s="839">
        <f>'Internal Pricelist'!J125</f>
        <v>99.98</v>
      </c>
      <c r="J132" s="839">
        <f>'Internal Pricelist'!K125</f>
        <v>10.29</v>
      </c>
      <c r="K132" s="839">
        <f>'Internal Pricelist'!L125</f>
        <v>0</v>
      </c>
      <c r="L132" s="840">
        <f t="shared" si="24"/>
        <v>110.27000000000001</v>
      </c>
      <c r="M132" s="851" t="str">
        <f>'Internal Pricelist'!AA125</f>
        <v>CORNER</v>
      </c>
      <c r="N132" s="841"/>
      <c r="O132" s="842">
        <f>'Internal Pricelist'!BM125</f>
        <v>21542099.480405096</v>
      </c>
      <c r="P132" s="843">
        <f t="shared" si="28"/>
        <v>2585051.9376486116</v>
      </c>
      <c r="Q132" s="844">
        <f t="shared" si="29"/>
        <v>2154209.9480405096</v>
      </c>
      <c r="R132" s="843">
        <f t="shared" si="30"/>
        <v>26281361.366094217</v>
      </c>
      <c r="S132" s="845">
        <f>'Internal Pricelist'!BS125</f>
        <v>0.15</v>
      </c>
      <c r="T132" s="844">
        <f t="shared" si="31"/>
        <v>3942204.2049141321</v>
      </c>
      <c r="U132" s="839">
        <f>'Internal Pricelist'!BU125</f>
        <v>50000</v>
      </c>
      <c r="V132" s="844">
        <f t="shared" si="32"/>
        <v>3892204.2049141321</v>
      </c>
      <c r="W132" s="846">
        <f>'Internal Pricelist'!BW125</f>
        <v>7</v>
      </c>
      <c r="X132" s="844">
        <f t="shared" si="33"/>
        <v>556029.1721305903</v>
      </c>
      <c r="Y132" s="847">
        <f t="shared" si="34"/>
        <v>0.85</v>
      </c>
      <c r="Z132" s="844">
        <f t="shared" si="35"/>
        <v>22339157.161180083</v>
      </c>
      <c r="AA132" s="844">
        <f t="shared" si="36"/>
        <v>200790.66003484104</v>
      </c>
      <c r="AC132" s="849">
        <f t="shared" si="25"/>
        <v>195357.75351777542</v>
      </c>
      <c r="AD132" s="873">
        <f t="shared" si="37"/>
        <v>0</v>
      </c>
      <c r="AG132" s="882">
        <f t="shared" si="38"/>
        <v>7</v>
      </c>
      <c r="AH132" s="853">
        <f t="shared" si="39"/>
        <v>3892204.2049141321</v>
      </c>
      <c r="AI132" s="854">
        <f t="shared" si="40"/>
        <v>0</v>
      </c>
      <c r="AK132" s="872">
        <f>O132-'Internal Pricelist'!AK132</f>
        <v>10920975.076698676</v>
      </c>
      <c r="AL132" s="872">
        <f>P132-'Internal Pricelist'!BP132</f>
        <v>865056.64181096083</v>
      </c>
      <c r="AM132" s="872">
        <f>'Internal Pricelist'!BN132+'Internal Pricelist'!BO132</f>
        <v>1433329.4131980424</v>
      </c>
      <c r="AN132" s="872">
        <f t="shared" si="41"/>
        <v>-720880.53484246717</v>
      </c>
      <c r="AO132" s="872">
        <f>R132-'Internal Pricelist'!BQ132</f>
        <v>8794742.5250781029</v>
      </c>
      <c r="AS132" s="873">
        <f>'Internal Pricelist'!AK132-PriceLink_Fitted!O132</f>
        <v>-10920975.076698676</v>
      </c>
      <c r="AT132" s="873">
        <f>'Internal Pricelist'!BP132-PriceLink_Fitted!P132</f>
        <v>-865056.64181096083</v>
      </c>
      <c r="AU132" s="849">
        <f>'Internal Pricelist'!BN132+'Internal Pricelist'!BO132</f>
        <v>1433329.4131980424</v>
      </c>
      <c r="AV132" s="873">
        <f>PriceLink_Fitted!Q132-PriceLink_Fitted!AU132</f>
        <v>720880.53484246717</v>
      </c>
      <c r="AW132" s="873">
        <f>'Internal Pricelist'!BQ132-PriceLink_Fitted!R132</f>
        <v>-8794742.5250781029</v>
      </c>
    </row>
    <row r="133" spans="1:49" hidden="1" x14ac:dyDescent="0.2">
      <c r="A133" s="835">
        <f t="shared" si="26"/>
        <v>120</v>
      </c>
      <c r="B133" s="836" t="str">
        <f>'Internal Pricelist'!H126</f>
        <v>14B</v>
      </c>
      <c r="C133" s="836" t="str">
        <f>'Internal Pricelist'!C126</f>
        <v>Sold</v>
      </c>
      <c r="D133" s="836">
        <v>120</v>
      </c>
      <c r="E133" s="837" t="str">
        <f>'Internal Pricelist'!E126</f>
        <v>12th</v>
      </c>
      <c r="F133" s="838" t="str">
        <f>'Internal Pricelist'!F126</f>
        <v>14th</v>
      </c>
      <c r="G133" s="839" t="str">
        <f t="shared" si="27"/>
        <v>14B</v>
      </c>
      <c r="H133" s="839" t="str">
        <f>'Internal Pricelist'!I126</f>
        <v>1-BR</v>
      </c>
      <c r="I133" s="839">
        <f>'Internal Pricelist'!J126</f>
        <v>52.86</v>
      </c>
      <c r="J133" s="839">
        <f>'Internal Pricelist'!K126</f>
        <v>5.09</v>
      </c>
      <c r="K133" s="839">
        <f>'Internal Pricelist'!L126</f>
        <v>0</v>
      </c>
      <c r="L133" s="840">
        <f t="shared" si="24"/>
        <v>57.95</v>
      </c>
      <c r="M133" s="851" t="str">
        <f>'Internal Pricelist'!AA126</f>
        <v>INNER</v>
      </c>
      <c r="N133" s="841"/>
      <c r="O133" s="842">
        <f>'Internal Pricelist'!BM126</f>
        <v>11182702.182165924</v>
      </c>
      <c r="P133" s="843">
        <f t="shared" si="28"/>
        <v>1341924.2618599108</v>
      </c>
      <c r="Q133" s="844">
        <f t="shared" si="29"/>
        <v>1118270.2182165924</v>
      </c>
      <c r="R133" s="843">
        <f t="shared" si="30"/>
        <v>13642896.662242427</v>
      </c>
      <c r="S133" s="845">
        <f>'Internal Pricelist'!BS126</f>
        <v>0.15</v>
      </c>
      <c r="T133" s="844">
        <f t="shared" si="31"/>
        <v>2046434.499336364</v>
      </c>
      <c r="U133" s="839">
        <f>'Internal Pricelist'!BU126</f>
        <v>50000</v>
      </c>
      <c r="V133" s="844">
        <f t="shared" si="32"/>
        <v>1996434.499336364</v>
      </c>
      <c r="W133" s="846">
        <f>'Internal Pricelist'!BW126</f>
        <v>7</v>
      </c>
      <c r="X133" s="844">
        <f t="shared" si="33"/>
        <v>285204.92847662343</v>
      </c>
      <c r="Y133" s="847">
        <f t="shared" si="34"/>
        <v>0.85</v>
      </c>
      <c r="Z133" s="844">
        <f t="shared" si="35"/>
        <v>11596462.162906064</v>
      </c>
      <c r="AA133" s="844">
        <f t="shared" si="36"/>
        <v>104232.28033890451</v>
      </c>
      <c r="AC133" s="849">
        <f t="shared" si="25"/>
        <v>192971.56483461472</v>
      </c>
      <c r="AD133" s="873">
        <f t="shared" si="37"/>
        <v>0</v>
      </c>
      <c r="AG133" s="882">
        <f t="shared" si="38"/>
        <v>7</v>
      </c>
      <c r="AH133" s="853">
        <f t="shared" si="39"/>
        <v>1996434.499336364</v>
      </c>
      <c r="AI133" s="854">
        <f t="shared" si="40"/>
        <v>0</v>
      </c>
      <c r="AK133" s="872">
        <f>O133-'Internal Pricelist'!AK133</f>
        <v>536333.65655335411</v>
      </c>
      <c r="AL133" s="872">
        <f>P133-'Internal Pricelist'!BP133</f>
        <v>-382159.09182131244</v>
      </c>
      <c r="AM133" s="872">
        <f>'Internal Pricelist'!BN133+'Internal Pricelist'!BO133</f>
        <v>1436736.128067686</v>
      </c>
      <c r="AN133" s="872">
        <f t="shared" si="41"/>
        <v>318465.90985109354</v>
      </c>
      <c r="AO133" s="872">
        <f>R133-'Internal Pricelist'!BQ133</f>
        <v>-3885284.1001833417</v>
      </c>
      <c r="AS133" s="873">
        <f>'Internal Pricelist'!AK133-PriceLink_Fitted!O133</f>
        <v>-536333.65655335411</v>
      </c>
      <c r="AT133" s="873">
        <f>'Internal Pricelist'!BP133-PriceLink_Fitted!P133</f>
        <v>382159.09182131244</v>
      </c>
      <c r="AU133" s="849">
        <f>'Internal Pricelist'!BN133+'Internal Pricelist'!BO133</f>
        <v>1436736.128067686</v>
      </c>
      <c r="AV133" s="873">
        <f>PriceLink_Fitted!Q133-PriceLink_Fitted!AU133</f>
        <v>-318465.90985109354</v>
      </c>
      <c r="AW133" s="873">
        <f>'Internal Pricelist'!BQ133-PriceLink_Fitted!R133</f>
        <v>3885284.1001833417</v>
      </c>
    </row>
    <row r="134" spans="1:49" hidden="1" x14ac:dyDescent="0.2">
      <c r="A134" s="835">
        <f t="shared" si="26"/>
        <v>121</v>
      </c>
      <c r="B134" s="836" t="str">
        <f>'Internal Pricelist'!H127</f>
        <v>14C</v>
      </c>
      <c r="C134" s="836" t="str">
        <f>'Internal Pricelist'!C127</f>
        <v>Sold</v>
      </c>
      <c r="D134" s="836">
        <v>121</v>
      </c>
      <c r="E134" s="837" t="str">
        <f>'Internal Pricelist'!E127</f>
        <v>12th</v>
      </c>
      <c r="F134" s="838" t="str">
        <f>'Internal Pricelist'!F127</f>
        <v>14th</v>
      </c>
      <c r="G134" s="839" t="str">
        <f t="shared" si="27"/>
        <v>14C</v>
      </c>
      <c r="H134" s="839" t="str">
        <f>'Internal Pricelist'!I127</f>
        <v>2-BR</v>
      </c>
      <c r="I134" s="839">
        <f>'Internal Pricelist'!J127</f>
        <v>57.5</v>
      </c>
      <c r="J134" s="839">
        <f>'Internal Pricelist'!K127</f>
        <v>5.09</v>
      </c>
      <c r="K134" s="839">
        <f>'Internal Pricelist'!L127</f>
        <v>0</v>
      </c>
      <c r="L134" s="840">
        <f t="shared" si="24"/>
        <v>62.59</v>
      </c>
      <c r="M134" s="851" t="str">
        <f>'Internal Pricelist'!AA127</f>
        <v>INNER</v>
      </c>
      <c r="N134" s="841"/>
      <c r="O134" s="842">
        <f>'Internal Pricelist'!BM127</f>
        <v>12117510.038638815</v>
      </c>
      <c r="P134" s="843">
        <f t="shared" si="28"/>
        <v>1454101.2046366578</v>
      </c>
      <c r="Q134" s="844">
        <f t="shared" si="29"/>
        <v>1211751.0038638816</v>
      </c>
      <c r="R134" s="843">
        <f t="shared" si="30"/>
        <v>14783362.247139355</v>
      </c>
      <c r="S134" s="845">
        <f>'Internal Pricelist'!BS127</f>
        <v>0.15</v>
      </c>
      <c r="T134" s="844">
        <f t="shared" si="31"/>
        <v>2217504.3370709033</v>
      </c>
      <c r="U134" s="839">
        <f>'Internal Pricelist'!BU127</f>
        <v>50000</v>
      </c>
      <c r="V134" s="844">
        <f t="shared" si="32"/>
        <v>2167504.3370709033</v>
      </c>
      <c r="W134" s="846">
        <f>'Internal Pricelist'!BW127</f>
        <v>7</v>
      </c>
      <c r="X134" s="844">
        <f t="shared" si="33"/>
        <v>309643.47672441474</v>
      </c>
      <c r="Y134" s="847">
        <f t="shared" si="34"/>
        <v>0.85</v>
      </c>
      <c r="Z134" s="844">
        <f t="shared" si="35"/>
        <v>12565857.910068452</v>
      </c>
      <c r="AA134" s="844">
        <f t="shared" si="36"/>
        <v>112945.48337084118</v>
      </c>
      <c r="AC134" s="849">
        <f t="shared" si="25"/>
        <v>193601.37463874125</v>
      </c>
      <c r="AD134" s="873">
        <f t="shared" si="37"/>
        <v>0</v>
      </c>
      <c r="AG134" s="882">
        <f t="shared" si="38"/>
        <v>7</v>
      </c>
      <c r="AH134" s="853">
        <f t="shared" si="39"/>
        <v>2167504.3370709033</v>
      </c>
      <c r="AI134" s="854">
        <f t="shared" si="40"/>
        <v>0</v>
      </c>
      <c r="AK134" s="872">
        <f>O134-'Internal Pricelist'!AK134</f>
        <v>1471141.5130262449</v>
      </c>
      <c r="AL134" s="872">
        <f>P134-'Internal Pricelist'!BP134</f>
        <v>-269982.14904456539</v>
      </c>
      <c r="AM134" s="872">
        <f>'Internal Pricelist'!BN134+'Internal Pricelist'!BO134</f>
        <v>1436736.128067686</v>
      </c>
      <c r="AN134" s="872">
        <f t="shared" si="41"/>
        <v>224985.12420380441</v>
      </c>
      <c r="AO134" s="872">
        <f>R134-'Internal Pricelist'!BQ134</f>
        <v>-2744818.515286414</v>
      </c>
      <c r="AS134" s="873">
        <f>'Internal Pricelist'!AK134-PriceLink_Fitted!O134</f>
        <v>-1471141.5130262449</v>
      </c>
      <c r="AT134" s="873">
        <f>'Internal Pricelist'!BP134-PriceLink_Fitted!P134</f>
        <v>269982.14904456539</v>
      </c>
      <c r="AU134" s="849">
        <f>'Internal Pricelist'!BN134+'Internal Pricelist'!BO134</f>
        <v>1436736.128067686</v>
      </c>
      <c r="AV134" s="873">
        <f>PriceLink_Fitted!Q134-PriceLink_Fitted!AU134</f>
        <v>-224985.12420380441</v>
      </c>
      <c r="AW134" s="873">
        <f>'Internal Pricelist'!BQ134-PriceLink_Fitted!R134</f>
        <v>2744818.515286414</v>
      </c>
    </row>
    <row r="135" spans="1:49" hidden="1" x14ac:dyDescent="0.2">
      <c r="A135" s="835">
        <f t="shared" si="26"/>
        <v>122</v>
      </c>
      <c r="B135" s="836" t="str">
        <f>'Internal Pricelist'!H128</f>
        <v>14D</v>
      </c>
      <c r="C135" s="836" t="str">
        <f>'Internal Pricelist'!C128</f>
        <v>Sold</v>
      </c>
      <c r="D135" s="836">
        <v>122</v>
      </c>
      <c r="E135" s="837" t="str">
        <f>'Internal Pricelist'!E128</f>
        <v>12th</v>
      </c>
      <c r="F135" s="838" t="str">
        <f>'Internal Pricelist'!F128</f>
        <v>14th</v>
      </c>
      <c r="G135" s="839" t="str">
        <f t="shared" si="27"/>
        <v>14D</v>
      </c>
      <c r="H135" s="839" t="str">
        <f>'Internal Pricelist'!I128</f>
        <v>2-BR</v>
      </c>
      <c r="I135" s="839">
        <f>'Internal Pricelist'!J128</f>
        <v>62.11</v>
      </c>
      <c r="J135" s="839">
        <f>'Internal Pricelist'!K128</f>
        <v>5.19</v>
      </c>
      <c r="K135" s="839">
        <f>'Internal Pricelist'!L128</f>
        <v>0</v>
      </c>
      <c r="L135" s="840">
        <f t="shared" si="24"/>
        <v>67.3</v>
      </c>
      <c r="M135" s="851" t="str">
        <f>'Internal Pricelist'!AA128</f>
        <v>INNER</v>
      </c>
      <c r="N135" s="841"/>
      <c r="O135" s="842">
        <f>'Internal Pricelist'!BM128</f>
        <v>13056748.248895571</v>
      </c>
      <c r="P135" s="843">
        <f t="shared" si="28"/>
        <v>1566809.7898674684</v>
      </c>
      <c r="Q135" s="844">
        <f t="shared" si="29"/>
        <v>1305674.8248895572</v>
      </c>
      <c r="R135" s="843">
        <f t="shared" si="30"/>
        <v>15929232.863652596</v>
      </c>
      <c r="S135" s="845">
        <f>'Internal Pricelist'!BS128</f>
        <v>0.15</v>
      </c>
      <c r="T135" s="844">
        <f t="shared" si="31"/>
        <v>2389384.9295478892</v>
      </c>
      <c r="U135" s="839">
        <f>'Internal Pricelist'!BU128</f>
        <v>50000</v>
      </c>
      <c r="V135" s="844">
        <f t="shared" si="32"/>
        <v>2339384.9295478892</v>
      </c>
      <c r="W135" s="846">
        <f>'Internal Pricelist'!BW128</f>
        <v>7</v>
      </c>
      <c r="X135" s="844">
        <f t="shared" si="33"/>
        <v>334197.84707826987</v>
      </c>
      <c r="Y135" s="847">
        <f t="shared" si="34"/>
        <v>0.85</v>
      </c>
      <c r="Z135" s="844">
        <f t="shared" si="35"/>
        <v>13539847.934104707</v>
      </c>
      <c r="AA135" s="844">
        <f t="shared" si="36"/>
        <v>121699.98106216139</v>
      </c>
      <c r="AC135" s="849">
        <f t="shared" si="25"/>
        <v>194008.14634317343</v>
      </c>
      <c r="AD135" s="873">
        <f t="shared" si="37"/>
        <v>0</v>
      </c>
      <c r="AG135" s="882">
        <f t="shared" si="38"/>
        <v>7</v>
      </c>
      <c r="AH135" s="853">
        <f t="shared" si="39"/>
        <v>2339384.9295478892</v>
      </c>
      <c r="AI135" s="854">
        <f t="shared" si="40"/>
        <v>0</v>
      </c>
      <c r="AK135" s="872">
        <f>O135-'Internal Pricelist'!AK135</f>
        <v>2410379.7232830003</v>
      </c>
      <c r="AL135" s="872">
        <f>P135-'Internal Pricelist'!BP135</f>
        <v>-157273.56381375482</v>
      </c>
      <c r="AM135" s="872">
        <f>'Internal Pricelist'!BN135+'Internal Pricelist'!BO135</f>
        <v>1436736.128067686</v>
      </c>
      <c r="AN135" s="872">
        <f t="shared" si="41"/>
        <v>131061.30317812879</v>
      </c>
      <c r="AO135" s="872">
        <f>R135-'Internal Pricelist'!BQ135</f>
        <v>-1598947.8987731729</v>
      </c>
      <c r="AS135" s="873">
        <f>'Internal Pricelist'!AK135-PriceLink_Fitted!O135</f>
        <v>-2410379.7232830003</v>
      </c>
      <c r="AT135" s="873">
        <f>'Internal Pricelist'!BP135-PriceLink_Fitted!P135</f>
        <v>157273.56381375482</v>
      </c>
      <c r="AU135" s="849">
        <f>'Internal Pricelist'!BN135+'Internal Pricelist'!BO135</f>
        <v>1436736.128067686</v>
      </c>
      <c r="AV135" s="873">
        <f>PriceLink_Fitted!Q135-PriceLink_Fitted!AU135</f>
        <v>-131061.30317812879</v>
      </c>
      <c r="AW135" s="873">
        <f>'Internal Pricelist'!BQ135-PriceLink_Fitted!R135</f>
        <v>1598947.8987731729</v>
      </c>
    </row>
    <row r="136" spans="1:49" hidden="1" x14ac:dyDescent="0.2">
      <c r="A136" s="835">
        <f t="shared" si="26"/>
        <v>123</v>
      </c>
      <c r="B136" s="836" t="str">
        <f>'Internal Pricelist'!H129</f>
        <v>14E</v>
      </c>
      <c r="C136" s="836" t="str">
        <f>'Internal Pricelist'!C129</f>
        <v>Sold</v>
      </c>
      <c r="D136" s="836">
        <v>123</v>
      </c>
      <c r="E136" s="837" t="str">
        <f>'Internal Pricelist'!E129</f>
        <v>12th</v>
      </c>
      <c r="F136" s="838" t="str">
        <f>'Internal Pricelist'!F129</f>
        <v>14th</v>
      </c>
      <c r="G136" s="839" t="str">
        <f t="shared" si="27"/>
        <v>14E</v>
      </c>
      <c r="H136" s="839" t="str">
        <f>'Internal Pricelist'!I129</f>
        <v>2-BR</v>
      </c>
      <c r="I136" s="839">
        <f>'Internal Pricelist'!J129</f>
        <v>80.900000000000006</v>
      </c>
      <c r="J136" s="839">
        <f>'Internal Pricelist'!K129</f>
        <v>15.65</v>
      </c>
      <c r="K136" s="839">
        <f>'Internal Pricelist'!L129</f>
        <v>0</v>
      </c>
      <c r="L136" s="840">
        <f t="shared" si="24"/>
        <v>96.550000000000011</v>
      </c>
      <c r="M136" s="851" t="str">
        <f>'Internal Pricelist'!AA129</f>
        <v>CORNER</v>
      </c>
      <c r="N136" s="841"/>
      <c r="O136" s="842">
        <f>'Internal Pricelist'!BM129</f>
        <v>18219517.877799746</v>
      </c>
      <c r="P136" s="843">
        <f t="shared" si="28"/>
        <v>2186342.1453359695</v>
      </c>
      <c r="Q136" s="844">
        <f t="shared" si="29"/>
        <v>1821951.7877799748</v>
      </c>
      <c r="R136" s="843">
        <f t="shared" si="30"/>
        <v>22227811.81091569</v>
      </c>
      <c r="S136" s="845">
        <f>'Internal Pricelist'!BS129</f>
        <v>0.15</v>
      </c>
      <c r="T136" s="844">
        <f t="shared" si="31"/>
        <v>3334171.7716373536</v>
      </c>
      <c r="U136" s="839">
        <f>'Internal Pricelist'!BU129</f>
        <v>50000</v>
      </c>
      <c r="V136" s="844">
        <f t="shared" si="32"/>
        <v>3284171.7716373536</v>
      </c>
      <c r="W136" s="846">
        <f>'Internal Pricelist'!BW129</f>
        <v>7</v>
      </c>
      <c r="X136" s="844">
        <f t="shared" si="33"/>
        <v>469167.39594819339</v>
      </c>
      <c r="Y136" s="847">
        <f t="shared" si="34"/>
        <v>0.85</v>
      </c>
      <c r="Z136" s="844">
        <f t="shared" si="35"/>
        <v>18893640.039278336</v>
      </c>
      <c r="AA136" s="844">
        <f t="shared" si="36"/>
        <v>169821.37806612725</v>
      </c>
      <c r="AC136" s="849">
        <f t="shared" si="25"/>
        <v>188705.5191900543</v>
      </c>
      <c r="AD136" s="873">
        <f t="shared" si="37"/>
        <v>0</v>
      </c>
      <c r="AG136" s="882">
        <f t="shared" si="38"/>
        <v>7</v>
      </c>
      <c r="AH136" s="853">
        <f t="shared" si="39"/>
        <v>3284171.7716373536</v>
      </c>
      <c r="AI136" s="854">
        <f t="shared" si="40"/>
        <v>0</v>
      </c>
      <c r="AK136" s="872">
        <f>O136-'Internal Pricelist'!AK136</f>
        <v>4694564.9039312918</v>
      </c>
      <c r="AL136" s="872">
        <f>P136-'Internal Pricelist'!BP136</f>
        <v>-3901.9952336689457</v>
      </c>
      <c r="AM136" s="872">
        <f>'Internal Pricelist'!BN136+'Internal Pricelist'!BO136</f>
        <v>1825203.4504746988</v>
      </c>
      <c r="AN136" s="872">
        <f t="shared" si="41"/>
        <v>3251.6626947240438</v>
      </c>
      <c r="AO136" s="872">
        <f>R136-'Internal Pricelist'!BQ136</f>
        <v>-39670.284875635058</v>
      </c>
      <c r="AS136" s="873">
        <f>'Internal Pricelist'!AK136-PriceLink_Fitted!O136</f>
        <v>-4694564.9039312918</v>
      </c>
      <c r="AT136" s="873">
        <f>'Internal Pricelist'!BP136-PriceLink_Fitted!P136</f>
        <v>3901.9952336689457</v>
      </c>
      <c r="AU136" s="849">
        <f>'Internal Pricelist'!BN136+'Internal Pricelist'!BO136</f>
        <v>1825203.4504746988</v>
      </c>
      <c r="AV136" s="873">
        <f>PriceLink_Fitted!Q136-PriceLink_Fitted!AU136</f>
        <v>-3251.6626947240438</v>
      </c>
      <c r="AW136" s="873">
        <f>'Internal Pricelist'!BQ136-PriceLink_Fitted!R136</f>
        <v>39670.284875635058</v>
      </c>
    </row>
    <row r="137" spans="1:49" hidden="1" x14ac:dyDescent="0.2">
      <c r="A137" s="835">
        <f t="shared" si="26"/>
        <v>124</v>
      </c>
      <c r="B137" s="836" t="str">
        <f>'Internal Pricelist'!H130</f>
        <v>14F</v>
      </c>
      <c r="C137" s="836" t="str">
        <f>'Internal Pricelist'!C130</f>
        <v>Sold</v>
      </c>
      <c r="D137" s="836">
        <v>124</v>
      </c>
      <c r="E137" s="837" t="str">
        <f>'Internal Pricelist'!E130</f>
        <v>12th</v>
      </c>
      <c r="F137" s="838" t="str">
        <f>'Internal Pricelist'!F130</f>
        <v>14th</v>
      </c>
      <c r="G137" s="839" t="str">
        <f t="shared" si="27"/>
        <v>14F</v>
      </c>
      <c r="H137" s="839" t="str">
        <f>'Internal Pricelist'!I130</f>
        <v>2-BR</v>
      </c>
      <c r="I137" s="839">
        <f>'Internal Pricelist'!J130</f>
        <v>61.56</v>
      </c>
      <c r="J137" s="839">
        <f>'Internal Pricelist'!K130</f>
        <v>4.0999999999999996</v>
      </c>
      <c r="K137" s="839">
        <f>'Internal Pricelist'!L130</f>
        <v>0</v>
      </c>
      <c r="L137" s="840">
        <f t="shared" si="24"/>
        <v>65.66</v>
      </c>
      <c r="M137" s="851" t="str">
        <f>'Internal Pricelist'!AA130</f>
        <v>INNER</v>
      </c>
      <c r="N137" s="841"/>
      <c r="O137" s="842">
        <f>'Internal Pricelist'!BM130</f>
        <v>12736024.144761777</v>
      </c>
      <c r="P137" s="843">
        <f t="shared" si="28"/>
        <v>1528322.8973714132</v>
      </c>
      <c r="Q137" s="844">
        <f t="shared" si="29"/>
        <v>1273602.4144761777</v>
      </c>
      <c r="R137" s="843">
        <f t="shared" si="30"/>
        <v>15537949.456609368</v>
      </c>
      <c r="S137" s="845">
        <f>'Internal Pricelist'!BS130</f>
        <v>0.15</v>
      </c>
      <c r="T137" s="844">
        <f t="shared" si="31"/>
        <v>2330692.418491405</v>
      </c>
      <c r="U137" s="839">
        <f>'Internal Pricelist'!BU130</f>
        <v>50000</v>
      </c>
      <c r="V137" s="844">
        <f t="shared" si="32"/>
        <v>2280692.418491405</v>
      </c>
      <c r="W137" s="846">
        <f>'Internal Pricelist'!BW130</f>
        <v>7</v>
      </c>
      <c r="X137" s="844">
        <f t="shared" si="33"/>
        <v>325813.20264162926</v>
      </c>
      <c r="Y137" s="847">
        <f t="shared" si="34"/>
        <v>0.85</v>
      </c>
      <c r="Z137" s="844">
        <f t="shared" si="35"/>
        <v>13207257.038117962</v>
      </c>
      <c r="AA137" s="844">
        <f t="shared" si="36"/>
        <v>118710.56006275113</v>
      </c>
      <c r="AC137" s="849">
        <f t="shared" si="25"/>
        <v>193969.29857998443</v>
      </c>
      <c r="AD137" s="873">
        <f t="shared" si="37"/>
        <v>0</v>
      </c>
      <c r="AG137" s="882">
        <f t="shared" si="38"/>
        <v>7</v>
      </c>
      <c r="AH137" s="853">
        <f>X137*W137</f>
        <v>2280692.418491405</v>
      </c>
      <c r="AI137" s="854">
        <f t="shared" si="40"/>
        <v>0</v>
      </c>
      <c r="AK137" s="872">
        <f>O137-'Internal Pricelist'!AK137</f>
        <v>4785977.3818984395</v>
      </c>
      <c r="AL137" s="872">
        <f>P137-'Internal Pricelist'!BP137</f>
        <v>240884.53264964232</v>
      </c>
      <c r="AM137" s="872">
        <f>'Internal Pricelist'!BN137+'Internal Pricelist'!BO137</f>
        <v>1072865.3039348091</v>
      </c>
      <c r="AN137" s="872">
        <f t="shared" si="41"/>
        <v>-200737.1105413686</v>
      </c>
      <c r="AO137" s="872">
        <f>R137-'Internal Pricelist'!BQ137</f>
        <v>2448992.7486046962</v>
      </c>
      <c r="AS137" s="873">
        <f>'Internal Pricelist'!AK137-PriceLink_Fitted!O137</f>
        <v>-4785977.3818984395</v>
      </c>
      <c r="AT137" s="873">
        <f>'Internal Pricelist'!BP137-PriceLink_Fitted!P137</f>
        <v>-240884.53264964232</v>
      </c>
      <c r="AU137" s="849">
        <f>'Internal Pricelist'!BN137+'Internal Pricelist'!BO137</f>
        <v>1072865.3039348091</v>
      </c>
      <c r="AV137" s="873">
        <f>PriceLink_Fitted!Q137-PriceLink_Fitted!AU137</f>
        <v>200737.1105413686</v>
      </c>
      <c r="AW137" s="873">
        <f>'Internal Pricelist'!BQ137-PriceLink_Fitted!R137</f>
        <v>-2448992.7486046962</v>
      </c>
    </row>
    <row r="138" spans="1:49" hidden="1" x14ac:dyDescent="0.2">
      <c r="A138" s="835">
        <f t="shared" si="26"/>
        <v>125</v>
      </c>
      <c r="B138" s="836" t="str">
        <f>'Internal Pricelist'!H131</f>
        <v>14G</v>
      </c>
      <c r="C138" s="836" t="str">
        <f>'Internal Pricelist'!C131</f>
        <v>Sold</v>
      </c>
      <c r="D138" s="836">
        <v>125</v>
      </c>
      <c r="E138" s="837" t="str">
        <f>'Internal Pricelist'!E131</f>
        <v>12th</v>
      </c>
      <c r="F138" s="838" t="str">
        <f>'Internal Pricelist'!F131</f>
        <v>14th</v>
      </c>
      <c r="G138" s="839" t="str">
        <f t="shared" si="27"/>
        <v>14G</v>
      </c>
      <c r="H138" s="839" t="str">
        <f>'Internal Pricelist'!I131</f>
        <v>2-BR</v>
      </c>
      <c r="I138" s="839">
        <f>'Internal Pricelist'!J131</f>
        <v>95.44</v>
      </c>
      <c r="J138" s="839">
        <f>'Internal Pricelist'!K131</f>
        <v>13.34</v>
      </c>
      <c r="K138" s="839">
        <f>'Internal Pricelist'!L131</f>
        <v>0</v>
      </c>
      <c r="L138" s="840">
        <f t="shared" si="24"/>
        <v>108.78</v>
      </c>
      <c r="M138" s="851" t="str">
        <f>'Internal Pricelist'!AA131</f>
        <v>CORNER</v>
      </c>
      <c r="N138" s="841"/>
      <c r="O138" s="842">
        <f>'Internal Pricelist'!BM131</f>
        <v>20783936.341690548</v>
      </c>
      <c r="P138" s="843">
        <f t="shared" si="28"/>
        <v>2494072.3610028657</v>
      </c>
      <c r="Q138" s="844">
        <f t="shared" si="29"/>
        <v>2078393.6341690549</v>
      </c>
      <c r="R138" s="843">
        <f t="shared" si="30"/>
        <v>25356402.336862467</v>
      </c>
      <c r="S138" s="845">
        <f>'Internal Pricelist'!BS131</f>
        <v>0.15</v>
      </c>
      <c r="T138" s="844">
        <f t="shared" si="31"/>
        <v>3803460.3505293699</v>
      </c>
      <c r="U138" s="839">
        <f>'Internal Pricelist'!BU131</f>
        <v>50000</v>
      </c>
      <c r="V138" s="844">
        <f t="shared" si="32"/>
        <v>3753460.3505293699</v>
      </c>
      <c r="W138" s="846">
        <f>'Internal Pricelist'!BW131</f>
        <v>7</v>
      </c>
      <c r="X138" s="844">
        <f t="shared" si="33"/>
        <v>536208.62150419573</v>
      </c>
      <c r="Y138" s="847">
        <f t="shared" si="34"/>
        <v>0.85</v>
      </c>
      <c r="Z138" s="844">
        <f t="shared" si="35"/>
        <v>21552941.986333098</v>
      </c>
      <c r="AA138" s="844">
        <f t="shared" si="36"/>
        <v>193723.9357735845</v>
      </c>
      <c r="AC138" s="849">
        <f t="shared" si="25"/>
        <v>191063.94871934684</v>
      </c>
      <c r="AD138" s="873">
        <f t="shared" si="37"/>
        <v>0</v>
      </c>
      <c r="AG138" s="882">
        <f t="shared" si="38"/>
        <v>7</v>
      </c>
      <c r="AH138" s="853">
        <f t="shared" si="39"/>
        <v>3753460.3505293699</v>
      </c>
      <c r="AI138" s="854">
        <f t="shared" si="40"/>
        <v>0</v>
      </c>
      <c r="AK138" s="872">
        <f>O138-'Internal Pricelist'!AK138</f>
        <v>4761433.6450476404</v>
      </c>
      <c r="AL138" s="872">
        <f>P138-'Internal Pricelist'!BP138</f>
        <v>-100627.4295536615</v>
      </c>
      <c r="AM138" s="872">
        <f>'Internal Pricelist'!BN138+'Internal Pricelist'!BO138</f>
        <v>2162249.8254637728</v>
      </c>
      <c r="AN138" s="872">
        <f t="shared" si="41"/>
        <v>83856.191294717835</v>
      </c>
      <c r="AO138" s="872">
        <f>R138-'Internal Pricelist'!BQ138</f>
        <v>-1023045.5337955616</v>
      </c>
      <c r="AS138" s="873">
        <f>'Internal Pricelist'!AK138-PriceLink_Fitted!O138</f>
        <v>-4761433.6450476404</v>
      </c>
      <c r="AT138" s="873">
        <f>'Internal Pricelist'!BP138-PriceLink_Fitted!P138</f>
        <v>100627.4295536615</v>
      </c>
      <c r="AU138" s="849">
        <f>'Internal Pricelist'!BN138+'Internal Pricelist'!BO138</f>
        <v>2162249.8254637728</v>
      </c>
      <c r="AV138" s="873">
        <f>PriceLink_Fitted!Q138-PriceLink_Fitted!AU138</f>
        <v>-83856.191294717835</v>
      </c>
      <c r="AW138" s="873">
        <f>'Internal Pricelist'!BQ138-PriceLink_Fitted!R138</f>
        <v>1023045.5337955616</v>
      </c>
    </row>
    <row r="139" spans="1:49" hidden="1" x14ac:dyDescent="0.2">
      <c r="A139" s="835">
        <f t="shared" si="26"/>
        <v>126</v>
      </c>
      <c r="B139" s="836" t="str">
        <f>'Internal Pricelist'!H132</f>
        <v>14H</v>
      </c>
      <c r="C139" s="836" t="str">
        <f>'Internal Pricelist'!C132</f>
        <v>Sold</v>
      </c>
      <c r="D139" s="836">
        <v>126</v>
      </c>
      <c r="E139" s="837" t="str">
        <f>'Internal Pricelist'!E132</f>
        <v>12th</v>
      </c>
      <c r="F139" s="838" t="str">
        <f>'Internal Pricelist'!F132</f>
        <v>14th</v>
      </c>
      <c r="G139" s="839" t="str">
        <f t="shared" si="27"/>
        <v>14H</v>
      </c>
      <c r="H139" s="839" t="str">
        <f>'Internal Pricelist'!I132</f>
        <v>2-BR</v>
      </c>
      <c r="I139" s="839">
        <f>'Internal Pricelist'!J132</f>
        <v>69.2</v>
      </c>
      <c r="J139" s="839">
        <f>'Internal Pricelist'!K132</f>
        <v>4.7699999999999996</v>
      </c>
      <c r="K139" s="839">
        <f>'Internal Pricelist'!L132</f>
        <v>0</v>
      </c>
      <c r="L139" s="840">
        <f t="shared" si="24"/>
        <v>73.97</v>
      </c>
      <c r="M139" s="851" t="str">
        <f>'Internal Pricelist'!AA132</f>
        <v>INNER</v>
      </c>
      <c r="N139" s="841"/>
      <c r="O139" s="842">
        <f>'Internal Pricelist'!BM132</f>
        <v>14333294.131980423</v>
      </c>
      <c r="P139" s="843">
        <f t="shared" si="28"/>
        <v>1719995.2958376508</v>
      </c>
      <c r="Q139" s="844">
        <f t="shared" si="29"/>
        <v>1433329.4131980424</v>
      </c>
      <c r="R139" s="843">
        <f t="shared" si="30"/>
        <v>17486618.841016114</v>
      </c>
      <c r="S139" s="845">
        <f>'Internal Pricelist'!BS132</f>
        <v>0.15</v>
      </c>
      <c r="T139" s="844">
        <f t="shared" si="31"/>
        <v>2622992.8261524169</v>
      </c>
      <c r="U139" s="839">
        <f>'Internal Pricelist'!BU132</f>
        <v>50000</v>
      </c>
      <c r="V139" s="844">
        <f t="shared" si="32"/>
        <v>2572992.8261524169</v>
      </c>
      <c r="W139" s="846">
        <f>'Internal Pricelist'!BW132</f>
        <v>7</v>
      </c>
      <c r="X139" s="844">
        <f t="shared" si="33"/>
        <v>367570.40373605955</v>
      </c>
      <c r="Y139" s="847">
        <f t="shared" si="34"/>
        <v>0.85</v>
      </c>
      <c r="Z139" s="844">
        <f t="shared" si="35"/>
        <v>14863626.014863696</v>
      </c>
      <c r="AA139" s="844">
        <f t="shared" si="36"/>
        <v>133598.47269537085</v>
      </c>
      <c r="AC139" s="849">
        <f t="shared" si="25"/>
        <v>193771.72004840372</v>
      </c>
      <c r="AD139" s="873">
        <f t="shared" si="37"/>
        <v>0</v>
      </c>
      <c r="AG139" s="882">
        <f t="shared" si="38"/>
        <v>7</v>
      </c>
      <c r="AH139" s="853">
        <f t="shared" si="39"/>
        <v>2572992.8261524169</v>
      </c>
      <c r="AI139" s="854">
        <f t="shared" si="40"/>
        <v>0</v>
      </c>
      <c r="AK139" s="872">
        <f>O139-'Internal Pricelist'!AK139</f>
        <v>6015483.0370721286</v>
      </c>
      <c r="AL139" s="872">
        <f>P139-'Internal Pricelist'!BP139</f>
        <v>373000.81473393994</v>
      </c>
      <c r="AM139" s="872">
        <f>'Internal Pricelist'!BN139+'Internal Pricelist'!BO139</f>
        <v>1122495.4009197592</v>
      </c>
      <c r="AN139" s="872">
        <f t="shared" si="41"/>
        <v>-310834.01227828325</v>
      </c>
      <c r="AO139" s="872">
        <f>R139-'Internal Pricelist'!BQ139</f>
        <v>3792174.9497950543</v>
      </c>
      <c r="AS139" s="873">
        <f>'Internal Pricelist'!AK139-PriceLink_Fitted!O139</f>
        <v>-6015483.0370721286</v>
      </c>
      <c r="AT139" s="873">
        <f>'Internal Pricelist'!BP139-PriceLink_Fitted!P139</f>
        <v>-373000.81473393994</v>
      </c>
      <c r="AU139" s="849">
        <f>'Internal Pricelist'!BN139+'Internal Pricelist'!BO139</f>
        <v>1122495.4009197592</v>
      </c>
      <c r="AV139" s="873">
        <f>PriceLink_Fitted!Q139-PriceLink_Fitted!AU139</f>
        <v>310834.01227828325</v>
      </c>
      <c r="AW139" s="873">
        <f>'Internal Pricelist'!BQ139-PriceLink_Fitted!R139</f>
        <v>-3792174.9497950543</v>
      </c>
    </row>
    <row r="140" spans="1:49" hidden="1" x14ac:dyDescent="0.2">
      <c r="A140" s="835">
        <f t="shared" si="26"/>
        <v>127</v>
      </c>
      <c r="B140" s="836" t="str">
        <f>'Internal Pricelist'!H133</f>
        <v>14I</v>
      </c>
      <c r="C140" s="836" t="str">
        <f>'Internal Pricelist'!C133</f>
        <v>Sold</v>
      </c>
      <c r="D140" s="836">
        <v>127</v>
      </c>
      <c r="E140" s="837" t="str">
        <f>'Internal Pricelist'!E133</f>
        <v>12th</v>
      </c>
      <c r="F140" s="838" t="str">
        <f>'Internal Pricelist'!F133</f>
        <v>14th</v>
      </c>
      <c r="G140" s="839" t="str">
        <f t="shared" si="27"/>
        <v>14I</v>
      </c>
      <c r="H140" s="839" t="str">
        <f>'Internal Pricelist'!I133</f>
        <v>2-BR</v>
      </c>
      <c r="I140" s="839">
        <f>'Internal Pricelist'!J133</f>
        <v>69.36</v>
      </c>
      <c r="J140" s="839">
        <f>'Internal Pricelist'!K133</f>
        <v>4.79</v>
      </c>
      <c r="K140" s="839">
        <f>'Internal Pricelist'!L133</f>
        <v>0</v>
      </c>
      <c r="L140" s="840">
        <f t="shared" si="24"/>
        <v>74.150000000000006</v>
      </c>
      <c r="M140" s="851" t="str">
        <f>'Internal Pricelist'!AA133</f>
        <v>INNER</v>
      </c>
      <c r="N140" s="841"/>
      <c r="O140" s="842">
        <f>'Internal Pricelist'!BM133</f>
        <v>14367361.28067686</v>
      </c>
      <c r="P140" s="843">
        <f t="shared" si="28"/>
        <v>1724083.3536812232</v>
      </c>
      <c r="Q140" s="844">
        <f t="shared" si="29"/>
        <v>1436736.1280676862</v>
      </c>
      <c r="R140" s="843">
        <f t="shared" si="30"/>
        <v>17528180.762425769</v>
      </c>
      <c r="S140" s="845">
        <f>'Internal Pricelist'!BS133</f>
        <v>0.15</v>
      </c>
      <c r="T140" s="844">
        <f t="shared" si="31"/>
        <v>2629227.1143638655</v>
      </c>
      <c r="U140" s="839">
        <f>'Internal Pricelist'!BU133</f>
        <v>50000</v>
      </c>
      <c r="V140" s="844">
        <f t="shared" si="32"/>
        <v>2579227.1143638655</v>
      </c>
      <c r="W140" s="846">
        <f>'Internal Pricelist'!BW133</f>
        <v>7</v>
      </c>
      <c r="X140" s="844">
        <f t="shared" si="33"/>
        <v>368461.01633769507</v>
      </c>
      <c r="Y140" s="847">
        <f t="shared" si="34"/>
        <v>0.85</v>
      </c>
      <c r="Z140" s="844">
        <f t="shared" si="35"/>
        <v>14898953.648061903</v>
      </c>
      <c r="AA140" s="844">
        <f t="shared" si="36"/>
        <v>133916.00744997937</v>
      </c>
      <c r="AC140" s="849">
        <f t="shared" si="25"/>
        <v>193760.77249732785</v>
      </c>
      <c r="AD140" s="873">
        <f t="shared" si="37"/>
        <v>0</v>
      </c>
      <c r="AG140" s="882">
        <f t="shared" si="38"/>
        <v>7</v>
      </c>
      <c r="AH140" s="853">
        <f t="shared" si="39"/>
        <v>2579227.1143638655</v>
      </c>
      <c r="AI140" s="854">
        <f t="shared" si="40"/>
        <v>0</v>
      </c>
      <c r="AK140" s="872">
        <f>O140-'Internal Pricelist'!AK140</f>
        <v>5354340.670488812</v>
      </c>
      <c r="AL140" s="872">
        <f>P140-'Internal Pricelist'!BP140</f>
        <v>264505.96228926955</v>
      </c>
      <c r="AM140" s="872">
        <f>'Internal Pricelist'!BN140+'Internal Pricelist'!BO140</f>
        <v>1216314.492826628</v>
      </c>
      <c r="AN140" s="872">
        <f t="shared" si="41"/>
        <v>-220421.63524105819</v>
      </c>
      <c r="AO140" s="872">
        <f>R140-'Internal Pricelist'!BQ140</f>
        <v>2689143.9499409068</v>
      </c>
      <c r="AS140" s="873">
        <f>'Internal Pricelist'!AK140-PriceLink_Fitted!O140</f>
        <v>-5354340.670488812</v>
      </c>
      <c r="AT140" s="873">
        <f>'Internal Pricelist'!BP140-PriceLink_Fitted!P140</f>
        <v>-264505.96228926955</v>
      </c>
      <c r="AU140" s="849">
        <f>'Internal Pricelist'!BN140+'Internal Pricelist'!BO140</f>
        <v>1216314.492826628</v>
      </c>
      <c r="AV140" s="873">
        <f>PriceLink_Fitted!Q140-PriceLink_Fitted!AU140</f>
        <v>220421.63524105819</v>
      </c>
      <c r="AW140" s="873">
        <f>'Internal Pricelist'!BQ140-PriceLink_Fitted!R140</f>
        <v>-2689143.9499409068</v>
      </c>
    </row>
    <row r="141" spans="1:49" x14ac:dyDescent="0.2">
      <c r="A141" s="835">
        <f t="shared" si="26"/>
        <v>128</v>
      </c>
      <c r="B141" s="836" t="str">
        <f>'Internal Pricelist'!H134</f>
        <v>14J</v>
      </c>
      <c r="C141" s="836" t="str">
        <f>'Internal Pricelist'!C134</f>
        <v>Unsold</v>
      </c>
      <c r="D141" s="836">
        <v>128</v>
      </c>
      <c r="E141" s="837" t="str">
        <f>'Internal Pricelist'!E134</f>
        <v>12th</v>
      </c>
      <c r="F141" s="838" t="str">
        <f>'Internal Pricelist'!F134</f>
        <v>14th</v>
      </c>
      <c r="G141" s="839" t="str">
        <f t="shared" si="27"/>
        <v>14J</v>
      </c>
      <c r="H141" s="839" t="str">
        <f>'Internal Pricelist'!I134</f>
        <v>1- BR</v>
      </c>
      <c r="I141" s="839">
        <f>'Internal Pricelist'!J134</f>
        <v>69.36</v>
      </c>
      <c r="J141" s="839">
        <f>'Internal Pricelist'!K134</f>
        <v>4.79</v>
      </c>
      <c r="K141" s="839">
        <f>'Internal Pricelist'!L134</f>
        <v>0</v>
      </c>
      <c r="L141" s="840">
        <f t="shared" si="24"/>
        <v>74.150000000000006</v>
      </c>
      <c r="M141" s="851" t="str">
        <f>'Internal Pricelist'!AA134</f>
        <v>INNER</v>
      </c>
      <c r="N141" s="841"/>
      <c r="O141" s="842">
        <f>'Internal Pricelist'!BM134</f>
        <v>14367361.28067686</v>
      </c>
      <c r="P141" s="843">
        <f t="shared" si="28"/>
        <v>1724083.3536812232</v>
      </c>
      <c r="Q141" s="844">
        <f t="shared" si="29"/>
        <v>1436736.1280676862</v>
      </c>
      <c r="R141" s="843">
        <f t="shared" si="30"/>
        <v>17528180.762425769</v>
      </c>
      <c r="S141" s="845">
        <f>'Internal Pricelist'!BS134</f>
        <v>0.15</v>
      </c>
      <c r="T141" s="844">
        <f t="shared" si="31"/>
        <v>2629227.1143638655</v>
      </c>
      <c r="U141" s="839">
        <f>'Internal Pricelist'!BU134</f>
        <v>50000</v>
      </c>
      <c r="V141" s="844">
        <f t="shared" si="32"/>
        <v>2579227.1143638655</v>
      </c>
      <c r="W141" s="846">
        <f>'Internal Pricelist'!BW134</f>
        <v>7</v>
      </c>
      <c r="X141" s="844">
        <f t="shared" si="33"/>
        <v>368461.01633769507</v>
      </c>
      <c r="Y141" s="847">
        <f t="shared" si="34"/>
        <v>0.85</v>
      </c>
      <c r="Z141" s="844">
        <f t="shared" si="35"/>
        <v>14898953.648061903</v>
      </c>
      <c r="AA141" s="844">
        <f t="shared" si="36"/>
        <v>133916.00744997937</v>
      </c>
      <c r="AC141" s="849">
        <f t="shared" si="25"/>
        <v>193760.77249732785</v>
      </c>
      <c r="AD141" s="873">
        <f t="shared" si="37"/>
        <v>0</v>
      </c>
      <c r="AG141" s="882">
        <f t="shared" si="38"/>
        <v>7</v>
      </c>
      <c r="AH141" s="853">
        <f t="shared" si="39"/>
        <v>2579227.1143638655</v>
      </c>
      <c r="AI141" s="854">
        <f t="shared" si="40"/>
        <v>0</v>
      </c>
      <c r="AK141" s="872">
        <f>O141-'Internal Pricelist'!AK141</f>
        <v>4655810.3962290846</v>
      </c>
      <c r="AL141" s="872">
        <f>P141-'Internal Pricelist'!BP141</f>
        <v>151385.28503709054</v>
      </c>
      <c r="AM141" s="872">
        <f>'Internal Pricelist'!BN141+'Internal Pricelist'!BO141</f>
        <v>1310581.7238701107</v>
      </c>
      <c r="AN141" s="872">
        <f t="shared" ref="AN141:AN158" si="42">AM141-Q141</f>
        <v>-126154.40419757552</v>
      </c>
      <c r="AO141" s="872">
        <f>R141-'Internal Pricelist'!BQ141</f>
        <v>1539083.731210418</v>
      </c>
      <c r="AS141" s="873">
        <f>'Internal Pricelist'!AK141-PriceLink_Fitted!O141</f>
        <v>-4655810.3962290846</v>
      </c>
      <c r="AT141" s="873">
        <f>'Internal Pricelist'!BP141-PriceLink_Fitted!P141</f>
        <v>-151385.28503709054</v>
      </c>
      <c r="AU141" s="849">
        <f>'Internal Pricelist'!BN141+'Internal Pricelist'!BO141</f>
        <v>1310581.7238701107</v>
      </c>
      <c r="AV141" s="873">
        <f>PriceLink_Fitted!Q141-PriceLink_Fitted!AU141</f>
        <v>126154.40419757552</v>
      </c>
      <c r="AW141" s="873">
        <f>'Internal Pricelist'!BQ141-PriceLink_Fitted!R141</f>
        <v>-1539083.731210418</v>
      </c>
    </row>
    <row r="142" spans="1:49" hidden="1" x14ac:dyDescent="0.2">
      <c r="A142" s="835">
        <f t="shared" si="26"/>
        <v>129</v>
      </c>
      <c r="B142" s="836" t="str">
        <f>'Internal Pricelist'!H135</f>
        <v>14K</v>
      </c>
      <c r="C142" s="836" t="str">
        <f>'Internal Pricelist'!C135</f>
        <v>Sold</v>
      </c>
      <c r="D142" s="836">
        <v>129</v>
      </c>
      <c r="E142" s="837" t="str">
        <f>'Internal Pricelist'!E135</f>
        <v>12th</v>
      </c>
      <c r="F142" s="838" t="str">
        <f>'Internal Pricelist'!F135</f>
        <v>14th</v>
      </c>
      <c r="G142" s="839" t="str">
        <f t="shared" si="27"/>
        <v>14K</v>
      </c>
      <c r="H142" s="839" t="str">
        <f>'Internal Pricelist'!I135</f>
        <v>2-BR</v>
      </c>
      <c r="I142" s="839">
        <f>'Internal Pricelist'!J135</f>
        <v>69.36</v>
      </c>
      <c r="J142" s="839">
        <f>'Internal Pricelist'!K135</f>
        <v>4.79</v>
      </c>
      <c r="K142" s="839">
        <f>'Internal Pricelist'!L135</f>
        <v>0</v>
      </c>
      <c r="L142" s="840">
        <f t="shared" ref="L142:L157" si="43">I142+J142</f>
        <v>74.150000000000006</v>
      </c>
      <c r="M142" s="851" t="str">
        <f>'Internal Pricelist'!AA135</f>
        <v>INNER</v>
      </c>
      <c r="N142" s="841"/>
      <c r="O142" s="842">
        <f>'Internal Pricelist'!BM135</f>
        <v>14367361.28067686</v>
      </c>
      <c r="P142" s="843">
        <f t="shared" si="28"/>
        <v>1724083.3536812232</v>
      </c>
      <c r="Q142" s="844">
        <f t="shared" si="29"/>
        <v>1436736.1280676862</v>
      </c>
      <c r="R142" s="843">
        <f t="shared" si="30"/>
        <v>17528180.762425769</v>
      </c>
      <c r="S142" s="845">
        <f>'Internal Pricelist'!BS135</f>
        <v>0.15</v>
      </c>
      <c r="T142" s="844">
        <f t="shared" si="31"/>
        <v>2629227.1143638655</v>
      </c>
      <c r="U142" s="839">
        <f>'Internal Pricelist'!BU135</f>
        <v>50000</v>
      </c>
      <c r="V142" s="844">
        <f t="shared" si="32"/>
        <v>2579227.1143638655</v>
      </c>
      <c r="W142" s="846">
        <f>'Internal Pricelist'!BW135</f>
        <v>7</v>
      </c>
      <c r="X142" s="844">
        <f t="shared" si="33"/>
        <v>368461.01633769507</v>
      </c>
      <c r="Y142" s="847">
        <f t="shared" si="34"/>
        <v>0.85</v>
      </c>
      <c r="Z142" s="844">
        <f t="shared" si="35"/>
        <v>14898953.648061903</v>
      </c>
      <c r="AA142" s="844">
        <f t="shared" si="36"/>
        <v>133916.00744997937</v>
      </c>
      <c r="AC142" s="849">
        <f t="shared" ref="AC142:AC150" si="44">O142/L142</f>
        <v>193760.77249732785</v>
      </c>
      <c r="AD142" s="873">
        <f t="shared" si="37"/>
        <v>0</v>
      </c>
      <c r="AG142" s="882">
        <f t="shared" si="38"/>
        <v>7</v>
      </c>
      <c r="AH142" s="853">
        <f t="shared" si="39"/>
        <v>2579227.1143638655</v>
      </c>
      <c r="AI142" s="854">
        <f t="shared" si="40"/>
        <v>0</v>
      </c>
      <c r="AK142" s="872">
        <f>O142-'Internal Pricelist'!AK142</f>
        <v>814339.7244383283</v>
      </c>
      <c r="AL142" s="872">
        <f>P142-'Internal Pricelist'!BP142</f>
        <v>-470706.2406278064</v>
      </c>
      <c r="AM142" s="872">
        <f>'Internal Pricelist'!BN142+'Internal Pricelist'!BO142</f>
        <v>1828991.3285908578</v>
      </c>
      <c r="AN142" s="872">
        <f t="shared" si="42"/>
        <v>392255.20052317157</v>
      </c>
      <c r="AO142" s="872">
        <f>R142-'Internal Pricelist'!BQ142</f>
        <v>-4785513.4463826977</v>
      </c>
      <c r="AS142" s="873">
        <f>'Internal Pricelist'!AK142-PriceLink_Fitted!O142</f>
        <v>-814339.7244383283</v>
      </c>
      <c r="AT142" s="873">
        <f>'Internal Pricelist'!BP142-PriceLink_Fitted!P142</f>
        <v>470706.2406278064</v>
      </c>
      <c r="AU142" s="849">
        <f>'Internal Pricelist'!BN142+'Internal Pricelist'!BO142</f>
        <v>1828991.3285908578</v>
      </c>
      <c r="AV142" s="873">
        <f>PriceLink_Fitted!Q142-PriceLink_Fitted!AU142</f>
        <v>-392255.20052317157</v>
      </c>
      <c r="AW142" s="873">
        <f>'Internal Pricelist'!BQ142-PriceLink_Fitted!R142</f>
        <v>4785513.4463826977</v>
      </c>
    </row>
    <row r="143" spans="1:49" hidden="1" x14ac:dyDescent="0.2">
      <c r="A143" s="835">
        <f t="shared" ref="A143:A157" si="45">A142+1</f>
        <v>130</v>
      </c>
      <c r="B143" s="836" t="str">
        <f>'Internal Pricelist'!H136</f>
        <v>14L</v>
      </c>
      <c r="C143" s="836" t="str">
        <f>'Internal Pricelist'!C136</f>
        <v>Sold</v>
      </c>
      <c r="D143" s="836">
        <v>130</v>
      </c>
      <c r="E143" s="837" t="str">
        <f>'Internal Pricelist'!E136</f>
        <v>12th</v>
      </c>
      <c r="F143" s="838" t="str">
        <f>'Internal Pricelist'!F136</f>
        <v>14th</v>
      </c>
      <c r="G143" s="839" t="str">
        <f t="shared" ref="G143:G150" si="46">B143</f>
        <v>14L</v>
      </c>
      <c r="H143" s="839" t="str">
        <f>'Internal Pricelist'!I136</f>
        <v>2-BR</v>
      </c>
      <c r="I143" s="839">
        <f>'Internal Pricelist'!J136</f>
        <v>83.12</v>
      </c>
      <c r="J143" s="839">
        <f>'Internal Pricelist'!K136</f>
        <v>13.04</v>
      </c>
      <c r="K143" s="839">
        <f>'Internal Pricelist'!L136</f>
        <v>0</v>
      </c>
      <c r="L143" s="840">
        <f t="shared" si="43"/>
        <v>96.16</v>
      </c>
      <c r="M143" s="851" t="str">
        <f>'Internal Pricelist'!AA136</f>
        <v>CORNER</v>
      </c>
      <c r="N143" s="841"/>
      <c r="O143" s="842">
        <f>'Internal Pricelist'!BM136</f>
        <v>18252034.504746988</v>
      </c>
      <c r="P143" s="843">
        <f t="shared" ref="P143:P157" si="47">O143*12%</f>
        <v>2190244.1405696385</v>
      </c>
      <c r="Q143" s="844">
        <f t="shared" ref="Q143:Q157" si="48">O143*$Q$13</f>
        <v>1825203.450474699</v>
      </c>
      <c r="R143" s="843">
        <f t="shared" ref="R143:R157" si="49">O143+P143+Q143</f>
        <v>22267482.095791325</v>
      </c>
      <c r="S143" s="845">
        <f>'Internal Pricelist'!BS136</f>
        <v>0.15</v>
      </c>
      <c r="T143" s="844">
        <f t="shared" ref="T143:T157" si="50">R143*S143</f>
        <v>3340122.3143686987</v>
      </c>
      <c r="U143" s="839">
        <f>'Internal Pricelist'!BU136</f>
        <v>50000</v>
      </c>
      <c r="V143" s="844">
        <f t="shared" ref="V143:V157" si="51">T143-U143</f>
        <v>3290122.3143686987</v>
      </c>
      <c r="W143" s="846">
        <f>'Internal Pricelist'!BW136</f>
        <v>7</v>
      </c>
      <c r="X143" s="844">
        <f t="shared" ref="X143:X157" si="52">V143/W143</f>
        <v>470017.47348124266</v>
      </c>
      <c r="Y143" s="847">
        <f t="shared" ref="Y143:Y157" si="53">100%-S143</f>
        <v>0.85</v>
      </c>
      <c r="Z143" s="844">
        <f t="shared" ref="Z143:Z157" si="54">R143*Y143</f>
        <v>18927359.781422626</v>
      </c>
      <c r="AA143" s="844">
        <f t="shared" ref="AA143:AA157" si="55">Z143*$AA$11</f>
        <v>170124.46064137868</v>
      </c>
      <c r="AC143" s="849">
        <f t="shared" si="44"/>
        <v>189809.01107266004</v>
      </c>
      <c r="AD143" s="873">
        <f t="shared" ref="AD143:AD150" si="56">Z143+(X143*W143)+U143-R143</f>
        <v>0</v>
      </c>
      <c r="AG143" s="882">
        <f t="shared" si="38"/>
        <v>7</v>
      </c>
      <c r="AH143" s="853">
        <f t="shared" si="39"/>
        <v>3290122.3143686987</v>
      </c>
      <c r="AI143" s="854">
        <f t="shared" si="40"/>
        <v>0</v>
      </c>
      <c r="AK143" s="872">
        <f>O143-'Internal Pricelist'!AK143</f>
        <v>8779029.6695210263</v>
      </c>
      <c r="AL143" s="872">
        <f>P143-'Internal Pricelist'!BP143</f>
        <v>656176.45293855551</v>
      </c>
      <c r="AM143" s="872">
        <f>'Internal Pricelist'!BN143+'Internal Pricelist'!BO143</f>
        <v>1278389.7396925692</v>
      </c>
      <c r="AN143" s="872">
        <f t="shared" si="42"/>
        <v>-546813.71078212978</v>
      </c>
      <c r="AO143" s="872">
        <f>R143-'Internal Pricelist'!BQ143</f>
        <v>6671127.271541981</v>
      </c>
      <c r="AS143" s="873">
        <f>'Internal Pricelist'!AK143-PriceLink_Fitted!O143</f>
        <v>-8779029.6695210263</v>
      </c>
      <c r="AT143" s="873">
        <f>'Internal Pricelist'!BP143-PriceLink_Fitted!P143</f>
        <v>-656176.45293855551</v>
      </c>
      <c r="AU143" s="849">
        <f>'Internal Pricelist'!BN143+'Internal Pricelist'!BO143</f>
        <v>1278389.7396925692</v>
      </c>
      <c r="AV143" s="873">
        <f>PriceLink_Fitted!Q143-PriceLink_Fitted!AU143</f>
        <v>546813.71078212978</v>
      </c>
      <c r="AW143" s="873">
        <f>'Internal Pricelist'!BQ143-PriceLink_Fitted!R143</f>
        <v>-6671127.271541981</v>
      </c>
    </row>
    <row r="144" spans="1:49" x14ac:dyDescent="0.2">
      <c r="A144" s="835">
        <f t="shared" si="45"/>
        <v>131</v>
      </c>
      <c r="B144" s="836" t="str">
        <f>'Internal Pricelist'!H137</f>
        <v>14M</v>
      </c>
      <c r="C144" s="836" t="str">
        <f>'Internal Pricelist'!C137</f>
        <v>Unsold</v>
      </c>
      <c r="D144" s="836">
        <v>131</v>
      </c>
      <c r="E144" s="837" t="str">
        <f>'Internal Pricelist'!E137</f>
        <v>12th</v>
      </c>
      <c r="F144" s="838" t="str">
        <f>'Internal Pricelist'!F137</f>
        <v>14th</v>
      </c>
      <c r="G144" s="839" t="str">
        <f t="shared" si="46"/>
        <v>14M</v>
      </c>
      <c r="H144" s="839" t="str">
        <f>'Internal Pricelist'!I137</f>
        <v>1-BR</v>
      </c>
      <c r="I144" s="839">
        <f>'Internal Pricelist'!J137</f>
        <v>52.04</v>
      </c>
      <c r="J144" s="839">
        <f>'Internal Pricelist'!K137</f>
        <v>3.1</v>
      </c>
      <c r="K144" s="839">
        <f>'Internal Pricelist'!L137</f>
        <v>0</v>
      </c>
      <c r="L144" s="840">
        <f t="shared" si="43"/>
        <v>55.14</v>
      </c>
      <c r="M144" s="851" t="str">
        <f>'Internal Pricelist'!AA137</f>
        <v>INNER</v>
      </c>
      <c r="N144" s="841"/>
      <c r="O144" s="842">
        <f>'Internal Pricelist'!BM137</f>
        <v>10728653.03934809</v>
      </c>
      <c r="P144" s="843">
        <f t="shared" si="47"/>
        <v>1287438.3647217709</v>
      </c>
      <c r="Q144" s="844">
        <f t="shared" si="48"/>
        <v>1072865.3039348091</v>
      </c>
      <c r="R144" s="843">
        <f t="shared" si="49"/>
        <v>13088956.70800467</v>
      </c>
      <c r="S144" s="845">
        <f>'Internal Pricelist'!BS137</f>
        <v>0.15</v>
      </c>
      <c r="T144" s="844">
        <f t="shared" si="50"/>
        <v>1963343.5062007005</v>
      </c>
      <c r="U144" s="839">
        <f>'Internal Pricelist'!BU137</f>
        <v>50000</v>
      </c>
      <c r="V144" s="844">
        <f t="shared" si="51"/>
        <v>1913343.5062007005</v>
      </c>
      <c r="W144" s="846">
        <f>'Internal Pricelist'!BW137</f>
        <v>7</v>
      </c>
      <c r="X144" s="844">
        <f t="shared" si="52"/>
        <v>273334.78660010005</v>
      </c>
      <c r="Y144" s="847">
        <f t="shared" si="53"/>
        <v>0.85</v>
      </c>
      <c r="Z144" s="844">
        <f t="shared" si="54"/>
        <v>11125613.201803969</v>
      </c>
      <c r="AA144" s="844">
        <f t="shared" si="55"/>
        <v>100000.15676350394</v>
      </c>
      <c r="AC144" s="849">
        <f t="shared" si="44"/>
        <v>194571.14688698022</v>
      </c>
      <c r="AD144" s="873">
        <f t="shared" si="56"/>
        <v>0</v>
      </c>
      <c r="AG144" s="882">
        <f t="shared" si="38"/>
        <v>7</v>
      </c>
      <c r="AH144" s="853">
        <f t="shared" si="39"/>
        <v>1913343.5062007003</v>
      </c>
      <c r="AI144" s="854">
        <f t="shared" si="40"/>
        <v>0</v>
      </c>
      <c r="AK144" s="872">
        <f>O144-'Internal Pricelist'!AK144</f>
        <v>-4731237.6417971011</v>
      </c>
      <c r="AL144" s="872">
        <f>P144-'Internal Pricelist'!BP144</f>
        <v>-1216151.4846217423</v>
      </c>
      <c r="AM144" s="872">
        <f>'Internal Pricelist'!BN144+'Internal Pricelist'!BO144</f>
        <v>2086324.8744529278</v>
      </c>
      <c r="AN144" s="872">
        <f t="shared" si="42"/>
        <v>1013459.5705181188</v>
      </c>
      <c r="AO144" s="872">
        <f>R144-'Internal Pricelist'!BQ144</f>
        <v>-12364206.760321049</v>
      </c>
      <c r="AS144" s="873">
        <f>'Internal Pricelist'!AK144-PriceLink_Fitted!O144</f>
        <v>4731237.6417971011</v>
      </c>
      <c r="AT144" s="873">
        <f>'Internal Pricelist'!BP144-PriceLink_Fitted!P144</f>
        <v>1216151.4846217423</v>
      </c>
      <c r="AU144" s="849">
        <f>'Internal Pricelist'!BN144+'Internal Pricelist'!BO144</f>
        <v>2086324.8744529278</v>
      </c>
      <c r="AV144" s="873">
        <f>PriceLink_Fitted!Q144-PriceLink_Fitted!AU144</f>
        <v>-1013459.5705181188</v>
      </c>
      <c r="AW144" s="873">
        <f>'Internal Pricelist'!BQ144-PriceLink_Fitted!R144</f>
        <v>12364206.760321049</v>
      </c>
    </row>
    <row r="145" spans="1:49" hidden="1" x14ac:dyDescent="0.2">
      <c r="A145" s="835">
        <f t="shared" si="45"/>
        <v>132</v>
      </c>
      <c r="B145" s="836" t="str">
        <f>'Internal Pricelist'!H138</f>
        <v>15A</v>
      </c>
      <c r="C145" s="836" t="str">
        <f>'Internal Pricelist'!C138</f>
        <v>Sold</v>
      </c>
      <c r="D145" s="836">
        <v>132</v>
      </c>
      <c r="E145" s="837" t="str">
        <f>'Internal Pricelist'!E138</f>
        <v>13th</v>
      </c>
      <c r="F145" s="838" t="str">
        <f>'Internal Pricelist'!F138</f>
        <v>15th</v>
      </c>
      <c r="G145" s="839" t="str">
        <f t="shared" si="46"/>
        <v>15A</v>
      </c>
      <c r="H145" s="839" t="str">
        <f>'Internal Pricelist'!I138</f>
        <v>3-BR</v>
      </c>
      <c r="I145" s="839">
        <f>'Internal Pricelist'!J138</f>
        <v>99.98</v>
      </c>
      <c r="J145" s="839">
        <f>'Internal Pricelist'!K138</f>
        <v>10.29</v>
      </c>
      <c r="K145" s="839">
        <f>'Internal Pricelist'!L138</f>
        <v>0</v>
      </c>
      <c r="L145" s="840">
        <f t="shared" si="43"/>
        <v>110.27000000000001</v>
      </c>
      <c r="M145" s="851" t="str">
        <f>'Internal Pricelist'!AA138</f>
        <v>CORNER</v>
      </c>
      <c r="N145" s="841"/>
      <c r="O145" s="842">
        <f>'Internal Pricelist'!BM138</f>
        <v>21622498.254637729</v>
      </c>
      <c r="P145" s="843">
        <f t="shared" si="47"/>
        <v>2594699.7905565272</v>
      </c>
      <c r="Q145" s="844">
        <f t="shared" si="48"/>
        <v>2162249.8254637732</v>
      </c>
      <c r="R145" s="843">
        <f t="shared" si="49"/>
        <v>26379447.870658029</v>
      </c>
      <c r="S145" s="845">
        <f>'Internal Pricelist'!BS138</f>
        <v>0.15</v>
      </c>
      <c r="T145" s="844">
        <f t="shared" si="50"/>
        <v>3956917.1805987041</v>
      </c>
      <c r="U145" s="839">
        <f>'Internal Pricelist'!BU138</f>
        <v>50000</v>
      </c>
      <c r="V145" s="844">
        <f t="shared" si="51"/>
        <v>3906917.1805987041</v>
      </c>
      <c r="W145" s="846">
        <f>'Internal Pricelist'!BW138</f>
        <v>7</v>
      </c>
      <c r="X145" s="844">
        <f t="shared" si="52"/>
        <v>558131.02579981484</v>
      </c>
      <c r="Y145" s="847">
        <f t="shared" si="53"/>
        <v>0.85</v>
      </c>
      <c r="Z145" s="844">
        <f t="shared" si="54"/>
        <v>22422530.690059323</v>
      </c>
      <c r="AA145" s="844">
        <f t="shared" si="55"/>
        <v>201540.04488281495</v>
      </c>
      <c r="AC145" s="849">
        <f t="shared" si="44"/>
        <v>196086.86183583684</v>
      </c>
      <c r="AD145" s="873">
        <f t="shared" si="56"/>
        <v>0</v>
      </c>
      <c r="AG145" s="882">
        <f t="shared" si="38"/>
        <v>7</v>
      </c>
      <c r="AH145" s="853">
        <f t="shared" si="39"/>
        <v>3906917.1805987041</v>
      </c>
      <c r="AI145" s="854">
        <f t="shared" si="40"/>
        <v>0</v>
      </c>
      <c r="AK145" s="872">
        <f>O145-'Internal Pricelist'!AK145</f>
        <v>10961409.556100393</v>
      </c>
      <c r="AL145" s="872">
        <f>P145-'Internal Pricelist'!BP145</f>
        <v>868232.63764443505</v>
      </c>
      <c r="AM145" s="872">
        <f>'Internal Pricelist'!BN145+'Internal Pricelist'!BO145</f>
        <v>1438722.6274267435</v>
      </c>
      <c r="AN145" s="872">
        <f t="shared" si="42"/>
        <v>-723527.19803702971</v>
      </c>
      <c r="AO145" s="872">
        <f>R145-'Internal Pricelist'!BQ145</f>
        <v>8827031.8160517588</v>
      </c>
      <c r="AS145" s="873">
        <f>'Internal Pricelist'!AK145-PriceLink_Fitted!O145</f>
        <v>-10961409.556100393</v>
      </c>
      <c r="AT145" s="873">
        <f>'Internal Pricelist'!BP145-PriceLink_Fitted!P145</f>
        <v>-868232.63764443505</v>
      </c>
      <c r="AU145" s="849">
        <f>'Internal Pricelist'!BN145+'Internal Pricelist'!BO145</f>
        <v>1438722.6274267435</v>
      </c>
      <c r="AV145" s="873">
        <f>PriceLink_Fitted!Q145-PriceLink_Fitted!AU145</f>
        <v>723527.19803702971</v>
      </c>
      <c r="AW145" s="873">
        <f>'Internal Pricelist'!BQ145-PriceLink_Fitted!R145</f>
        <v>-8827031.8160517588</v>
      </c>
    </row>
    <row r="146" spans="1:49" hidden="1" x14ac:dyDescent="0.2">
      <c r="A146" s="835">
        <f t="shared" si="45"/>
        <v>133</v>
      </c>
      <c r="B146" s="836" t="str">
        <f>'Internal Pricelist'!H139</f>
        <v>15B</v>
      </c>
      <c r="C146" s="836" t="str">
        <f>'Internal Pricelist'!C139</f>
        <v>Sold</v>
      </c>
      <c r="D146" s="836">
        <v>133</v>
      </c>
      <c r="E146" s="837" t="str">
        <f>'Internal Pricelist'!E139</f>
        <v>13th</v>
      </c>
      <c r="F146" s="838" t="str">
        <f>'Internal Pricelist'!F139</f>
        <v>15th</v>
      </c>
      <c r="G146" s="839" t="str">
        <f t="shared" si="46"/>
        <v>15B</v>
      </c>
      <c r="H146" s="839" t="str">
        <f>'Internal Pricelist'!I139</f>
        <v>1-BR</v>
      </c>
      <c r="I146" s="839">
        <f>'Internal Pricelist'!J139</f>
        <v>52.86</v>
      </c>
      <c r="J146" s="839">
        <f>'Internal Pricelist'!K139</f>
        <v>5.09</v>
      </c>
      <c r="K146" s="839">
        <f>'Internal Pricelist'!L139</f>
        <v>0</v>
      </c>
      <c r="L146" s="840">
        <f t="shared" si="43"/>
        <v>57.95</v>
      </c>
      <c r="M146" s="851" t="str">
        <f>'Internal Pricelist'!AA139</f>
        <v>INNER</v>
      </c>
      <c r="N146" s="841"/>
      <c r="O146" s="842">
        <f>'Internal Pricelist'!BM139</f>
        <v>11224954.009197591</v>
      </c>
      <c r="P146" s="843">
        <f t="shared" si="47"/>
        <v>1346994.4811037108</v>
      </c>
      <c r="Q146" s="844">
        <f t="shared" si="48"/>
        <v>1122495.4009197592</v>
      </c>
      <c r="R146" s="843">
        <f t="shared" si="49"/>
        <v>13694443.891221061</v>
      </c>
      <c r="S146" s="845">
        <f>'Internal Pricelist'!BS139</f>
        <v>0.15</v>
      </c>
      <c r="T146" s="844">
        <f t="shared" si="50"/>
        <v>2054166.5836831592</v>
      </c>
      <c r="U146" s="839">
        <f>'Internal Pricelist'!BU139</f>
        <v>50000</v>
      </c>
      <c r="V146" s="844">
        <f t="shared" si="51"/>
        <v>2004166.5836831592</v>
      </c>
      <c r="W146" s="846">
        <f>'Internal Pricelist'!BW139</f>
        <v>7</v>
      </c>
      <c r="X146" s="844">
        <f t="shared" si="52"/>
        <v>286309.51195473701</v>
      </c>
      <c r="Y146" s="847">
        <f t="shared" si="53"/>
        <v>0.85</v>
      </c>
      <c r="Z146" s="844">
        <f t="shared" si="54"/>
        <v>11640277.307537902</v>
      </c>
      <c r="AA146" s="844">
        <f t="shared" si="55"/>
        <v>104626.10324577035</v>
      </c>
      <c r="AC146" s="849">
        <f t="shared" si="44"/>
        <v>193700.67315267629</v>
      </c>
      <c r="AD146" s="873">
        <f t="shared" si="56"/>
        <v>0</v>
      </c>
      <c r="AG146" s="882">
        <f t="shared" ref="AG146:AG150" si="57">W146</f>
        <v>7</v>
      </c>
      <c r="AH146" s="853">
        <f t="shared" ref="AH146:AH150" si="58">X146*W146</f>
        <v>2004166.5836831592</v>
      </c>
      <c r="AI146" s="854">
        <f t="shared" ref="AI146:AI150" si="59">R146-U146-AH146-Z146</f>
        <v>0</v>
      </c>
      <c r="AK146" s="872">
        <f>O146-'Internal Pricelist'!AK146</f>
        <v>538523.93888159841</v>
      </c>
      <c r="AL146" s="872">
        <f>P146-'Internal Pricelist'!BP146</f>
        <v>-383576.47839162266</v>
      </c>
      <c r="AM146" s="872">
        <f>'Internal Pricelist'!BN146+'Internal Pricelist'!BO146</f>
        <v>1442142.4662461113</v>
      </c>
      <c r="AN146" s="872">
        <f t="shared" si="42"/>
        <v>319647.06532635214</v>
      </c>
      <c r="AO146" s="872">
        <f>R146-'Internal Pricelist'!BQ146</f>
        <v>-3899694.1969814971</v>
      </c>
      <c r="AS146" s="873">
        <f>'Internal Pricelist'!AK146-PriceLink_Fitted!O146</f>
        <v>-538523.93888159841</v>
      </c>
      <c r="AT146" s="873">
        <f>'Internal Pricelist'!BP146-PriceLink_Fitted!P146</f>
        <v>383576.47839162266</v>
      </c>
      <c r="AU146" s="849">
        <f>'Internal Pricelist'!BN146+'Internal Pricelist'!BO146</f>
        <v>1442142.4662461113</v>
      </c>
      <c r="AV146" s="873">
        <f>PriceLink_Fitted!Q146-PriceLink_Fitted!AU146</f>
        <v>-319647.06532635214</v>
      </c>
      <c r="AW146" s="873">
        <f>'Internal Pricelist'!BQ146-PriceLink_Fitted!R146</f>
        <v>3899694.1969814971</v>
      </c>
    </row>
    <row r="147" spans="1:49" hidden="1" x14ac:dyDescent="0.2">
      <c r="A147" s="835">
        <f t="shared" si="45"/>
        <v>134</v>
      </c>
      <c r="B147" s="836" t="str">
        <f>'Internal Pricelist'!H140</f>
        <v>15C</v>
      </c>
      <c r="C147" s="836" t="str">
        <f>'Internal Pricelist'!C140</f>
        <v>Sold</v>
      </c>
      <c r="D147" s="836">
        <v>134</v>
      </c>
      <c r="E147" s="837" t="str">
        <f>'Internal Pricelist'!E140</f>
        <v>13th</v>
      </c>
      <c r="F147" s="838" t="str">
        <f>'Internal Pricelist'!F140</f>
        <v>15th</v>
      </c>
      <c r="G147" s="839" t="str">
        <f t="shared" si="46"/>
        <v>15C</v>
      </c>
      <c r="H147" s="839" t="str">
        <f>'Internal Pricelist'!I140</f>
        <v>2-BR</v>
      </c>
      <c r="I147" s="839">
        <f>'Internal Pricelist'!J140</f>
        <v>57.5</v>
      </c>
      <c r="J147" s="839">
        <f>'Internal Pricelist'!K140</f>
        <v>5.09</v>
      </c>
      <c r="K147" s="839">
        <f>'Internal Pricelist'!L140</f>
        <v>0</v>
      </c>
      <c r="L147" s="840">
        <f t="shared" si="43"/>
        <v>62.59</v>
      </c>
      <c r="M147" s="851" t="str">
        <f>'Internal Pricelist'!AA140</f>
        <v>INNER</v>
      </c>
      <c r="N147" s="841"/>
      <c r="O147" s="842">
        <f>'Internal Pricelist'!BM140</f>
        <v>12163144.928266281</v>
      </c>
      <c r="P147" s="843">
        <f t="shared" si="47"/>
        <v>1459577.3913919537</v>
      </c>
      <c r="Q147" s="844">
        <f t="shared" si="48"/>
        <v>1216314.4928266283</v>
      </c>
      <c r="R147" s="843">
        <f t="shared" si="49"/>
        <v>14839036.812484862</v>
      </c>
      <c r="S147" s="845">
        <f>'Internal Pricelist'!BS140</f>
        <v>0.15</v>
      </c>
      <c r="T147" s="844">
        <f t="shared" si="50"/>
        <v>2225855.5218727291</v>
      </c>
      <c r="U147" s="839">
        <f>'Internal Pricelist'!BU140</f>
        <v>50000</v>
      </c>
      <c r="V147" s="844">
        <f t="shared" si="51"/>
        <v>2175855.5218727291</v>
      </c>
      <c r="W147" s="846">
        <f>'Internal Pricelist'!BW140</f>
        <v>7</v>
      </c>
      <c r="X147" s="844">
        <f t="shared" si="52"/>
        <v>310836.5031246756</v>
      </c>
      <c r="Y147" s="847">
        <f t="shared" si="53"/>
        <v>0.85</v>
      </c>
      <c r="Z147" s="844">
        <f t="shared" si="54"/>
        <v>12613181.290612133</v>
      </c>
      <c r="AA147" s="844">
        <f t="shared" si="55"/>
        <v>113370.83929389087</v>
      </c>
      <c r="AC147" s="849">
        <f t="shared" si="44"/>
        <v>194330.48295680271</v>
      </c>
      <c r="AD147" s="873">
        <f t="shared" si="56"/>
        <v>0</v>
      </c>
      <c r="AG147" s="882">
        <f t="shared" si="57"/>
        <v>7</v>
      </c>
      <c r="AH147" s="853">
        <f t="shared" si="58"/>
        <v>2175855.5218727291</v>
      </c>
      <c r="AI147" s="854">
        <f t="shared" si="59"/>
        <v>0</v>
      </c>
      <c r="AK147" s="872">
        <f>O147-'Internal Pricelist'!AK147</f>
        <v>1476714.8579502888</v>
      </c>
      <c r="AL147" s="872">
        <f>P147-'Internal Pricelist'!BP147</f>
        <v>-270993.5681033798</v>
      </c>
      <c r="AM147" s="872">
        <f>'Internal Pricelist'!BN147+'Internal Pricelist'!BO147</f>
        <v>1442142.4662461113</v>
      </c>
      <c r="AN147" s="872">
        <f t="shared" si="42"/>
        <v>225827.97341948305</v>
      </c>
      <c r="AO147" s="872">
        <f>R147-'Internal Pricelist'!BQ147</f>
        <v>-2755101.2757176962</v>
      </c>
      <c r="AS147" s="873">
        <f>'Internal Pricelist'!AK147-PriceLink_Fitted!O147</f>
        <v>-1476714.8579502888</v>
      </c>
      <c r="AT147" s="873">
        <f>'Internal Pricelist'!BP147-PriceLink_Fitted!P147</f>
        <v>270993.5681033798</v>
      </c>
      <c r="AU147" s="849">
        <f>'Internal Pricelist'!BN147+'Internal Pricelist'!BO147</f>
        <v>1442142.4662461113</v>
      </c>
      <c r="AV147" s="873">
        <f>PriceLink_Fitted!Q147-PriceLink_Fitted!AU147</f>
        <v>-225827.97341948305</v>
      </c>
      <c r="AW147" s="873">
        <f>'Internal Pricelist'!BQ147-PriceLink_Fitted!R147</f>
        <v>2755101.2757176962</v>
      </c>
    </row>
    <row r="148" spans="1:49" hidden="1" x14ac:dyDescent="0.2">
      <c r="A148" s="835">
        <f t="shared" si="45"/>
        <v>135</v>
      </c>
      <c r="B148" s="836" t="str">
        <f>'Internal Pricelist'!H141</f>
        <v>15D</v>
      </c>
      <c r="C148" s="836" t="str">
        <f>'Internal Pricelist'!C141</f>
        <v>Sold</v>
      </c>
      <c r="D148" s="836">
        <v>135</v>
      </c>
      <c r="E148" s="837" t="str">
        <f>'Internal Pricelist'!E141</f>
        <v>13th</v>
      </c>
      <c r="F148" s="838" t="str">
        <f>'Internal Pricelist'!F141</f>
        <v>15th</v>
      </c>
      <c r="G148" s="839" t="str">
        <f t="shared" si="46"/>
        <v>15D</v>
      </c>
      <c r="H148" s="839" t="str">
        <f>'Internal Pricelist'!I141</f>
        <v>2-BR</v>
      </c>
      <c r="I148" s="839">
        <f>'Internal Pricelist'!J141</f>
        <v>62.11</v>
      </c>
      <c r="J148" s="839">
        <f>'Internal Pricelist'!K141</f>
        <v>5.19</v>
      </c>
      <c r="K148" s="839">
        <f>'Internal Pricelist'!L141</f>
        <v>0</v>
      </c>
      <c r="L148" s="840">
        <f t="shared" si="43"/>
        <v>67.3</v>
      </c>
      <c r="M148" s="851" t="str">
        <f>'Internal Pricelist'!AA141</f>
        <v>INNER</v>
      </c>
      <c r="N148" s="841"/>
      <c r="O148" s="842">
        <f>'Internal Pricelist'!BM141</f>
        <v>13105817.238701107</v>
      </c>
      <c r="P148" s="843">
        <f t="shared" si="47"/>
        <v>1572698.0686441327</v>
      </c>
      <c r="Q148" s="844">
        <f t="shared" si="48"/>
        <v>1310581.7238701107</v>
      </c>
      <c r="R148" s="843">
        <f t="shared" si="49"/>
        <v>15989097.031215351</v>
      </c>
      <c r="S148" s="845">
        <f>'Internal Pricelist'!BS141</f>
        <v>0.15</v>
      </c>
      <c r="T148" s="844">
        <f t="shared" si="50"/>
        <v>2398364.5546823028</v>
      </c>
      <c r="U148" s="839">
        <f>'Internal Pricelist'!BU141</f>
        <v>50000</v>
      </c>
      <c r="V148" s="844">
        <f t="shared" si="51"/>
        <v>2348364.5546823028</v>
      </c>
      <c r="W148" s="846">
        <f>'Internal Pricelist'!BW141</f>
        <v>7</v>
      </c>
      <c r="X148" s="844">
        <f t="shared" si="52"/>
        <v>335480.6506689004</v>
      </c>
      <c r="Y148" s="847">
        <f t="shared" si="53"/>
        <v>0.85</v>
      </c>
      <c r="Z148" s="844">
        <f t="shared" si="54"/>
        <v>13590732.476533048</v>
      </c>
      <c r="AA148" s="844">
        <f t="shared" si="55"/>
        <v>122157.34571500121</v>
      </c>
      <c r="AC148" s="849">
        <f t="shared" si="44"/>
        <v>194737.25466123488</v>
      </c>
      <c r="AD148" s="873">
        <f t="shared" si="56"/>
        <v>0</v>
      </c>
      <c r="AG148" s="882">
        <f t="shared" si="57"/>
        <v>7</v>
      </c>
      <c r="AH148" s="853">
        <f t="shared" si="58"/>
        <v>2348364.5546823028</v>
      </c>
      <c r="AI148" s="854">
        <f t="shared" si="59"/>
        <v>0</v>
      </c>
      <c r="AK148" s="872">
        <f>O148-'Internal Pricelist'!AK148</f>
        <v>2419387.1683851145</v>
      </c>
      <c r="AL148" s="872">
        <f>P148-'Internal Pricelist'!BP148</f>
        <v>-157872.89085120079</v>
      </c>
      <c r="AM148" s="872">
        <f>'Internal Pricelist'!BN148+'Internal Pricelist'!BO148</f>
        <v>1442142.4662461113</v>
      </c>
      <c r="AN148" s="872">
        <f t="shared" si="42"/>
        <v>131560.74237600062</v>
      </c>
      <c r="AO148" s="872">
        <f>R148-'Internal Pricelist'!BQ148</f>
        <v>-1605041.0569872074</v>
      </c>
      <c r="AS148" s="873">
        <f>'Internal Pricelist'!AK148-PriceLink_Fitted!O148</f>
        <v>-2419387.1683851145</v>
      </c>
      <c r="AT148" s="873">
        <f>'Internal Pricelist'!BP148-PriceLink_Fitted!P148</f>
        <v>157872.89085120079</v>
      </c>
      <c r="AU148" s="849">
        <f>'Internal Pricelist'!BN148+'Internal Pricelist'!BO148</f>
        <v>1442142.4662461113</v>
      </c>
      <c r="AV148" s="873">
        <f>PriceLink_Fitted!Q148-PriceLink_Fitted!AU148</f>
        <v>-131560.74237600062</v>
      </c>
      <c r="AW148" s="873">
        <f>'Internal Pricelist'!BQ148-PriceLink_Fitted!R148</f>
        <v>1605041.0569872074</v>
      </c>
    </row>
    <row r="149" spans="1:49" hidden="1" x14ac:dyDescent="0.2">
      <c r="A149" s="835">
        <f t="shared" si="45"/>
        <v>136</v>
      </c>
      <c r="B149" s="836" t="str">
        <f>'Internal Pricelist'!H142</f>
        <v>15E</v>
      </c>
      <c r="C149" s="836" t="str">
        <f>'Internal Pricelist'!C142</f>
        <v>Sold</v>
      </c>
      <c r="D149" s="836">
        <v>136</v>
      </c>
      <c r="E149" s="837" t="str">
        <f>'Internal Pricelist'!E142</f>
        <v>13th</v>
      </c>
      <c r="F149" s="838" t="str">
        <f>'Internal Pricelist'!F142</f>
        <v>15th</v>
      </c>
      <c r="G149" s="839" t="str">
        <f t="shared" si="46"/>
        <v>15E</v>
      </c>
      <c r="H149" s="839" t="str">
        <f>'Internal Pricelist'!I142</f>
        <v>2-BR</v>
      </c>
      <c r="I149" s="839">
        <f>'Internal Pricelist'!J142</f>
        <v>80.900000000000006</v>
      </c>
      <c r="J149" s="839">
        <f>'Internal Pricelist'!K142</f>
        <v>15.65</v>
      </c>
      <c r="K149" s="839">
        <f>'Internal Pricelist'!L142</f>
        <v>0</v>
      </c>
      <c r="L149" s="840">
        <f t="shared" si="43"/>
        <v>96.550000000000011</v>
      </c>
      <c r="M149" s="851" t="str">
        <f>'Internal Pricelist'!AA142</f>
        <v>CORNER</v>
      </c>
      <c r="N149" s="841"/>
      <c r="O149" s="842">
        <f>'Internal Pricelist'!BM142</f>
        <v>18289913.28590858</v>
      </c>
      <c r="P149" s="843">
        <f t="shared" si="47"/>
        <v>2194789.5943090296</v>
      </c>
      <c r="Q149" s="844">
        <f t="shared" si="48"/>
        <v>1828991.328590858</v>
      </c>
      <c r="R149" s="843">
        <f t="shared" si="49"/>
        <v>22313694.208808467</v>
      </c>
      <c r="S149" s="845">
        <f>'Internal Pricelist'!BS142</f>
        <v>0.15</v>
      </c>
      <c r="T149" s="844">
        <f t="shared" si="50"/>
        <v>3347054.13132127</v>
      </c>
      <c r="U149" s="839">
        <f>'Internal Pricelist'!BU142</f>
        <v>50000</v>
      </c>
      <c r="V149" s="844">
        <f t="shared" si="51"/>
        <v>3297054.13132127</v>
      </c>
      <c r="W149" s="846">
        <f>'Internal Pricelist'!BW142</f>
        <v>7</v>
      </c>
      <c r="X149" s="844">
        <f t="shared" si="52"/>
        <v>471007.7330458957</v>
      </c>
      <c r="Y149" s="847">
        <f t="shared" si="53"/>
        <v>0.85</v>
      </c>
      <c r="Z149" s="844">
        <f t="shared" si="54"/>
        <v>18966640.077487197</v>
      </c>
      <c r="AA149" s="844">
        <f t="shared" si="55"/>
        <v>170477.52304728157</v>
      </c>
      <c r="AC149" s="849">
        <f t="shared" si="44"/>
        <v>189434.62750811578</v>
      </c>
      <c r="AD149" s="873">
        <f t="shared" si="56"/>
        <v>0</v>
      </c>
      <c r="AG149" s="882">
        <f t="shared" si="57"/>
        <v>7</v>
      </c>
      <c r="AH149" s="853">
        <f t="shared" si="58"/>
        <v>3297054.13132127</v>
      </c>
      <c r="AI149" s="854">
        <f t="shared" si="59"/>
        <v>0</v>
      </c>
      <c r="AK149" s="872">
        <f>O149-'Internal Pricelist'!AK149</f>
        <v>4609101.1830307674</v>
      </c>
      <c r="AL149" s="872">
        <f>P149-'Internal Pricelist'!BP149</f>
        <v>-20694.526371932589</v>
      </c>
      <c r="AM149" s="872">
        <f>'Internal Pricelist'!BN149+'Internal Pricelist'!BO149</f>
        <v>1846236.7672341354</v>
      </c>
      <c r="AN149" s="872">
        <f t="shared" si="42"/>
        <v>17245.43864327739</v>
      </c>
      <c r="AO149" s="872">
        <f>R149-'Internal Pricelist'!BQ149</f>
        <v>-210394.35144798458</v>
      </c>
      <c r="AS149" s="873">
        <f>'Internal Pricelist'!AK149-PriceLink_Fitted!O149</f>
        <v>-4609101.1830307674</v>
      </c>
      <c r="AT149" s="873">
        <f>'Internal Pricelist'!BP149-PriceLink_Fitted!P149</f>
        <v>20694.526371932589</v>
      </c>
      <c r="AU149" s="849">
        <f>'Internal Pricelist'!BN149+'Internal Pricelist'!BO149</f>
        <v>1846236.7672341354</v>
      </c>
      <c r="AV149" s="873">
        <f>PriceLink_Fitted!Q149-PriceLink_Fitted!AU149</f>
        <v>-17245.43864327739</v>
      </c>
      <c r="AW149" s="873">
        <f>'Internal Pricelist'!BQ149-PriceLink_Fitted!R149</f>
        <v>210394.35144798458</v>
      </c>
    </row>
    <row r="150" spans="1:49" hidden="1" x14ac:dyDescent="0.2">
      <c r="A150" s="835">
        <f t="shared" si="45"/>
        <v>137</v>
      </c>
      <c r="B150" s="836" t="str">
        <f>'Internal Pricelist'!H143</f>
        <v>15F</v>
      </c>
      <c r="C150" s="836" t="str">
        <f>'Internal Pricelist'!C143</f>
        <v>Sold</v>
      </c>
      <c r="D150" s="836">
        <v>137</v>
      </c>
      <c r="E150" s="837" t="str">
        <f>'Internal Pricelist'!E143</f>
        <v>13th</v>
      </c>
      <c r="F150" s="838" t="str">
        <f>'Internal Pricelist'!F143</f>
        <v>15th</v>
      </c>
      <c r="G150" s="839" t="str">
        <f t="shared" si="46"/>
        <v>15F</v>
      </c>
      <c r="H150" s="839" t="str">
        <f>'Internal Pricelist'!I143</f>
        <v>2-BR</v>
      </c>
      <c r="I150" s="839">
        <f>'Internal Pricelist'!J143</f>
        <v>61.56</v>
      </c>
      <c r="J150" s="839">
        <f>'Internal Pricelist'!K143</f>
        <v>4.0999999999999996</v>
      </c>
      <c r="K150" s="839">
        <f>'Internal Pricelist'!L143</f>
        <v>0</v>
      </c>
      <c r="L150" s="840">
        <f t="shared" si="43"/>
        <v>65.66</v>
      </c>
      <c r="M150" s="851" t="str">
        <f>'Internal Pricelist'!AA143</f>
        <v>INNER</v>
      </c>
      <c r="N150" s="841"/>
      <c r="O150" s="842">
        <f>'Internal Pricelist'!BM143</f>
        <v>12783897.396925692</v>
      </c>
      <c r="P150" s="843">
        <f t="shared" si="47"/>
        <v>1534067.687631083</v>
      </c>
      <c r="Q150" s="844">
        <f t="shared" si="48"/>
        <v>1278389.7396925692</v>
      </c>
      <c r="R150" s="843">
        <f t="shared" si="49"/>
        <v>15596354.824249344</v>
      </c>
      <c r="S150" s="845">
        <f>'Internal Pricelist'!BS143</f>
        <v>0.15</v>
      </c>
      <c r="T150" s="844">
        <f t="shared" si="50"/>
        <v>2339453.2236374016</v>
      </c>
      <c r="U150" s="839">
        <f>'Internal Pricelist'!BU143</f>
        <v>50000</v>
      </c>
      <c r="V150" s="844">
        <f t="shared" si="51"/>
        <v>2289453.2236374016</v>
      </c>
      <c r="W150" s="846">
        <f>'Internal Pricelist'!BW143</f>
        <v>7</v>
      </c>
      <c r="X150" s="844">
        <f t="shared" si="52"/>
        <v>327064.74623391451</v>
      </c>
      <c r="Y150" s="847">
        <f t="shared" si="53"/>
        <v>0.85</v>
      </c>
      <c r="Z150" s="844">
        <f t="shared" si="54"/>
        <v>13256901.600611942</v>
      </c>
      <c r="AA150" s="844">
        <f t="shared" si="55"/>
        <v>119156.77942538803</v>
      </c>
      <c r="AC150" s="849">
        <f t="shared" si="44"/>
        <v>194698.40689804588</v>
      </c>
      <c r="AD150" s="873">
        <f t="shared" si="56"/>
        <v>0</v>
      </c>
      <c r="AG150" s="882">
        <f t="shared" si="57"/>
        <v>7</v>
      </c>
      <c r="AH150" s="853">
        <f t="shared" si="58"/>
        <v>2289453.2236374016</v>
      </c>
      <c r="AI150" s="854">
        <f t="shared" si="59"/>
        <v>0</v>
      </c>
      <c r="AK150" s="872">
        <f>O150-'Internal Pricelist'!AK150</f>
        <v>4744478.0012256652</v>
      </c>
      <c r="AL150" s="872">
        <f>P150-'Internal Pricelist'!BP150</f>
        <v>232156.23115246533</v>
      </c>
      <c r="AM150" s="872">
        <f>'Internal Pricelist'!BN150+'Internal Pricelist'!BO150</f>
        <v>1084926.2137321813</v>
      </c>
      <c r="AN150" s="872">
        <f t="shared" si="42"/>
        <v>-193463.52596038789</v>
      </c>
      <c r="AO150" s="872">
        <f>R150-'Internal Pricelist'!BQ150</f>
        <v>2360255.0167167317</v>
      </c>
      <c r="AS150" s="873">
        <f>'Internal Pricelist'!AK150-PriceLink_Fitted!O150</f>
        <v>-4744478.0012256652</v>
      </c>
      <c r="AT150" s="873">
        <f>'Internal Pricelist'!BP150-PriceLink_Fitted!P150</f>
        <v>-232156.23115246533</v>
      </c>
      <c r="AU150" s="849">
        <f>'Internal Pricelist'!BN150+'Internal Pricelist'!BO150</f>
        <v>1084926.2137321813</v>
      </c>
      <c r="AV150" s="873">
        <f>PriceLink_Fitted!Q150-PriceLink_Fitted!AU150</f>
        <v>193463.52596038789</v>
      </c>
      <c r="AW150" s="873">
        <f>'Internal Pricelist'!BQ150-PriceLink_Fitted!R150</f>
        <v>-2360255.0167167317</v>
      </c>
    </row>
    <row r="151" spans="1:49" hidden="1" x14ac:dyDescent="0.2">
      <c r="A151" s="835">
        <f t="shared" si="45"/>
        <v>138</v>
      </c>
      <c r="B151" s="836" t="str">
        <f>'Internal Pricelist'!H144</f>
        <v>15G</v>
      </c>
      <c r="C151" s="836" t="str">
        <f>'Internal Pricelist'!C144</f>
        <v>Sold</v>
      </c>
      <c r="D151" s="836">
        <v>138</v>
      </c>
      <c r="E151" s="837" t="str">
        <f>'Internal Pricelist'!E144</f>
        <v>13th</v>
      </c>
      <c r="F151" s="838" t="str">
        <f>'Internal Pricelist'!F144</f>
        <v>15th</v>
      </c>
      <c r="G151" s="839" t="str">
        <f>B151</f>
        <v>15G</v>
      </c>
      <c r="H151" s="839" t="str">
        <f>'Internal Pricelist'!I144</f>
        <v>2-BR</v>
      </c>
      <c r="I151" s="839">
        <f>'Internal Pricelist'!J144</f>
        <v>95.44</v>
      </c>
      <c r="J151" s="839">
        <f>'Internal Pricelist'!K144</f>
        <v>13.34</v>
      </c>
      <c r="K151" s="839">
        <f>'Internal Pricelist'!L144</f>
        <v>0</v>
      </c>
      <c r="L151" s="840">
        <f t="shared" si="43"/>
        <v>108.78</v>
      </c>
      <c r="M151" s="851" t="str">
        <f>'Internal Pricelist'!AA144</f>
        <v>CORNER</v>
      </c>
      <c r="N151" s="841"/>
      <c r="O151" s="842">
        <f>'Internal Pricelist'!BM144</f>
        <v>20863248.744529277</v>
      </c>
      <c r="P151" s="843">
        <f t="shared" si="47"/>
        <v>2503589.8493435131</v>
      </c>
      <c r="Q151" s="844">
        <f t="shared" si="48"/>
        <v>2086324.8744529278</v>
      </c>
      <c r="R151" s="843">
        <f t="shared" si="49"/>
        <v>25453163.468325716</v>
      </c>
      <c r="S151" s="845">
        <f>'Internal Pricelist'!BS144</f>
        <v>0.15</v>
      </c>
      <c r="T151" s="844">
        <f t="shared" si="50"/>
        <v>3817974.5202488573</v>
      </c>
      <c r="U151" s="839">
        <f>'Internal Pricelist'!BU144</f>
        <v>50000</v>
      </c>
      <c r="V151" s="844">
        <f t="shared" si="51"/>
        <v>3767974.5202488573</v>
      </c>
      <c r="W151" s="846">
        <f>'Internal Pricelist'!BW144</f>
        <v>7</v>
      </c>
      <c r="X151" s="844">
        <f t="shared" si="52"/>
        <v>538282.07432126533</v>
      </c>
      <c r="Y151" s="847">
        <f t="shared" si="53"/>
        <v>0.85</v>
      </c>
      <c r="Z151" s="844">
        <f t="shared" si="54"/>
        <v>21635188.948076859</v>
      </c>
      <c r="AA151" s="844">
        <f t="shared" si="55"/>
        <v>194463.19471765461</v>
      </c>
      <c r="AC151" s="849">
        <f t="shared" ref="AC151:AC157" si="60">O151/L151</f>
        <v>191793.05703740832</v>
      </c>
      <c r="AD151" s="873">
        <f t="shared" ref="AD151:AD157" si="61">Z151+(X151*W151)+U151-R151</f>
        <v>0</v>
      </c>
      <c r="AH151" s="855"/>
      <c r="AI151" s="852"/>
      <c r="AK151" s="872"/>
      <c r="AL151" s="872"/>
      <c r="AM151" s="872"/>
      <c r="AN151" s="872"/>
      <c r="AO151" s="872"/>
      <c r="AS151" s="873"/>
      <c r="AT151" s="873"/>
      <c r="AU151" s="849"/>
      <c r="AV151" s="873"/>
      <c r="AW151" s="873"/>
    </row>
    <row r="152" spans="1:49" hidden="1" x14ac:dyDescent="0.2">
      <c r="A152" s="835">
        <f t="shared" si="45"/>
        <v>139</v>
      </c>
      <c r="B152" s="836" t="str">
        <f>'Internal Pricelist'!H145</f>
        <v>15H</v>
      </c>
      <c r="C152" s="836" t="str">
        <f>'Internal Pricelist'!C145</f>
        <v>Sold</v>
      </c>
      <c r="D152" s="836">
        <v>139</v>
      </c>
      <c r="E152" s="837" t="str">
        <f>'Internal Pricelist'!E145</f>
        <v>13th</v>
      </c>
      <c r="F152" s="838" t="str">
        <f>'Internal Pricelist'!F145</f>
        <v>15th</v>
      </c>
      <c r="G152" s="839" t="str">
        <f t="shared" ref="G152:G157" si="62">B152</f>
        <v>15H</v>
      </c>
      <c r="H152" s="839" t="str">
        <f>'Internal Pricelist'!I145</f>
        <v>2-BR</v>
      </c>
      <c r="I152" s="839">
        <f>'Internal Pricelist'!J145</f>
        <v>69.2</v>
      </c>
      <c r="J152" s="839">
        <f>'Internal Pricelist'!K145</f>
        <v>4.7699999999999996</v>
      </c>
      <c r="K152" s="839">
        <f>'Internal Pricelist'!L145</f>
        <v>0</v>
      </c>
      <c r="L152" s="840">
        <f t="shared" si="43"/>
        <v>73.97</v>
      </c>
      <c r="M152" s="851" t="str">
        <f>'Internal Pricelist'!AA145</f>
        <v>INNER</v>
      </c>
      <c r="N152" s="841"/>
      <c r="O152" s="842">
        <f>'Internal Pricelist'!BM145</f>
        <v>14387226.274267435</v>
      </c>
      <c r="P152" s="843">
        <f t="shared" si="47"/>
        <v>1726467.1529120922</v>
      </c>
      <c r="Q152" s="844">
        <f t="shared" si="48"/>
        <v>1438722.6274267435</v>
      </c>
      <c r="R152" s="843">
        <f t="shared" si="49"/>
        <v>17552416.05460627</v>
      </c>
      <c r="S152" s="845">
        <f>'Internal Pricelist'!BS145</f>
        <v>0.15</v>
      </c>
      <c r="T152" s="844">
        <f t="shared" si="50"/>
        <v>2632862.4081909405</v>
      </c>
      <c r="U152" s="839">
        <f>'Internal Pricelist'!BU145</f>
        <v>50000</v>
      </c>
      <c r="V152" s="844">
        <f t="shared" si="51"/>
        <v>2582862.4081909405</v>
      </c>
      <c r="W152" s="846">
        <f>'Internal Pricelist'!BW145</f>
        <v>7</v>
      </c>
      <c r="X152" s="844">
        <f t="shared" si="52"/>
        <v>368980.3440272772</v>
      </c>
      <c r="Y152" s="847">
        <f t="shared" si="53"/>
        <v>0.85</v>
      </c>
      <c r="Z152" s="844">
        <f t="shared" si="54"/>
        <v>14919553.646415329</v>
      </c>
      <c r="AA152" s="844">
        <f t="shared" si="55"/>
        <v>134101.1660589751</v>
      </c>
      <c r="AC152" s="849">
        <f t="shared" si="60"/>
        <v>194500.82836646526</v>
      </c>
      <c r="AD152" s="873">
        <f t="shared" si="61"/>
        <v>0</v>
      </c>
      <c r="AH152" s="855"/>
      <c r="AI152" s="852"/>
      <c r="AK152" s="872"/>
      <c r="AL152" s="872"/>
      <c r="AM152" s="872"/>
      <c r="AN152" s="872"/>
      <c r="AO152" s="872"/>
      <c r="AS152" s="873"/>
      <c r="AT152" s="873"/>
      <c r="AU152" s="849"/>
      <c r="AV152" s="873"/>
      <c r="AW152" s="873"/>
    </row>
    <row r="153" spans="1:49" hidden="1" x14ac:dyDescent="0.2">
      <c r="A153" s="835">
        <f t="shared" si="45"/>
        <v>140</v>
      </c>
      <c r="B153" s="836" t="str">
        <f>'Internal Pricelist'!H146</f>
        <v>15I</v>
      </c>
      <c r="C153" s="836" t="str">
        <f>'Internal Pricelist'!C146</f>
        <v>Sold</v>
      </c>
      <c r="D153" s="836">
        <v>140</v>
      </c>
      <c r="E153" s="837" t="str">
        <f>'Internal Pricelist'!E146</f>
        <v>13th</v>
      </c>
      <c r="F153" s="838" t="str">
        <f>'Internal Pricelist'!F146</f>
        <v>15th</v>
      </c>
      <c r="G153" s="839" t="str">
        <f t="shared" si="62"/>
        <v>15I</v>
      </c>
      <c r="H153" s="839" t="str">
        <f>'Internal Pricelist'!I146</f>
        <v>2-BR</v>
      </c>
      <c r="I153" s="839">
        <f>'Internal Pricelist'!J146</f>
        <v>69.36</v>
      </c>
      <c r="J153" s="839">
        <f>'Internal Pricelist'!K146</f>
        <v>4.79</v>
      </c>
      <c r="K153" s="839">
        <f>'Internal Pricelist'!L146</f>
        <v>0</v>
      </c>
      <c r="L153" s="840">
        <f t="shared" si="43"/>
        <v>74.150000000000006</v>
      </c>
      <c r="M153" s="851" t="str">
        <f>'Internal Pricelist'!AA146</f>
        <v>INNER</v>
      </c>
      <c r="N153" s="841"/>
      <c r="O153" s="842">
        <f>'Internal Pricelist'!BM146</f>
        <v>14421424.662461113</v>
      </c>
      <c r="P153" s="843">
        <f t="shared" si="47"/>
        <v>1730570.9594953335</v>
      </c>
      <c r="Q153" s="844">
        <f t="shared" si="48"/>
        <v>1442142.4662461113</v>
      </c>
      <c r="R153" s="843">
        <f t="shared" si="49"/>
        <v>17594138.088202558</v>
      </c>
      <c r="S153" s="845">
        <f>'Internal Pricelist'!BS146</f>
        <v>0.15</v>
      </c>
      <c r="T153" s="844">
        <f t="shared" si="50"/>
        <v>2639120.7132303836</v>
      </c>
      <c r="U153" s="839">
        <f>'Internal Pricelist'!BU146</f>
        <v>50000</v>
      </c>
      <c r="V153" s="844">
        <f t="shared" si="51"/>
        <v>2589120.7132303836</v>
      </c>
      <c r="W153" s="846">
        <f>'Internal Pricelist'!BW146</f>
        <v>7</v>
      </c>
      <c r="X153" s="844">
        <f t="shared" si="52"/>
        <v>369874.3876043405</v>
      </c>
      <c r="Y153" s="847">
        <f t="shared" si="53"/>
        <v>0.85</v>
      </c>
      <c r="Z153" s="844">
        <f t="shared" si="54"/>
        <v>14955017.374972174</v>
      </c>
      <c r="AA153" s="844">
        <f t="shared" si="55"/>
        <v>134419.92407714241</v>
      </c>
      <c r="AC153" s="849">
        <f t="shared" si="60"/>
        <v>194489.88081538925</v>
      </c>
      <c r="AD153" s="873">
        <f t="shared" si="61"/>
        <v>0</v>
      </c>
      <c r="AH153" s="855"/>
      <c r="AI153" s="852"/>
      <c r="AK153" s="872"/>
      <c r="AL153" s="872"/>
      <c r="AM153" s="872"/>
      <c r="AN153" s="872"/>
      <c r="AO153" s="872"/>
      <c r="AS153" s="873"/>
      <c r="AT153" s="873"/>
      <c r="AU153" s="849"/>
      <c r="AV153" s="873"/>
      <c r="AW153" s="873"/>
    </row>
    <row r="154" spans="1:49" ht="10.5" hidden="1" customHeight="1" x14ac:dyDescent="0.2">
      <c r="A154" s="835">
        <f t="shared" si="45"/>
        <v>141</v>
      </c>
      <c r="B154" s="836" t="str">
        <f>'Internal Pricelist'!H147</f>
        <v>15J</v>
      </c>
      <c r="C154" s="836" t="str">
        <f>'Internal Pricelist'!C147</f>
        <v>Sold</v>
      </c>
      <c r="D154" s="836">
        <v>141</v>
      </c>
      <c r="E154" s="837" t="str">
        <f>'Internal Pricelist'!E147</f>
        <v>13th</v>
      </c>
      <c r="F154" s="838" t="str">
        <f>'Internal Pricelist'!F147</f>
        <v>15th</v>
      </c>
      <c r="G154" s="839" t="str">
        <f t="shared" si="62"/>
        <v>15J</v>
      </c>
      <c r="H154" s="839" t="str">
        <f>'Internal Pricelist'!I147</f>
        <v>2-BR</v>
      </c>
      <c r="I154" s="839">
        <f>'Internal Pricelist'!J147</f>
        <v>69.36</v>
      </c>
      <c r="J154" s="839">
        <f>'Internal Pricelist'!K147</f>
        <v>4.79</v>
      </c>
      <c r="K154" s="839">
        <f>'Internal Pricelist'!L147</f>
        <v>0</v>
      </c>
      <c r="L154" s="840">
        <f t="shared" si="43"/>
        <v>74.150000000000006</v>
      </c>
      <c r="M154" s="851" t="str">
        <f>'Internal Pricelist'!AA147</f>
        <v>INNER</v>
      </c>
      <c r="N154" s="841"/>
      <c r="O154" s="842">
        <f>'Internal Pricelist'!BM147</f>
        <v>14421424.662461113</v>
      </c>
      <c r="P154" s="843">
        <f t="shared" si="47"/>
        <v>1730570.9594953335</v>
      </c>
      <c r="Q154" s="844">
        <f t="shared" si="48"/>
        <v>1442142.4662461113</v>
      </c>
      <c r="R154" s="843">
        <f t="shared" si="49"/>
        <v>17594138.088202558</v>
      </c>
      <c r="S154" s="845">
        <f>'Internal Pricelist'!BS147</f>
        <v>0.15</v>
      </c>
      <c r="T154" s="844">
        <f t="shared" si="50"/>
        <v>2639120.7132303836</v>
      </c>
      <c r="U154" s="839">
        <f>'Internal Pricelist'!BU147</f>
        <v>50000</v>
      </c>
      <c r="V154" s="844">
        <f t="shared" si="51"/>
        <v>2589120.7132303836</v>
      </c>
      <c r="W154" s="846">
        <f>'Internal Pricelist'!BW147</f>
        <v>7</v>
      </c>
      <c r="X154" s="844">
        <f t="shared" si="52"/>
        <v>369874.3876043405</v>
      </c>
      <c r="Y154" s="847">
        <f t="shared" si="53"/>
        <v>0.85</v>
      </c>
      <c r="Z154" s="844">
        <f t="shared" si="54"/>
        <v>14955017.374972174</v>
      </c>
      <c r="AA154" s="844">
        <f t="shared" si="55"/>
        <v>134419.92407714241</v>
      </c>
      <c r="AC154" s="849">
        <f t="shared" si="60"/>
        <v>194489.88081538925</v>
      </c>
      <c r="AD154" s="873">
        <f t="shared" si="61"/>
        <v>0</v>
      </c>
      <c r="AH154" s="855"/>
      <c r="AI154" s="852"/>
      <c r="AK154" s="872"/>
      <c r="AL154" s="872"/>
      <c r="AM154" s="872"/>
      <c r="AN154" s="872"/>
      <c r="AO154" s="872"/>
      <c r="AS154" s="873"/>
      <c r="AT154" s="873"/>
      <c r="AU154" s="849"/>
      <c r="AV154" s="873"/>
      <c r="AW154" s="873"/>
    </row>
    <row r="155" spans="1:49" hidden="1" x14ac:dyDescent="0.2">
      <c r="A155" s="835">
        <f t="shared" si="45"/>
        <v>142</v>
      </c>
      <c r="B155" s="836" t="str">
        <f>'Internal Pricelist'!H148</f>
        <v>15K</v>
      </c>
      <c r="C155" s="836" t="str">
        <f>'Internal Pricelist'!C148</f>
        <v>Sold</v>
      </c>
      <c r="D155" s="836">
        <v>142</v>
      </c>
      <c r="E155" s="837" t="str">
        <f>'Internal Pricelist'!E148</f>
        <v>13th</v>
      </c>
      <c r="F155" s="838" t="str">
        <f>'Internal Pricelist'!F148</f>
        <v>15th</v>
      </c>
      <c r="G155" s="839" t="str">
        <f t="shared" si="62"/>
        <v>15K</v>
      </c>
      <c r="H155" s="839" t="str">
        <f>'Internal Pricelist'!I148</f>
        <v>2-BR</v>
      </c>
      <c r="I155" s="839">
        <f>'Internal Pricelist'!J148</f>
        <v>69.36</v>
      </c>
      <c r="J155" s="839">
        <f>'Internal Pricelist'!K148</f>
        <v>4.79</v>
      </c>
      <c r="K155" s="839">
        <f>'Internal Pricelist'!L148</f>
        <v>0</v>
      </c>
      <c r="L155" s="840">
        <f t="shared" si="43"/>
        <v>74.150000000000006</v>
      </c>
      <c r="M155" s="851" t="str">
        <f>'Internal Pricelist'!AA148</f>
        <v>INNER</v>
      </c>
      <c r="N155" s="841"/>
      <c r="O155" s="842">
        <f>'Internal Pricelist'!BM148</f>
        <v>14421424.662461113</v>
      </c>
      <c r="P155" s="843">
        <f t="shared" si="47"/>
        <v>1730570.9594953335</v>
      </c>
      <c r="Q155" s="844">
        <f t="shared" si="48"/>
        <v>1442142.4662461113</v>
      </c>
      <c r="R155" s="843">
        <f t="shared" si="49"/>
        <v>17594138.088202558</v>
      </c>
      <c r="S155" s="845">
        <f>'Internal Pricelist'!BS148</f>
        <v>0.15</v>
      </c>
      <c r="T155" s="844">
        <f t="shared" si="50"/>
        <v>2639120.7132303836</v>
      </c>
      <c r="U155" s="839">
        <f>'Internal Pricelist'!BU148</f>
        <v>50000</v>
      </c>
      <c r="V155" s="844">
        <f t="shared" si="51"/>
        <v>2589120.7132303836</v>
      </c>
      <c r="W155" s="846">
        <f>'Internal Pricelist'!BW148</f>
        <v>7</v>
      </c>
      <c r="X155" s="844">
        <f t="shared" si="52"/>
        <v>369874.3876043405</v>
      </c>
      <c r="Y155" s="847">
        <f t="shared" si="53"/>
        <v>0.85</v>
      </c>
      <c r="Z155" s="844">
        <f t="shared" si="54"/>
        <v>14955017.374972174</v>
      </c>
      <c r="AA155" s="844">
        <f t="shared" si="55"/>
        <v>134419.92407714241</v>
      </c>
      <c r="AC155" s="849">
        <f t="shared" si="60"/>
        <v>194489.88081538925</v>
      </c>
      <c r="AD155" s="873">
        <f t="shared" si="61"/>
        <v>0</v>
      </c>
      <c r="AH155" s="855"/>
      <c r="AI155" s="852"/>
      <c r="AK155" s="872"/>
      <c r="AL155" s="872"/>
      <c r="AM155" s="872"/>
      <c r="AN155" s="872"/>
      <c r="AO155" s="872"/>
      <c r="AS155" s="873"/>
      <c r="AT155" s="873"/>
      <c r="AU155" s="849"/>
      <c r="AV155" s="873"/>
      <c r="AW155" s="873"/>
    </row>
    <row r="156" spans="1:49" hidden="1" x14ac:dyDescent="0.2">
      <c r="A156" s="835">
        <f t="shared" si="45"/>
        <v>143</v>
      </c>
      <c r="B156" s="836" t="str">
        <f>'Internal Pricelist'!H149</f>
        <v>15L</v>
      </c>
      <c r="C156" s="836" t="str">
        <f>'Internal Pricelist'!C149</f>
        <v>Sold</v>
      </c>
      <c r="D156" s="836">
        <v>143</v>
      </c>
      <c r="E156" s="837" t="str">
        <f>'Internal Pricelist'!E149</f>
        <v>13th</v>
      </c>
      <c r="F156" s="838" t="str">
        <f>'Internal Pricelist'!F149</f>
        <v>15th</v>
      </c>
      <c r="G156" s="839" t="str">
        <f t="shared" si="62"/>
        <v>15L</v>
      </c>
      <c r="H156" s="839" t="str">
        <f>'Internal Pricelist'!I149</f>
        <v>2-BR</v>
      </c>
      <c r="I156" s="839">
        <f>'Internal Pricelist'!J149</f>
        <v>83.12</v>
      </c>
      <c r="J156" s="839">
        <f>'Internal Pricelist'!K149</f>
        <v>13.04</v>
      </c>
      <c r="K156" s="839">
        <f>'Internal Pricelist'!L149</f>
        <v>0</v>
      </c>
      <c r="L156" s="840">
        <f t="shared" si="43"/>
        <v>96.16</v>
      </c>
      <c r="M156" s="851" t="str">
        <f>'Internal Pricelist'!AA149</f>
        <v>CORNER</v>
      </c>
      <c r="N156" s="841"/>
      <c r="O156" s="842">
        <f>'Internal Pricelist'!BM149</f>
        <v>18462367.672341354</v>
      </c>
      <c r="P156" s="843">
        <f t="shared" si="47"/>
        <v>2215484.1206809622</v>
      </c>
      <c r="Q156" s="844">
        <f t="shared" si="48"/>
        <v>1846236.7672341354</v>
      </c>
      <c r="R156" s="843">
        <f t="shared" si="49"/>
        <v>22524088.560256451</v>
      </c>
      <c r="S156" s="845">
        <f>'Internal Pricelist'!BS149</f>
        <v>0.15</v>
      </c>
      <c r="T156" s="844">
        <f t="shared" si="50"/>
        <v>3378613.2840384678</v>
      </c>
      <c r="U156" s="839">
        <f>'Internal Pricelist'!BU149</f>
        <v>50000</v>
      </c>
      <c r="V156" s="844">
        <f t="shared" si="51"/>
        <v>3328613.2840384678</v>
      </c>
      <c r="W156" s="846">
        <f>'Internal Pricelist'!BW149</f>
        <v>7</v>
      </c>
      <c r="X156" s="844">
        <f t="shared" si="52"/>
        <v>475516.18343406683</v>
      </c>
      <c r="Y156" s="847">
        <f t="shared" si="53"/>
        <v>0.85</v>
      </c>
      <c r="Z156" s="844">
        <f t="shared" si="54"/>
        <v>19145475.276217982</v>
      </c>
      <c r="AA156" s="844">
        <f t="shared" si="55"/>
        <v>172084.94437170899</v>
      </c>
      <c r="AC156" s="849">
        <f t="shared" si="60"/>
        <v>191996.33602684436</v>
      </c>
      <c r="AD156" s="873">
        <f t="shared" si="61"/>
        <v>0</v>
      </c>
      <c r="AH156" s="855"/>
      <c r="AI156" s="852"/>
      <c r="AK156" s="872"/>
      <c r="AL156" s="872"/>
      <c r="AM156" s="872"/>
      <c r="AN156" s="872"/>
      <c r="AO156" s="872"/>
      <c r="AS156" s="873"/>
      <c r="AT156" s="873"/>
      <c r="AU156" s="849"/>
      <c r="AV156" s="873"/>
      <c r="AW156" s="873"/>
    </row>
    <row r="157" spans="1:49" hidden="1" x14ac:dyDescent="0.2">
      <c r="A157" s="835">
        <f t="shared" si="45"/>
        <v>144</v>
      </c>
      <c r="B157" s="836" t="str">
        <f>'Internal Pricelist'!H150</f>
        <v>15M</v>
      </c>
      <c r="C157" s="836" t="str">
        <f>'Internal Pricelist'!C150</f>
        <v>Sold</v>
      </c>
      <c r="D157" s="836">
        <v>144</v>
      </c>
      <c r="E157" s="837" t="str">
        <f>'Internal Pricelist'!E150</f>
        <v>13th</v>
      </c>
      <c r="F157" s="838" t="str">
        <f>'Internal Pricelist'!F150</f>
        <v>15th</v>
      </c>
      <c r="G157" s="839" t="str">
        <f t="shared" si="62"/>
        <v>15M</v>
      </c>
      <c r="H157" s="839" t="str">
        <f>'Internal Pricelist'!I150</f>
        <v>1-BR</v>
      </c>
      <c r="I157" s="839">
        <f>'Internal Pricelist'!J150</f>
        <v>52.04</v>
      </c>
      <c r="J157" s="839">
        <f>'Internal Pricelist'!K150</f>
        <v>3.1</v>
      </c>
      <c r="K157" s="839">
        <f>'Internal Pricelist'!L150</f>
        <v>0</v>
      </c>
      <c r="L157" s="840">
        <f t="shared" si="43"/>
        <v>55.14</v>
      </c>
      <c r="M157" s="851" t="str">
        <f>'Internal Pricelist'!AA150</f>
        <v>INNER</v>
      </c>
      <c r="N157" s="841"/>
      <c r="O157" s="842">
        <f>'Internal Pricelist'!BM150</f>
        <v>10849262.137321813</v>
      </c>
      <c r="P157" s="843">
        <f t="shared" si="47"/>
        <v>1301911.4564786176</v>
      </c>
      <c r="Q157" s="844">
        <f t="shared" si="48"/>
        <v>1084926.2137321813</v>
      </c>
      <c r="R157" s="843">
        <f t="shared" si="49"/>
        <v>13236099.807532612</v>
      </c>
      <c r="S157" s="845">
        <f>'Internal Pricelist'!BS150</f>
        <v>0.15</v>
      </c>
      <c r="T157" s="844">
        <f t="shared" si="50"/>
        <v>1985414.9711298917</v>
      </c>
      <c r="U157" s="839">
        <f>'Internal Pricelist'!BU150</f>
        <v>50000</v>
      </c>
      <c r="V157" s="844">
        <f t="shared" si="51"/>
        <v>1935414.9711298917</v>
      </c>
      <c r="W157" s="846">
        <f>'Internal Pricelist'!BW150</f>
        <v>7</v>
      </c>
      <c r="X157" s="844">
        <f t="shared" si="52"/>
        <v>276487.85301855596</v>
      </c>
      <c r="Y157" s="847">
        <f t="shared" si="53"/>
        <v>0.85</v>
      </c>
      <c r="Z157" s="844">
        <f t="shared" si="54"/>
        <v>11250684.83640272</v>
      </c>
      <c r="AA157" s="844">
        <f t="shared" si="55"/>
        <v>101124.33597409476</v>
      </c>
      <c r="AC157" s="849">
        <f t="shared" si="60"/>
        <v>196758.47184116454</v>
      </c>
      <c r="AD157" s="873">
        <f t="shared" si="61"/>
        <v>0</v>
      </c>
      <c r="AH157" s="855"/>
      <c r="AI157" s="852"/>
      <c r="AK157" s="872"/>
      <c r="AL157" s="872"/>
      <c r="AM157" s="872"/>
      <c r="AN157" s="872"/>
      <c r="AO157" s="872"/>
      <c r="AS157" s="873"/>
      <c r="AT157" s="873"/>
      <c r="AU157" s="849"/>
      <c r="AV157" s="873"/>
      <c r="AW157" s="873"/>
    </row>
    <row r="158" spans="1:49" s="895" customFormat="1" ht="25.5" customHeight="1" thickBot="1" x14ac:dyDescent="0.25">
      <c r="A158" s="856"/>
      <c r="B158" s="856"/>
      <c r="C158" s="856"/>
      <c r="D158" s="857"/>
      <c r="E158" s="858"/>
      <c r="F158" s="886"/>
      <c r="G158" s="887"/>
      <c r="H158" s="887"/>
      <c r="I158" s="887"/>
      <c r="J158" s="888"/>
      <c r="K158" s="888"/>
      <c r="L158" s="888"/>
      <c r="M158" s="889"/>
      <c r="N158" s="890"/>
      <c r="O158" s="842">
        <f>'Internal Pricelist'!BM151</f>
        <v>2164859511.5777273</v>
      </c>
      <c r="P158" s="891">
        <f t="shared" ref="P158:R158" si="63">SUM(P14:P157)</f>
        <v>259783141.3893272</v>
      </c>
      <c r="Q158" s="891">
        <f t="shared" si="63"/>
        <v>216485951.15777269</v>
      </c>
      <c r="R158" s="891">
        <f t="shared" si="63"/>
        <v>2641128604.1248279</v>
      </c>
      <c r="S158" s="892"/>
      <c r="T158" s="893"/>
      <c r="U158" s="887"/>
      <c r="V158" s="893"/>
      <c r="W158" s="889"/>
      <c r="X158" s="893"/>
      <c r="Y158" s="894"/>
      <c r="Z158" s="893"/>
      <c r="AA158" s="893"/>
      <c r="AB158" s="817"/>
      <c r="AC158" s="816"/>
      <c r="AD158" s="852"/>
      <c r="AE158" s="817"/>
      <c r="AF158" s="817"/>
      <c r="AG158" s="818"/>
      <c r="AH158" s="855"/>
      <c r="AI158" s="852"/>
      <c r="AJ158" s="817"/>
      <c r="AK158" s="872">
        <f>O158-'Internal Pricelist'!AK151</f>
        <v>560675436.5637598</v>
      </c>
      <c r="AL158" s="872">
        <f>P158-'Internal Pricelist'!BP151</f>
        <v>0</v>
      </c>
      <c r="AM158" s="872">
        <f>'Internal Pricelist'!BN151+'Internal Pricelist'!BO151</f>
        <v>216485951.15777275</v>
      </c>
      <c r="AN158" s="872">
        <f t="shared" si="42"/>
        <v>0</v>
      </c>
      <c r="AO158" s="872">
        <f>R158-'Internal Pricelist'!BQ151</f>
        <v>0</v>
      </c>
      <c r="AP158" s="817"/>
      <c r="AS158" s="817"/>
      <c r="AT158" s="817"/>
      <c r="AU158" s="817"/>
      <c r="AV158" s="817"/>
      <c r="AW158" s="817"/>
    </row>
    <row r="159" spans="1:49" s="811" customFormat="1" x14ac:dyDescent="0.2">
      <c r="B159" s="812"/>
      <c r="D159" s="812"/>
      <c r="E159" s="813"/>
      <c r="F159" s="813"/>
      <c r="G159" s="859"/>
      <c r="H159" s="859"/>
      <c r="I159" s="859"/>
      <c r="J159" s="812"/>
      <c r="K159" s="812"/>
      <c r="M159" s="812"/>
      <c r="N159" s="812"/>
      <c r="O159" s="842">
        <f>'Internal Pricelist'!BM152</f>
        <v>0</v>
      </c>
      <c r="P159" s="859">
        <f>P158-'Internal Pricelist'!BP151</f>
        <v>0</v>
      </c>
      <c r="Q159" s="859">
        <f>Q158-'Internal Pricelist'!BN151-'Internal Pricelist'!BO151</f>
        <v>0</v>
      </c>
      <c r="R159" s="859">
        <f>R158-'Internal Pricelist'!BQ151</f>
        <v>0</v>
      </c>
      <c r="S159" s="861"/>
      <c r="T159" s="812"/>
      <c r="U159" s="859"/>
      <c r="V159" s="812"/>
      <c r="W159" s="812"/>
      <c r="X159" s="812"/>
      <c r="Y159" s="812"/>
      <c r="Z159" s="812"/>
      <c r="AA159" s="812"/>
      <c r="AC159" s="860"/>
      <c r="AG159" s="812"/>
    </row>
    <row r="160" spans="1:49" hidden="1" x14ac:dyDescent="0.2">
      <c r="B160" s="862" t="s">
        <v>511</v>
      </c>
      <c r="C160" s="863">
        <f>COUNTIF($C$14:$C$150,"SOLD")</f>
        <v>111</v>
      </c>
      <c r="E160" s="812"/>
      <c r="F160" s="1013" t="s">
        <v>639</v>
      </c>
      <c r="G160" s="1013"/>
      <c r="R160" s="864" t="e">
        <f>#REF!-R159</f>
        <v>#REF!</v>
      </c>
    </row>
    <row r="161" spans="2:7" ht="14.25" hidden="1" x14ac:dyDescent="0.3">
      <c r="B161" s="862" t="s">
        <v>532</v>
      </c>
      <c r="C161" s="863">
        <f>COUNTIF($C$14:$C$150,"unSOLD")</f>
        <v>26</v>
      </c>
      <c r="E161" s="812"/>
      <c r="F161" s="865" t="s">
        <v>640</v>
      </c>
      <c r="G161" s="866"/>
    </row>
    <row r="162" spans="2:7" ht="14.25" x14ac:dyDescent="0.3">
      <c r="B162" s="862" t="s">
        <v>641</v>
      </c>
      <c r="C162" s="863">
        <f>COUNTIF($C$14:$C$150,"not yet open")</f>
        <v>0</v>
      </c>
      <c r="E162" s="812"/>
      <c r="F162" s="865" t="s">
        <v>642</v>
      </c>
      <c r="G162" s="866"/>
    </row>
    <row r="163" spans="2:7" ht="14.25" x14ac:dyDescent="0.3">
      <c r="B163" s="862" t="s">
        <v>643</v>
      </c>
      <c r="C163" s="863">
        <f>COUNTIF($C$14:$C$150,"Hold")</f>
        <v>0</v>
      </c>
      <c r="E163" s="812"/>
      <c r="F163" s="865" t="s">
        <v>644</v>
      </c>
      <c r="G163" s="866"/>
    </row>
    <row r="164" spans="2:7" ht="14.25" x14ac:dyDescent="0.3">
      <c r="B164" s="862" t="s">
        <v>468</v>
      </c>
      <c r="C164" s="863">
        <f>SUM(C160:C163)</f>
        <v>137</v>
      </c>
      <c r="E164" s="812"/>
      <c r="F164" s="865" t="s">
        <v>645</v>
      </c>
      <c r="G164" s="866"/>
    </row>
    <row r="165" spans="2:7" x14ac:dyDescent="0.2">
      <c r="F165" s="867"/>
      <c r="G165" s="868"/>
    </row>
    <row r="290" spans="5:27" x14ac:dyDescent="0.2">
      <c r="E290" s="812"/>
      <c r="F290" s="818"/>
      <c r="G290" s="818"/>
      <c r="H290" s="816"/>
      <c r="M290" s="817"/>
      <c r="N290" s="817"/>
      <c r="O290" s="817"/>
      <c r="P290" s="811"/>
      <c r="Q290" s="817"/>
      <c r="R290" s="817"/>
      <c r="S290" s="820"/>
      <c r="T290" s="817"/>
      <c r="U290" s="816"/>
      <c r="V290" s="817"/>
      <c r="W290" s="817"/>
      <c r="X290" s="817"/>
      <c r="Y290" s="817"/>
      <c r="Z290" s="817"/>
      <c r="AA290" s="817"/>
    </row>
    <row r="291" spans="5:27" x14ac:dyDescent="0.2">
      <c r="E291" s="812"/>
      <c r="F291" s="818"/>
      <c r="G291" s="818"/>
      <c r="H291" s="816"/>
      <c r="M291" s="817"/>
      <c r="N291" s="817"/>
      <c r="O291" s="817"/>
      <c r="P291" s="811"/>
      <c r="Q291" s="817"/>
      <c r="R291" s="817"/>
      <c r="S291" s="820"/>
      <c r="T291" s="817"/>
      <c r="U291" s="816"/>
      <c r="V291" s="817"/>
      <c r="W291" s="817"/>
      <c r="X291" s="817"/>
      <c r="Y291" s="817"/>
      <c r="Z291" s="817"/>
      <c r="AA291" s="817"/>
    </row>
    <row r="292" spans="5:27" x14ac:dyDescent="0.2">
      <c r="E292" s="812"/>
      <c r="F292" s="818"/>
      <c r="G292" s="818"/>
      <c r="H292" s="816"/>
      <c r="M292" s="817"/>
      <c r="N292" s="817"/>
      <c r="O292" s="817"/>
      <c r="P292" s="811"/>
      <c r="Q292" s="817"/>
      <c r="R292" s="817"/>
      <c r="S292" s="820"/>
      <c r="T292" s="817"/>
      <c r="U292" s="816"/>
      <c r="V292" s="817"/>
      <c r="W292" s="817"/>
      <c r="X292" s="817"/>
      <c r="Y292" s="817"/>
      <c r="Z292" s="817"/>
      <c r="AA292" s="817"/>
    </row>
    <row r="293" spans="5:27" x14ac:dyDescent="0.2">
      <c r="E293" s="812"/>
      <c r="F293" s="818"/>
      <c r="G293" s="818"/>
      <c r="H293" s="816"/>
      <c r="M293" s="817"/>
      <c r="N293" s="817"/>
      <c r="O293" s="817"/>
      <c r="P293" s="811"/>
      <c r="Q293" s="817"/>
      <c r="R293" s="817"/>
      <c r="S293" s="820"/>
      <c r="T293" s="817"/>
      <c r="U293" s="816"/>
      <c r="V293" s="817"/>
      <c r="W293" s="817"/>
      <c r="X293" s="817"/>
      <c r="Y293" s="817"/>
      <c r="Z293" s="817"/>
      <c r="AA293" s="817"/>
    </row>
    <row r="294" spans="5:27" x14ac:dyDescent="0.2">
      <c r="E294" s="812"/>
      <c r="F294" s="818"/>
      <c r="G294" s="818"/>
      <c r="H294" s="816"/>
      <c r="M294" s="817"/>
      <c r="N294" s="817"/>
      <c r="O294" s="817"/>
      <c r="P294" s="811"/>
      <c r="Q294" s="817"/>
      <c r="R294" s="817"/>
      <c r="S294" s="820"/>
      <c r="T294" s="817"/>
      <c r="U294" s="816"/>
      <c r="V294" s="817"/>
      <c r="W294" s="817"/>
      <c r="X294" s="817"/>
      <c r="Y294" s="817"/>
      <c r="Z294" s="817"/>
      <c r="AA294" s="817"/>
    </row>
    <row r="295" spans="5:27" x14ac:dyDescent="0.2">
      <c r="E295" s="812"/>
      <c r="F295" s="818"/>
      <c r="G295" s="818"/>
      <c r="H295" s="816"/>
      <c r="M295" s="817"/>
      <c r="N295" s="817"/>
      <c r="O295" s="817"/>
      <c r="P295" s="811"/>
      <c r="Q295" s="817"/>
      <c r="R295" s="817"/>
      <c r="S295" s="820"/>
      <c r="T295" s="817"/>
      <c r="U295" s="816"/>
      <c r="V295" s="817"/>
      <c r="W295" s="817"/>
      <c r="X295" s="817"/>
      <c r="Y295" s="817"/>
      <c r="Z295" s="817"/>
      <c r="AA295" s="817"/>
    </row>
    <row r="296" spans="5:27" x14ac:dyDescent="0.2">
      <c r="E296" s="812"/>
      <c r="F296" s="818"/>
      <c r="G296" s="818"/>
      <c r="H296" s="816"/>
      <c r="M296" s="817"/>
      <c r="N296" s="817"/>
      <c r="O296" s="817"/>
      <c r="P296" s="811"/>
      <c r="Q296" s="817"/>
      <c r="R296" s="817"/>
      <c r="S296" s="820"/>
      <c r="T296" s="817"/>
      <c r="U296" s="816"/>
      <c r="V296" s="817"/>
      <c r="W296" s="817"/>
      <c r="X296" s="817"/>
      <c r="Y296" s="817"/>
      <c r="Z296" s="817"/>
      <c r="AA296" s="817"/>
    </row>
    <row r="297" spans="5:27" x14ac:dyDescent="0.2">
      <c r="E297" s="812"/>
      <c r="F297" s="818"/>
      <c r="G297" s="818"/>
      <c r="H297" s="816"/>
      <c r="M297" s="817"/>
      <c r="N297" s="817"/>
      <c r="O297" s="817"/>
      <c r="P297" s="811"/>
      <c r="Q297" s="817"/>
      <c r="R297" s="817"/>
      <c r="S297" s="820"/>
      <c r="T297" s="817"/>
      <c r="U297" s="816"/>
      <c r="V297" s="817"/>
      <c r="W297" s="817"/>
      <c r="X297" s="817"/>
      <c r="Y297" s="817"/>
      <c r="Z297" s="817"/>
      <c r="AA297" s="817"/>
    </row>
    <row r="298" spans="5:27" x14ac:dyDescent="0.2">
      <c r="E298" s="812"/>
      <c r="F298" s="818"/>
      <c r="G298" s="818"/>
      <c r="H298" s="816"/>
      <c r="M298" s="817"/>
      <c r="N298" s="817"/>
      <c r="O298" s="817"/>
      <c r="P298" s="811"/>
      <c r="Q298" s="817"/>
      <c r="R298" s="817"/>
      <c r="S298" s="820"/>
      <c r="T298" s="817"/>
      <c r="U298" s="816"/>
      <c r="V298" s="817"/>
      <c r="W298" s="817"/>
      <c r="X298" s="817"/>
      <c r="Y298" s="817"/>
      <c r="Z298" s="817"/>
      <c r="AA298" s="817"/>
    </row>
    <row r="299" spans="5:27" x14ac:dyDescent="0.2">
      <c r="E299" s="812"/>
      <c r="F299" s="818"/>
      <c r="G299" s="818"/>
      <c r="H299" s="816"/>
      <c r="M299" s="817"/>
      <c r="N299" s="817"/>
      <c r="O299" s="817"/>
      <c r="P299" s="811"/>
      <c r="Q299" s="817"/>
      <c r="R299" s="817"/>
      <c r="S299" s="820"/>
      <c r="T299" s="817"/>
      <c r="U299" s="816"/>
      <c r="V299" s="817"/>
      <c r="W299" s="817"/>
      <c r="X299" s="817"/>
      <c r="Y299" s="817"/>
      <c r="Z299" s="817"/>
      <c r="AA299" s="817"/>
    </row>
    <row r="300" spans="5:27" x14ac:dyDescent="0.2">
      <c r="E300" s="812"/>
      <c r="F300" s="818"/>
      <c r="G300" s="818"/>
      <c r="H300" s="816"/>
      <c r="M300" s="817"/>
      <c r="N300" s="817"/>
      <c r="O300" s="817"/>
      <c r="P300" s="811"/>
      <c r="Q300" s="817"/>
      <c r="R300" s="817"/>
      <c r="S300" s="820"/>
      <c r="T300" s="817"/>
      <c r="U300" s="816"/>
      <c r="V300" s="817"/>
      <c r="W300" s="817"/>
      <c r="X300" s="817"/>
      <c r="Y300" s="817"/>
      <c r="Z300" s="817"/>
      <c r="AA300" s="817"/>
    </row>
    <row r="301" spans="5:27" x14ac:dyDescent="0.2">
      <c r="E301" s="812"/>
      <c r="F301" s="818"/>
      <c r="G301" s="818"/>
      <c r="H301" s="816"/>
      <c r="M301" s="817"/>
      <c r="N301" s="817"/>
      <c r="O301" s="817"/>
      <c r="P301" s="811"/>
      <c r="Q301" s="817"/>
      <c r="R301" s="817"/>
      <c r="S301" s="820"/>
      <c r="T301" s="817"/>
      <c r="U301" s="816"/>
      <c r="V301" s="817"/>
      <c r="W301" s="817"/>
      <c r="X301" s="817"/>
      <c r="Y301" s="817"/>
      <c r="Z301" s="817"/>
      <c r="AA301" s="817"/>
    </row>
    <row r="302" spans="5:27" x14ac:dyDescent="0.2">
      <c r="E302" s="812"/>
      <c r="F302" s="818"/>
      <c r="G302" s="818"/>
      <c r="H302" s="816"/>
      <c r="M302" s="817"/>
      <c r="N302" s="817"/>
      <c r="O302" s="817"/>
      <c r="P302" s="811"/>
      <c r="Q302" s="817"/>
      <c r="R302" s="817"/>
      <c r="S302" s="820"/>
      <c r="T302" s="817"/>
      <c r="U302" s="816"/>
      <c r="V302" s="817"/>
      <c r="W302" s="817"/>
      <c r="X302" s="817"/>
      <c r="Y302" s="817"/>
      <c r="Z302" s="817"/>
      <c r="AA302" s="817"/>
    </row>
    <row r="303" spans="5:27" x14ac:dyDescent="0.2">
      <c r="E303" s="812"/>
      <c r="F303" s="818"/>
      <c r="G303" s="818"/>
      <c r="H303" s="816"/>
      <c r="M303" s="817"/>
      <c r="N303" s="817"/>
      <c r="O303" s="817"/>
      <c r="P303" s="811"/>
      <c r="Q303" s="817"/>
      <c r="R303" s="817"/>
      <c r="S303" s="820"/>
      <c r="T303" s="817"/>
      <c r="U303" s="816"/>
      <c r="V303" s="817"/>
      <c r="W303" s="817"/>
      <c r="X303" s="817"/>
      <c r="Y303" s="817"/>
      <c r="Z303" s="817"/>
      <c r="AA303" s="817"/>
    </row>
    <row r="304" spans="5:27" x14ac:dyDescent="0.2">
      <c r="E304" s="812"/>
      <c r="F304" s="818"/>
      <c r="G304" s="818"/>
      <c r="H304" s="816"/>
      <c r="M304" s="817"/>
      <c r="N304" s="817"/>
      <c r="O304" s="817"/>
      <c r="P304" s="811"/>
      <c r="Q304" s="817"/>
      <c r="R304" s="817"/>
      <c r="S304" s="820"/>
      <c r="T304" s="817"/>
      <c r="U304" s="816"/>
      <c r="V304" s="817"/>
      <c r="W304" s="817"/>
      <c r="X304" s="817"/>
      <c r="Y304" s="817"/>
      <c r="Z304" s="817"/>
      <c r="AA304" s="817"/>
    </row>
    <row r="305" spans="5:27" x14ac:dyDescent="0.2">
      <c r="E305" s="812"/>
      <c r="F305" s="818"/>
      <c r="G305" s="818"/>
      <c r="H305" s="816"/>
      <c r="M305" s="817"/>
      <c r="N305" s="817"/>
      <c r="O305" s="817"/>
      <c r="P305" s="811"/>
      <c r="Q305" s="817"/>
      <c r="R305" s="817"/>
      <c r="S305" s="820"/>
      <c r="T305" s="817"/>
      <c r="U305" s="816"/>
      <c r="V305" s="817"/>
      <c r="W305" s="817"/>
      <c r="X305" s="817"/>
      <c r="Y305" s="817"/>
      <c r="Z305" s="817"/>
      <c r="AA305" s="817"/>
    </row>
    <row r="306" spans="5:27" x14ac:dyDescent="0.2">
      <c r="E306" s="812"/>
      <c r="F306" s="818"/>
      <c r="G306" s="818"/>
      <c r="H306" s="816"/>
      <c r="M306" s="817"/>
      <c r="N306" s="817"/>
      <c r="O306" s="817"/>
      <c r="P306" s="811"/>
      <c r="Q306" s="817"/>
      <c r="R306" s="817"/>
      <c r="S306" s="820"/>
      <c r="T306" s="817"/>
      <c r="U306" s="816"/>
      <c r="V306" s="817"/>
      <c r="W306" s="817"/>
      <c r="X306" s="817"/>
      <c r="Y306" s="817"/>
      <c r="Z306" s="817"/>
      <c r="AA306" s="817"/>
    </row>
    <row r="307" spans="5:27" x14ac:dyDescent="0.2">
      <c r="E307" s="812"/>
      <c r="F307" s="818"/>
      <c r="G307" s="818"/>
      <c r="H307" s="816"/>
      <c r="M307" s="817"/>
      <c r="N307" s="817"/>
      <c r="O307" s="817"/>
      <c r="P307" s="811"/>
      <c r="Q307" s="817"/>
      <c r="R307" s="817"/>
      <c r="S307" s="820"/>
      <c r="T307" s="817"/>
      <c r="U307" s="816"/>
      <c r="V307" s="817"/>
      <c r="W307" s="817"/>
      <c r="X307" s="817"/>
      <c r="Y307" s="817"/>
      <c r="Z307" s="817"/>
      <c r="AA307" s="817"/>
    </row>
    <row r="627" spans="5:27" x14ac:dyDescent="0.2">
      <c r="E627" s="812"/>
      <c r="F627" s="818"/>
      <c r="G627" s="818"/>
      <c r="H627" s="816"/>
      <c r="M627" s="817"/>
      <c r="N627" s="817"/>
      <c r="O627" s="817"/>
      <c r="P627" s="811"/>
      <c r="Q627" s="817"/>
      <c r="R627" s="817"/>
      <c r="S627" s="820"/>
      <c r="T627" s="817"/>
      <c r="U627" s="816"/>
      <c r="V627" s="817"/>
      <c r="W627" s="817"/>
      <c r="X627" s="817"/>
      <c r="Y627" s="817"/>
      <c r="Z627" s="817"/>
      <c r="AA627" s="817"/>
    </row>
    <row r="628" spans="5:27" x14ac:dyDescent="0.2">
      <c r="E628" s="812"/>
      <c r="F628" s="818"/>
      <c r="G628" s="818"/>
      <c r="H628" s="816"/>
      <c r="M628" s="817"/>
      <c r="N628" s="817"/>
      <c r="O628" s="817"/>
      <c r="P628" s="811"/>
      <c r="Q628" s="817"/>
      <c r="R628" s="817"/>
      <c r="S628" s="820"/>
      <c r="T628" s="817"/>
      <c r="U628" s="816"/>
      <c r="V628" s="817"/>
      <c r="W628" s="817"/>
      <c r="X628" s="817"/>
      <c r="Y628" s="817"/>
      <c r="Z628" s="817"/>
      <c r="AA628" s="817"/>
    </row>
    <row r="629" spans="5:27" x14ac:dyDescent="0.2">
      <c r="E629" s="812"/>
      <c r="F629" s="818"/>
      <c r="G629" s="818"/>
      <c r="H629" s="816"/>
      <c r="M629" s="817"/>
      <c r="N629" s="817"/>
      <c r="O629" s="817"/>
      <c r="P629" s="811"/>
      <c r="Q629" s="817"/>
      <c r="R629" s="817"/>
      <c r="S629" s="820"/>
      <c r="T629" s="817"/>
      <c r="U629" s="816"/>
      <c r="V629" s="817"/>
      <c r="W629" s="817"/>
      <c r="X629" s="817"/>
      <c r="Y629" s="817"/>
      <c r="Z629" s="817"/>
      <c r="AA629" s="817"/>
    </row>
  </sheetData>
  <sheetProtection algorithmName="SHA-512" hashValue="uqSDO26b+in27xgBAF0/9rObj5Tk0GL+YCK83WCAoz/b7oW35OMpLN+2wAa4p0FUOcNusDHM8di0D/BcEPXrpA==" saltValue="P0Y7SxrDiIRv4f0Hb5qpww==" spinCount="100000" sheet="1" selectLockedCells="1" selectUnlockedCells="1"/>
  <autoFilter ref="A1:E629" xr:uid="{6981A340-23FA-4E4E-AF99-D8894EF3E880}">
    <filterColumn colId="2">
      <filters blank="1">
        <filter val="0"/>
        <filter val="137"/>
        <filter val="SALE STATUS"/>
        <filter val="Unsold"/>
      </filters>
    </filterColumn>
  </autoFilter>
  <mergeCells count="31">
    <mergeCell ref="Z12:Z13"/>
    <mergeCell ref="AA12:AA13"/>
    <mergeCell ref="AG12:AG13"/>
    <mergeCell ref="AH12:AH13"/>
    <mergeCell ref="P12:P13"/>
    <mergeCell ref="R12:R13"/>
    <mergeCell ref="S12:S13"/>
    <mergeCell ref="Y12:Y13"/>
    <mergeCell ref="O12:O13"/>
    <mergeCell ref="L6:N6"/>
    <mergeCell ref="AI12:AI13"/>
    <mergeCell ref="F160:G160"/>
    <mergeCell ref="T12:T13"/>
    <mergeCell ref="U12:U13"/>
    <mergeCell ref="V12:V13"/>
    <mergeCell ref="W12:W13"/>
    <mergeCell ref="G12:G13"/>
    <mergeCell ref="H12:H13"/>
    <mergeCell ref="I12:I13"/>
    <mergeCell ref="J12:J13"/>
    <mergeCell ref="L12:L13"/>
    <mergeCell ref="M12:M13"/>
    <mergeCell ref="F12:F13"/>
    <mergeCell ref="X12:X13"/>
    <mergeCell ref="N12:N13"/>
    <mergeCell ref="A12:A13"/>
    <mergeCell ref="B12:B13"/>
    <mergeCell ref="C12:C13"/>
    <mergeCell ref="D12:D13"/>
    <mergeCell ref="E12:E13"/>
    <mergeCell ref="K12:K13"/>
  </mergeCells>
  <phoneticPr fontId="28" type="noConversion"/>
  <pageMargins left="0.23622047244094491" right="0.23622047244094491" top="0.74803149606299213" bottom="0.74803149606299213" header="0.31496062992125984" footer="0.31496062992125984"/>
  <pageSetup paperSize="5" scale="7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dimension ref="A1:AB68"/>
  <sheetViews>
    <sheetView showGridLines="0" showZeros="0" zoomScale="70" zoomScaleNormal="70" workbookViewId="0">
      <selection activeCell="G20" sqref="G20:J20"/>
    </sheetView>
  </sheetViews>
  <sheetFormatPr defaultColWidth="8.28515625" defaultRowHeight="0" customHeight="1" zeroHeight="1" x14ac:dyDescent="0.25"/>
  <cols>
    <col min="1" max="1" width="2.5703125" style="610" customWidth="1"/>
    <col min="2" max="3" width="8.28515625" style="621"/>
    <col min="4" max="4" width="10.28515625" style="621" customWidth="1"/>
    <col min="5" max="5" width="8.28515625" style="621" customWidth="1"/>
    <col min="6" max="6" width="8.28515625" style="607"/>
    <col min="7" max="7" width="13.42578125" style="607" customWidth="1"/>
    <col min="8" max="10" width="9.42578125" style="607" customWidth="1"/>
    <col min="11" max="11" width="5.28515625" style="607" customWidth="1"/>
    <col min="12" max="12" width="5.42578125" style="607" customWidth="1"/>
    <col min="13" max="16" width="6.5703125" style="607" customWidth="1"/>
    <col min="17" max="19" width="21.5703125" style="607" customWidth="1"/>
    <col min="20" max="20" width="12.28515625" style="607" customWidth="1"/>
    <col min="21" max="21" width="16.7109375" style="607" customWidth="1"/>
    <col min="22" max="22" width="2.5703125" style="610" customWidth="1"/>
    <col min="23" max="23" width="6.42578125" style="610" customWidth="1"/>
    <col min="24" max="24" width="8.28515625" style="610" customWidth="1"/>
    <col min="25" max="25" width="17.28515625" style="610" hidden="1" customWidth="1"/>
    <col min="26" max="26" width="8.28515625" style="610" hidden="1" customWidth="1"/>
    <col min="27" max="27" width="19" style="610" hidden="1" customWidth="1"/>
    <col min="28" max="28" width="8.28515625" style="610" customWidth="1"/>
    <col min="29" max="29" width="8.28515625" style="607" customWidth="1"/>
    <col min="30" max="16384" width="8.28515625" style="607"/>
  </cols>
  <sheetData>
    <row r="1" spans="2:26" s="610" customFormat="1" ht="15.75" x14ac:dyDescent="0.25">
      <c r="B1" s="635"/>
      <c r="C1" s="635"/>
      <c r="D1" s="635"/>
      <c r="E1" s="635"/>
    </row>
    <row r="2" spans="2:26" s="610" customFormat="1" ht="15.75" hidden="1" x14ac:dyDescent="0.25">
      <c r="B2" s="635"/>
      <c r="C2" s="635"/>
      <c r="D2" s="635"/>
      <c r="E2" s="635"/>
    </row>
    <row r="3" spans="2:26" s="610" customFormat="1" ht="15.75" hidden="1" x14ac:dyDescent="0.25">
      <c r="B3" s="635"/>
      <c r="C3" s="635"/>
      <c r="D3" s="635"/>
      <c r="E3" s="635"/>
    </row>
    <row r="4" spans="2:26" s="610" customFormat="1" ht="15.75" hidden="1" x14ac:dyDescent="0.25">
      <c r="B4" s="635"/>
      <c r="C4" s="635"/>
      <c r="D4" s="635"/>
      <c r="E4" s="635"/>
    </row>
    <row r="5" spans="2:26" s="610" customFormat="1" ht="15.75" hidden="1" x14ac:dyDescent="0.25">
      <c r="B5" s="635"/>
      <c r="C5" s="635"/>
      <c r="D5" s="635"/>
      <c r="E5" s="635"/>
    </row>
    <row r="6" spans="2:26" s="610" customFormat="1" ht="15.75" hidden="1" x14ac:dyDescent="0.25">
      <c r="B6" s="635"/>
      <c r="C6" s="635"/>
      <c r="D6" s="635"/>
      <c r="E6" s="635"/>
    </row>
    <row r="7" spans="2:26" s="610" customFormat="1" ht="15.75" hidden="1" x14ac:dyDescent="0.25">
      <c r="B7" s="635"/>
      <c r="C7" s="635"/>
      <c r="D7" s="635"/>
      <c r="E7" s="635"/>
    </row>
    <row r="8" spans="2:26" s="610" customFormat="1" ht="15.75" hidden="1" x14ac:dyDescent="0.25">
      <c r="B8" s="635"/>
      <c r="C8" s="635"/>
      <c r="D8" s="635"/>
      <c r="E8" s="635"/>
    </row>
    <row r="9" spans="2:26" s="610" customFormat="1" ht="15.75" hidden="1" x14ac:dyDescent="0.25">
      <c r="B9" s="635"/>
      <c r="C9" s="635"/>
      <c r="D9" s="635"/>
      <c r="E9" s="635"/>
    </row>
    <row r="10" spans="2:26" ht="13.5" hidden="1" customHeight="1" x14ac:dyDescent="0.25">
      <c r="V10" s="607"/>
      <c r="W10" s="607"/>
    </row>
    <row r="11" spans="2:26" ht="19.5" customHeight="1" x14ac:dyDescent="0.25">
      <c r="B11" s="1070" t="s">
        <v>646</v>
      </c>
      <c r="C11" s="1070"/>
      <c r="D11" s="1070"/>
      <c r="E11" s="1070"/>
      <c r="F11" s="1094" t="s">
        <v>647</v>
      </c>
      <c r="G11" s="1075" t="s">
        <v>648</v>
      </c>
      <c r="H11" s="1076"/>
      <c r="I11" s="1076"/>
      <c r="J11" s="1077"/>
      <c r="K11" s="612"/>
      <c r="V11" s="607"/>
      <c r="W11" s="607"/>
    </row>
    <row r="12" spans="2:26" ht="17.25" customHeight="1" x14ac:dyDescent="0.25">
      <c r="B12" s="1070"/>
      <c r="C12" s="1070"/>
      <c r="D12" s="1070"/>
      <c r="E12" s="1070"/>
      <c r="F12" s="1094"/>
      <c r="G12" s="1078"/>
      <c r="H12" s="1079"/>
      <c r="I12" s="1079"/>
      <c r="J12" s="1080"/>
      <c r="K12" s="612"/>
      <c r="V12" s="607"/>
      <c r="W12" s="607"/>
    </row>
    <row r="13" spans="2:26" ht="24" hidden="1" customHeight="1" x14ac:dyDescent="0.25">
      <c r="B13" s="623"/>
      <c r="C13" s="623"/>
      <c r="D13" s="623"/>
      <c r="E13" s="623"/>
      <c r="F13" s="612"/>
      <c r="G13" s="612"/>
      <c r="H13" s="612"/>
      <c r="I13" s="612"/>
      <c r="J13" s="612"/>
      <c r="K13" s="612"/>
      <c r="V13" s="607"/>
      <c r="W13" s="607"/>
      <c r="Z13" s="610" t="s">
        <v>649</v>
      </c>
    </row>
    <row r="14" spans="2:26" ht="39" hidden="1" customHeight="1" x14ac:dyDescent="0.25">
      <c r="B14" s="1070" t="s">
        <v>650</v>
      </c>
      <c r="C14" s="1070"/>
      <c r="D14" s="1070"/>
      <c r="E14" s="1070"/>
      <c r="F14" s="613" t="s">
        <v>647</v>
      </c>
      <c r="G14" s="1085">
        <v>1</v>
      </c>
      <c r="H14" s="1086"/>
      <c r="I14" s="1086"/>
      <c r="J14" s="1087"/>
      <c r="K14" s="612"/>
      <c r="V14" s="607"/>
      <c r="W14" s="607"/>
      <c r="Z14" s="610" t="s">
        <v>651</v>
      </c>
    </row>
    <row r="15" spans="2:26" ht="24" customHeight="1" x14ac:dyDescent="0.25">
      <c r="B15" s="624"/>
      <c r="C15" s="624"/>
      <c r="D15" s="622"/>
      <c r="E15" s="622"/>
      <c r="F15" s="614"/>
      <c r="G15" s="608"/>
      <c r="H15" s="608"/>
      <c r="I15" s="614"/>
      <c r="J15" s="608"/>
      <c r="K15" s="612"/>
      <c r="V15" s="607"/>
      <c r="W15" s="607"/>
    </row>
    <row r="16" spans="2:26" ht="39" customHeight="1" thickBot="1" x14ac:dyDescent="0.3">
      <c r="B16" s="1070" t="s">
        <v>610</v>
      </c>
      <c r="C16" s="1070"/>
      <c r="D16" s="1070"/>
      <c r="E16" s="1070"/>
      <c r="F16" s="615" t="s">
        <v>647</v>
      </c>
      <c r="G16" s="1074" t="s">
        <v>433</v>
      </c>
      <c r="H16" s="1074"/>
      <c r="I16" s="1074"/>
      <c r="J16" s="1074"/>
      <c r="K16" s="612"/>
      <c r="V16" s="607"/>
      <c r="W16" s="607"/>
    </row>
    <row r="17" spans="2:28" ht="16.5" customHeight="1" x14ac:dyDescent="0.25">
      <c r="B17" s="624"/>
      <c r="C17" s="624"/>
      <c r="D17" s="622"/>
      <c r="E17" s="622"/>
      <c r="F17" s="614"/>
      <c r="G17" s="876" t="str">
        <f>VLOOKUP(G18,PriceLink_Fitted!B14:AA161,2,FALSE)</f>
        <v>Unsold</v>
      </c>
      <c r="H17" s="608"/>
      <c r="I17" s="614"/>
      <c r="J17" s="608"/>
      <c r="K17" s="612"/>
      <c r="M17" s="1071" t="s">
        <v>652</v>
      </c>
      <c r="N17" s="1072"/>
      <c r="O17" s="1072"/>
      <c r="P17" s="1072"/>
      <c r="Q17" s="1072"/>
      <c r="R17" s="1072"/>
      <c r="S17" s="1072"/>
      <c r="T17" s="1072"/>
      <c r="U17" s="1073"/>
      <c r="V17" s="607"/>
      <c r="W17" s="607"/>
    </row>
    <row r="18" spans="2:28" ht="31.5" customHeight="1" x14ac:dyDescent="0.25">
      <c r="B18" s="1048" t="s">
        <v>653</v>
      </c>
      <c r="C18" s="1048"/>
      <c r="D18" s="1048"/>
      <c r="E18" s="1048"/>
      <c r="F18" s="614" t="s">
        <v>647</v>
      </c>
      <c r="G18" s="1084" t="s">
        <v>187</v>
      </c>
      <c r="H18" s="1084"/>
      <c r="I18" s="1084"/>
      <c r="J18" s="1084"/>
      <c r="K18" s="612"/>
      <c r="M18" s="1066" t="s">
        <v>654</v>
      </c>
      <c r="N18" s="1067"/>
      <c r="O18" s="1067"/>
      <c r="P18" s="1067"/>
      <c r="Q18" s="1067"/>
      <c r="R18" s="1067"/>
      <c r="S18" s="1067"/>
      <c r="T18" s="1067"/>
      <c r="U18" s="1068"/>
      <c r="V18" s="607"/>
      <c r="W18" s="607"/>
    </row>
    <row r="19" spans="2:28" ht="16.5" customHeight="1" x14ac:dyDescent="0.25">
      <c r="B19"/>
      <c r="C19"/>
      <c r="D19"/>
      <c r="E19"/>
      <c r="F19" s="616"/>
      <c r="G19" s="616"/>
      <c r="H19" s="616"/>
      <c r="I19" s="616"/>
      <c r="J19" s="616"/>
      <c r="K19" s="612"/>
      <c r="M19" s="1065" t="s">
        <v>655</v>
      </c>
      <c r="N19" s="1052"/>
      <c r="O19" s="1052"/>
      <c r="P19" s="1052"/>
      <c r="Q19" s="1052" t="s">
        <v>656</v>
      </c>
      <c r="R19" s="1052"/>
      <c r="S19" s="1052"/>
      <c r="T19" s="1052" t="s">
        <v>657</v>
      </c>
      <c r="U19" s="1053"/>
      <c r="V19" s="607"/>
      <c r="W19" s="607"/>
      <c r="AB19" s="611"/>
    </row>
    <row r="20" spans="2:28" ht="31.5" customHeight="1" x14ac:dyDescent="0.25">
      <c r="B20" s="1048" t="s">
        <v>658</v>
      </c>
      <c r="C20" s="1048"/>
      <c r="D20" s="1048"/>
      <c r="E20" s="1048"/>
      <c r="F20" s="614" t="s">
        <v>647</v>
      </c>
      <c r="G20" s="1074" t="s">
        <v>662</v>
      </c>
      <c r="H20" s="1074"/>
      <c r="I20" s="1074"/>
      <c r="J20" s="1074"/>
      <c r="K20" s="609"/>
      <c r="M20" s="1046"/>
      <c r="N20" s="1040"/>
      <c r="O20" s="1040"/>
      <c r="P20" s="1040"/>
      <c r="Q20" s="1044"/>
      <c r="R20" s="1044"/>
      <c r="S20" s="1044"/>
      <c r="T20" s="1054"/>
      <c r="U20" s="1055"/>
      <c r="V20" s="626"/>
      <c r="W20" s="607"/>
      <c r="AB20" s="611"/>
    </row>
    <row r="21" spans="2:28" ht="16.5" customHeight="1" x14ac:dyDescent="0.25">
      <c r="B21" s="623"/>
      <c r="C21" s="623"/>
      <c r="D21" s="623"/>
      <c r="E21" s="623"/>
      <c r="F21" s="612"/>
      <c r="G21" s="617"/>
      <c r="H21" s="612"/>
      <c r="I21" s="612"/>
      <c r="J21" s="612"/>
      <c r="K21" s="609"/>
      <c r="M21" s="1046"/>
      <c r="N21" s="1040"/>
      <c r="O21" s="1040"/>
      <c r="P21" s="1040"/>
      <c r="Q21" s="1044"/>
      <c r="R21" s="1044"/>
      <c r="S21" s="1044"/>
      <c r="T21" s="1054"/>
      <c r="U21" s="1055"/>
      <c r="V21" s="607"/>
      <c r="W21" s="607"/>
      <c r="X21" s="610" t="s">
        <v>660</v>
      </c>
      <c r="Y21" s="610" t="s">
        <v>659</v>
      </c>
      <c r="AA21" s="634">
        <f>VLOOKUP(G18,PriceLink_Fitted!B14:AA145,13,FALSE)</f>
        <v>0</v>
      </c>
      <c r="AB21" s="611"/>
    </row>
    <row r="22" spans="2:28" ht="31.5" customHeight="1" x14ac:dyDescent="0.25">
      <c r="B22" s="1070" t="s">
        <v>661</v>
      </c>
      <c r="C22" s="1070"/>
      <c r="D22" s="1070"/>
      <c r="E22" s="1070"/>
      <c r="F22" s="608" t="s">
        <v>647</v>
      </c>
      <c r="G22" s="1081">
        <v>45870</v>
      </c>
      <c r="H22" s="1082"/>
      <c r="I22" s="1082"/>
      <c r="J22" s="1083"/>
      <c r="K22" s="609"/>
      <c r="M22" s="1046"/>
      <c r="N22" s="1040"/>
      <c r="O22" s="1040"/>
      <c r="P22" s="1040"/>
      <c r="Q22" s="1044"/>
      <c r="R22" s="1044"/>
      <c r="S22" s="1044"/>
      <c r="T22" s="1054"/>
      <c r="U22" s="1055"/>
      <c r="V22" s="607"/>
      <c r="W22" s="607"/>
      <c r="Y22" s="610" t="s">
        <v>662</v>
      </c>
      <c r="AA22" s="634">
        <f>VLOOKUP(G18,PriceLink_Fitted!B14:AA145,14,FALSE)</f>
        <v>20466686.730335645</v>
      </c>
      <c r="AB22" s="611"/>
    </row>
    <row r="23" spans="2:28" ht="16.5" customHeight="1" x14ac:dyDescent="0.25">
      <c r="B23" s="622"/>
      <c r="C23" s="622"/>
      <c r="D23" s="622"/>
      <c r="E23" s="622"/>
      <c r="F23" s="618"/>
      <c r="G23" s="619"/>
      <c r="H23" s="619"/>
      <c r="I23" s="619"/>
      <c r="J23" s="619"/>
      <c r="K23" s="609"/>
      <c r="M23" s="1046"/>
      <c r="N23" s="1040"/>
      <c r="O23" s="1040"/>
      <c r="P23" s="1040"/>
      <c r="Q23" s="1044"/>
      <c r="R23" s="1044"/>
      <c r="S23" s="1044"/>
      <c r="T23" s="1054"/>
      <c r="U23" s="1055"/>
      <c r="V23" s="607"/>
      <c r="W23" s="607"/>
      <c r="Z23" s="610" t="s">
        <v>660</v>
      </c>
      <c r="AB23" s="611"/>
    </row>
    <row r="24" spans="2:28" ht="31.5" customHeight="1" x14ac:dyDescent="0.25">
      <c r="B24" s="1070" t="s">
        <v>624</v>
      </c>
      <c r="C24" s="1070"/>
      <c r="D24" s="1070"/>
      <c r="E24" s="1070"/>
      <c r="F24" s="608"/>
      <c r="G24" s="1088">
        <v>50000</v>
      </c>
      <c r="H24" s="1089"/>
      <c r="I24" s="1089"/>
      <c r="J24" s="1090"/>
      <c r="K24" s="609"/>
      <c r="M24" s="1066" t="s">
        <v>663</v>
      </c>
      <c r="N24" s="1067"/>
      <c r="O24" s="1067"/>
      <c r="P24" s="1067"/>
      <c r="Q24" s="1067"/>
      <c r="R24" s="1067"/>
      <c r="S24" s="1067"/>
      <c r="T24" s="1067"/>
      <c r="U24" s="1068"/>
      <c r="V24" s="626"/>
      <c r="W24" s="607"/>
      <c r="AB24" s="607"/>
    </row>
    <row r="25" spans="2:28" ht="16.5" customHeight="1" x14ac:dyDescent="0.25">
      <c r="B25" s="622"/>
      <c r="C25" s="622"/>
      <c r="D25" s="622"/>
      <c r="E25" s="622"/>
      <c r="F25" s="618"/>
      <c r="G25" s="619"/>
      <c r="H25" s="619"/>
      <c r="I25" s="620"/>
      <c r="J25" s="620"/>
      <c r="K25" s="609"/>
      <c r="M25" s="1065" t="s">
        <v>655</v>
      </c>
      <c r="N25" s="1052"/>
      <c r="O25" s="1052"/>
      <c r="P25" s="1052"/>
      <c r="Q25" s="1052" t="s">
        <v>656</v>
      </c>
      <c r="R25" s="1052"/>
      <c r="S25" s="1052"/>
      <c r="T25" s="1052" t="s">
        <v>657</v>
      </c>
      <c r="U25" s="1053"/>
      <c r="AB25" s="607"/>
    </row>
    <row r="26" spans="2:28" ht="31.5" customHeight="1" x14ac:dyDescent="0.25">
      <c r="B26" s="1048" t="s">
        <v>664</v>
      </c>
      <c r="C26" s="1048"/>
      <c r="D26" s="1048"/>
      <c r="E26" s="1048"/>
      <c r="F26" s="608" t="s">
        <v>647</v>
      </c>
      <c r="G26" s="1049">
        <v>0.15</v>
      </c>
      <c r="H26" s="1050"/>
      <c r="I26" s="1050"/>
      <c r="J26" s="1051"/>
      <c r="K26" s="609"/>
      <c r="M26" s="1046"/>
      <c r="N26" s="1040"/>
      <c r="O26" s="1040"/>
      <c r="P26" s="1040"/>
      <c r="Q26" s="1044"/>
      <c r="R26" s="1044"/>
      <c r="S26" s="1044"/>
      <c r="T26" s="1054"/>
      <c r="U26" s="1055"/>
    </row>
    <row r="27" spans="2:28" ht="16.5" customHeight="1" x14ac:dyDescent="0.25">
      <c r="B27" s="622"/>
      <c r="C27" s="622"/>
      <c r="D27" s="622"/>
      <c r="E27" s="622"/>
      <c r="F27" s="618"/>
      <c r="G27" s="619"/>
      <c r="H27" s="619"/>
      <c r="I27" s="620"/>
      <c r="J27" s="620"/>
      <c r="K27" s="609"/>
      <c r="M27" s="1046"/>
      <c r="N27" s="1040"/>
      <c r="O27" s="1040"/>
      <c r="P27" s="1040"/>
      <c r="Q27" s="1044"/>
      <c r="R27" s="1044"/>
      <c r="S27" s="1044"/>
      <c r="T27" s="1054"/>
      <c r="U27" s="1055"/>
    </row>
    <row r="28" spans="2:28" ht="31.5" customHeight="1" x14ac:dyDescent="0.25">
      <c r="B28" s="1048" t="s">
        <v>665</v>
      </c>
      <c r="C28" s="1048"/>
      <c r="D28" s="1048"/>
      <c r="E28" s="1048"/>
      <c r="F28" s="608" t="s">
        <v>647</v>
      </c>
      <c r="G28" s="1091">
        <v>0.15</v>
      </c>
      <c r="H28" s="1092"/>
      <c r="I28" s="1092"/>
      <c r="J28" s="1093"/>
      <c r="K28" s="612"/>
      <c r="M28" s="1046"/>
      <c r="N28" s="1040"/>
      <c r="O28" s="1040"/>
      <c r="P28" s="1040"/>
      <c r="Q28" s="1044"/>
      <c r="R28" s="1044"/>
      <c r="S28" s="1044"/>
      <c r="T28" s="1054"/>
      <c r="U28" s="1055"/>
    </row>
    <row r="29" spans="2:28" ht="16.5" customHeight="1" x14ac:dyDescent="0.25">
      <c r="B29" s="622"/>
      <c r="C29" s="622"/>
      <c r="D29" s="622"/>
      <c r="E29" s="622"/>
      <c r="F29" s="618"/>
      <c r="G29" s="619"/>
      <c r="H29" s="619"/>
      <c r="I29" s="620"/>
      <c r="J29" s="620"/>
      <c r="K29" s="618"/>
      <c r="M29" s="1046"/>
      <c r="N29" s="1040"/>
      <c r="O29" s="1040"/>
      <c r="P29" s="1040"/>
      <c r="Q29" s="1044"/>
      <c r="R29" s="1044"/>
      <c r="S29" s="1044"/>
      <c r="T29" s="1054"/>
      <c r="U29" s="1055"/>
    </row>
    <row r="30" spans="2:28" ht="31.5" customHeight="1" x14ac:dyDescent="0.25">
      <c r="B30" s="1070" t="s">
        <v>666</v>
      </c>
      <c r="C30" s="1070"/>
      <c r="D30" s="1070"/>
      <c r="E30" s="1070"/>
      <c r="F30" s="608" t="s">
        <v>647</v>
      </c>
      <c r="G30" s="1056"/>
      <c r="H30" s="1057"/>
      <c r="I30" s="1057"/>
      <c r="J30" s="1058"/>
      <c r="K30" s="612"/>
      <c r="M30" s="1066" t="s">
        <v>667</v>
      </c>
      <c r="N30" s="1067"/>
      <c r="O30" s="1067"/>
      <c r="P30" s="1067"/>
      <c r="Q30" s="1067"/>
      <c r="R30" s="1067"/>
      <c r="S30" s="1067"/>
      <c r="T30" s="1067"/>
      <c r="U30" s="1068"/>
    </row>
    <row r="31" spans="2:28" ht="16.5" customHeight="1" x14ac:dyDescent="0.25">
      <c r="B31" s="623"/>
      <c r="C31" s="623"/>
      <c r="D31" s="623"/>
      <c r="E31" s="623"/>
      <c r="F31" s="608"/>
      <c r="G31" s="612"/>
      <c r="H31" s="612"/>
      <c r="I31" s="612"/>
      <c r="J31" s="612"/>
      <c r="K31" s="612"/>
      <c r="M31" s="1065" t="s">
        <v>655</v>
      </c>
      <c r="N31" s="1052"/>
      <c r="O31" s="1052"/>
      <c r="P31" s="1052"/>
      <c r="Q31" s="1052" t="s">
        <v>656</v>
      </c>
      <c r="R31" s="1052"/>
      <c r="S31" s="1052"/>
      <c r="T31" s="1052" t="s">
        <v>668</v>
      </c>
      <c r="U31" s="1053"/>
    </row>
    <row r="32" spans="2:28" ht="31.5" customHeight="1" x14ac:dyDescent="0.25">
      <c r="B32" s="1070" t="s">
        <v>669</v>
      </c>
      <c r="C32" s="1070"/>
      <c r="D32" s="1070"/>
      <c r="E32" s="1070"/>
      <c r="F32" s="608" t="s">
        <v>647</v>
      </c>
      <c r="G32" s="1056" t="s">
        <v>670</v>
      </c>
      <c r="H32" s="1057"/>
      <c r="I32" s="1057"/>
      <c r="J32" s="1058"/>
      <c r="M32" s="1046"/>
      <c r="N32" s="1040"/>
      <c r="O32" s="1040"/>
      <c r="P32" s="1040"/>
      <c r="Q32" s="1044"/>
      <c r="R32" s="1044"/>
      <c r="S32" s="1044"/>
      <c r="T32" s="1040"/>
      <c r="U32" s="1041"/>
    </row>
    <row r="33" spans="1:21" ht="16.5" customHeight="1" x14ac:dyDescent="0.25">
      <c r="A33" s="636"/>
      <c r="B33" s="623"/>
      <c r="C33" s="623"/>
      <c r="D33" s="623"/>
      <c r="E33" s="623"/>
      <c r="F33" s="608"/>
      <c r="G33" s="612"/>
      <c r="H33" s="612"/>
      <c r="I33" s="612"/>
      <c r="J33" s="612"/>
      <c r="M33" s="1046"/>
      <c r="N33" s="1040"/>
      <c r="O33" s="1040"/>
      <c r="P33" s="1040"/>
      <c r="Q33" s="1044"/>
      <c r="R33" s="1044"/>
      <c r="S33" s="1044"/>
      <c r="T33" s="1040"/>
      <c r="U33" s="1041"/>
    </row>
    <row r="34" spans="1:21" ht="30.75" customHeight="1" x14ac:dyDescent="0.25">
      <c r="B34" s="1048" t="s">
        <v>671</v>
      </c>
      <c r="C34" s="1048"/>
      <c r="D34" s="1048"/>
      <c r="E34" s="1048"/>
      <c r="F34" s="1069" t="s">
        <v>647</v>
      </c>
      <c r="G34" s="1059"/>
      <c r="H34" s="1060"/>
      <c r="I34" s="1060"/>
      <c r="J34" s="1061"/>
      <c r="M34" s="1046"/>
      <c r="N34" s="1040"/>
      <c r="O34" s="1040"/>
      <c r="P34" s="1040"/>
      <c r="Q34" s="1044"/>
      <c r="R34" s="1044"/>
      <c r="S34" s="1044"/>
      <c r="T34" s="1040"/>
      <c r="U34" s="1041"/>
    </row>
    <row r="35" spans="1:21" ht="12.75" customHeight="1" thickBot="1" x14ac:dyDescent="0.3">
      <c r="B35" s="1048"/>
      <c r="C35" s="1048"/>
      <c r="D35" s="1048"/>
      <c r="E35" s="1048"/>
      <c r="F35" s="1069"/>
      <c r="G35" s="1062"/>
      <c r="H35" s="1063"/>
      <c r="I35" s="1063"/>
      <c r="J35" s="1064"/>
      <c r="M35" s="1047"/>
      <c r="N35" s="1042"/>
      <c r="O35" s="1042"/>
      <c r="P35" s="1042"/>
      <c r="Q35" s="1045"/>
      <c r="R35" s="1045"/>
      <c r="S35" s="1045"/>
      <c r="T35" s="1042"/>
      <c r="U35" s="1043"/>
    </row>
    <row r="36" spans="1:21" ht="15.75" x14ac:dyDescent="0.25">
      <c r="R36" s="607" t="s">
        <v>660</v>
      </c>
    </row>
    <row r="37" spans="1:21" ht="36" customHeight="1" x14ac:dyDescent="0.25">
      <c r="A37" s="1030" t="s">
        <v>672</v>
      </c>
      <c r="B37" s="1031"/>
      <c r="C37" s="1031"/>
      <c r="D37" s="1031"/>
      <c r="E37" s="1031"/>
      <c r="F37" s="1031"/>
      <c r="G37" s="1031"/>
      <c r="H37" s="1031"/>
      <c r="I37" s="1031"/>
      <c r="J37" s="1031"/>
      <c r="K37" s="1031"/>
      <c r="L37" s="1031"/>
      <c r="M37" s="1031"/>
      <c r="N37" s="1031"/>
      <c r="O37" s="1031"/>
      <c r="P37" s="1031"/>
      <c r="Q37" s="1031"/>
      <c r="R37" s="1031"/>
      <c r="S37" s="1031"/>
      <c r="T37" s="1031"/>
      <c r="U37" s="1031"/>
    </row>
    <row r="38" spans="1:21" ht="20.25" x14ac:dyDescent="0.3">
      <c r="A38" s="637"/>
      <c r="B38" s="637"/>
      <c r="C38" s="637"/>
      <c r="D38" s="637"/>
      <c r="E38" s="637"/>
      <c r="F38" s="637"/>
      <c r="G38" s="637"/>
      <c r="H38" s="637"/>
      <c r="I38" s="637"/>
      <c r="J38" s="637"/>
      <c r="K38" s="637"/>
      <c r="L38" s="637"/>
      <c r="M38" s="637"/>
      <c r="N38" s="637"/>
      <c r="O38" s="637"/>
      <c r="P38" s="637"/>
      <c r="Q38" s="637"/>
      <c r="R38" s="637"/>
      <c r="S38" s="637"/>
      <c r="T38" s="637"/>
    </row>
    <row r="39" spans="1:21" ht="20.25" x14ac:dyDescent="0.25">
      <c r="A39" s="1097" t="s">
        <v>673</v>
      </c>
      <c r="B39" s="1097"/>
      <c r="C39" s="1097" t="s">
        <v>556</v>
      </c>
      <c r="D39" s="1097"/>
      <c r="E39" s="638"/>
      <c r="F39" s="1032" t="s">
        <v>674</v>
      </c>
      <c r="G39" s="1032"/>
      <c r="H39" s="1037" t="s">
        <v>675</v>
      </c>
      <c r="I39" s="1038"/>
      <c r="J39" s="1038"/>
      <c r="K39" s="1038"/>
      <c r="L39" s="1039"/>
      <c r="M39" s="1037" t="s">
        <v>676</v>
      </c>
      <c r="N39" s="1038"/>
      <c r="O39" s="1038"/>
      <c r="P39" s="1039"/>
      <c r="Q39" s="1032" t="s">
        <v>677</v>
      </c>
      <c r="R39" s="1032"/>
      <c r="S39" s="638"/>
      <c r="T39" s="638"/>
    </row>
    <row r="40" spans="1:21" ht="20.25" x14ac:dyDescent="0.25">
      <c r="A40" s="1098" t="str">
        <f>'STANDARD COMP.'!E8</f>
        <v>9G</v>
      </c>
      <c r="B40" s="1098"/>
      <c r="C40" s="1099">
        <f>PriceLink_Fitted!W11</f>
        <v>7</v>
      </c>
      <c r="D40" s="1098"/>
      <c r="E40" s="638"/>
      <c r="F40" s="1032" t="s">
        <v>678</v>
      </c>
      <c r="G40" s="1032"/>
      <c r="H40" s="1033"/>
      <c r="I40" s="1034"/>
      <c r="J40" s="1034"/>
      <c r="K40" s="1034"/>
      <c r="L40" s="1035"/>
      <c r="M40" s="1033">
        <v>2</v>
      </c>
      <c r="N40" s="1034"/>
      <c r="O40" s="1034"/>
      <c r="P40" s="1035"/>
      <c r="Q40" s="1036">
        <v>0.25</v>
      </c>
      <c r="R40" s="1036"/>
      <c r="S40" s="638"/>
      <c r="T40" s="638"/>
    </row>
    <row r="41" spans="1:21" ht="20.25" x14ac:dyDescent="0.25">
      <c r="A41" s="638"/>
      <c r="B41" s="638"/>
      <c r="C41" s="638"/>
      <c r="D41" s="638"/>
      <c r="E41" s="638"/>
      <c r="F41" s="1032" t="s">
        <v>679</v>
      </c>
      <c r="G41" s="1032"/>
      <c r="H41" s="1033"/>
      <c r="I41" s="1034"/>
      <c r="J41" s="1034"/>
      <c r="K41" s="1034"/>
      <c r="L41" s="1035"/>
      <c r="M41" s="1033">
        <v>3</v>
      </c>
      <c r="N41" s="1034"/>
      <c r="O41" s="1034"/>
      <c r="P41" s="1035"/>
      <c r="Q41" s="1036">
        <v>0.35</v>
      </c>
      <c r="R41" s="1036"/>
      <c r="S41" s="638"/>
      <c r="T41" s="638"/>
    </row>
    <row r="42" spans="1:21" ht="20.25" x14ac:dyDescent="0.25">
      <c r="A42" s="638"/>
      <c r="B42" s="638"/>
      <c r="C42" s="638"/>
      <c r="D42" s="638"/>
      <c r="E42" s="638"/>
      <c r="F42" s="1032" t="s">
        <v>680</v>
      </c>
      <c r="G42" s="1032"/>
      <c r="H42" s="1033"/>
      <c r="I42" s="1034"/>
      <c r="J42" s="1034"/>
      <c r="K42" s="1034"/>
      <c r="L42" s="1035"/>
      <c r="M42" s="1033">
        <v>3</v>
      </c>
      <c r="N42" s="1034"/>
      <c r="O42" s="1034"/>
      <c r="P42" s="1035"/>
      <c r="Q42" s="1100">
        <v>0.4</v>
      </c>
      <c r="R42" s="1100"/>
      <c r="S42" s="638"/>
      <c r="T42" s="638"/>
    </row>
    <row r="43" spans="1:21" ht="24" customHeight="1" x14ac:dyDescent="0.25">
      <c r="F43" s="1095" t="s">
        <v>468</v>
      </c>
      <c r="G43" s="1095"/>
      <c r="H43" s="1095"/>
      <c r="I43" s="1095"/>
      <c r="J43" s="1095"/>
      <c r="K43" s="1095"/>
      <c r="L43" s="1095"/>
      <c r="M43" s="1095">
        <f>SUM(M40:P42)</f>
        <v>8</v>
      </c>
      <c r="N43" s="1095"/>
      <c r="O43" s="1095"/>
      <c r="P43" s="1095"/>
      <c r="Q43" s="1096">
        <f>SUM(Q40:R42)</f>
        <v>1</v>
      </c>
      <c r="R43" s="1095"/>
    </row>
    <row r="44" spans="1:21" ht="24" customHeight="1" x14ac:dyDescent="0.25">
      <c r="F44" s="709"/>
      <c r="G44" s="709"/>
      <c r="H44" s="709"/>
      <c r="I44" s="709"/>
      <c r="J44" s="709"/>
      <c r="K44" s="709"/>
      <c r="L44" s="709"/>
      <c r="M44" s="709"/>
      <c r="N44" s="709"/>
      <c r="O44" s="709"/>
      <c r="P44" s="709"/>
      <c r="Q44" s="710"/>
      <c r="R44" s="709"/>
    </row>
    <row r="45" spans="1:21" ht="24" customHeight="1" x14ac:dyDescent="0.25">
      <c r="F45" s="709"/>
      <c r="G45" s="709"/>
      <c r="H45" s="709"/>
      <c r="I45" s="709"/>
      <c r="J45" s="709"/>
      <c r="K45" s="709"/>
      <c r="L45" s="709"/>
      <c r="M45" s="709"/>
      <c r="N45" s="709"/>
      <c r="O45" s="709"/>
      <c r="P45" s="709"/>
      <c r="Q45" s="710"/>
      <c r="R45" s="709"/>
    </row>
    <row r="46" spans="1:21" ht="24" customHeight="1" x14ac:dyDescent="0.25">
      <c r="F46" s="1025" t="str">
        <f>'LOI_STEP UP'!A54</f>
        <v>POSITION</v>
      </c>
      <c r="G46" s="1026"/>
      <c r="H46" s="1026"/>
      <c r="I46" s="1027"/>
      <c r="J46" s="1025" t="str">
        <f>'LOI_STEP UP'!I54</f>
        <v xml:space="preserve">NAME </v>
      </c>
      <c r="K46" s="1026"/>
      <c r="L46" s="1026"/>
      <c r="M46" s="1026"/>
      <c r="N46" s="1026"/>
      <c r="O46" s="1026"/>
      <c r="P46" s="1027"/>
      <c r="Q46" s="1028" t="str">
        <f>'LOI_STEP UP'!P54</f>
        <v>PRC #/HLURB #</v>
      </c>
      <c r="R46" s="1029"/>
    </row>
    <row r="47" spans="1:21" ht="24" customHeight="1" x14ac:dyDescent="0.25">
      <c r="F47" s="1019" t="str">
        <f>'LOI_STEP UP'!A55</f>
        <v>Brokerage/Realty</v>
      </c>
      <c r="G47" s="1020"/>
      <c r="H47" s="1020"/>
      <c r="I47" s="1021"/>
      <c r="J47" s="1022"/>
      <c r="K47" s="1023"/>
      <c r="L47" s="1023"/>
      <c r="M47" s="1023"/>
      <c r="N47" s="1023"/>
      <c r="O47" s="1023"/>
      <c r="P47" s="1024"/>
      <c r="Q47" s="1022"/>
      <c r="R47" s="1024"/>
    </row>
    <row r="48" spans="1:21" ht="24" customHeight="1" x14ac:dyDescent="0.25">
      <c r="F48" s="1019" t="str">
        <f>'LOI_STEP UP'!A56</f>
        <v xml:space="preserve">Broker Head / AVP </v>
      </c>
      <c r="G48" s="1020"/>
      <c r="H48" s="1020"/>
      <c r="I48" s="1021"/>
      <c r="J48" s="1022"/>
      <c r="K48" s="1023"/>
      <c r="L48" s="1023"/>
      <c r="M48" s="1023"/>
      <c r="N48" s="1023"/>
      <c r="O48" s="1023"/>
      <c r="P48" s="1024"/>
      <c r="Q48" s="1022"/>
      <c r="R48" s="1024"/>
    </row>
    <row r="49" spans="6:18" ht="24" customHeight="1" x14ac:dyDescent="0.25">
      <c r="F49" s="1019" t="str">
        <f>'LOI_STEP UP'!A57</f>
        <v>Sales Manager</v>
      </c>
      <c r="G49" s="1020"/>
      <c r="H49" s="1020"/>
      <c r="I49" s="1021"/>
      <c r="J49" s="1022"/>
      <c r="K49" s="1023"/>
      <c r="L49" s="1023"/>
      <c r="M49" s="1023"/>
      <c r="N49" s="1023"/>
      <c r="O49" s="1023"/>
      <c r="P49" s="1024"/>
      <c r="Q49" s="1022"/>
      <c r="R49" s="1024"/>
    </row>
    <row r="50" spans="6:18" ht="24" customHeight="1" x14ac:dyDescent="0.25">
      <c r="F50" s="1019" t="str">
        <f>'LOI_STEP UP'!A58</f>
        <v>Sales Agent / Property Consultant</v>
      </c>
      <c r="G50" s="1020"/>
      <c r="H50" s="1020"/>
      <c r="I50" s="1021"/>
      <c r="J50" s="1022"/>
      <c r="K50" s="1023"/>
      <c r="L50" s="1023"/>
      <c r="M50" s="1023"/>
      <c r="N50" s="1023"/>
      <c r="O50" s="1023"/>
      <c r="P50" s="1024"/>
      <c r="Q50" s="1022"/>
      <c r="R50" s="1024"/>
    </row>
    <row r="51" spans="6:18" ht="24" customHeight="1" x14ac:dyDescent="0.25">
      <c r="F51"/>
      <c r="G51"/>
      <c r="H51"/>
      <c r="I51"/>
      <c r="J51"/>
      <c r="K51"/>
      <c r="L51"/>
      <c r="M51"/>
      <c r="N51"/>
      <c r="O51"/>
      <c r="P51"/>
      <c r="Q51"/>
      <c r="R51"/>
    </row>
    <row r="52" spans="6:18" ht="24" customHeight="1" x14ac:dyDescent="0.25">
      <c r="F52"/>
      <c r="G52"/>
      <c r="H52"/>
      <c r="I52"/>
      <c r="J52"/>
      <c r="K52"/>
      <c r="L52"/>
      <c r="M52"/>
      <c r="N52"/>
      <c r="O52"/>
      <c r="P52"/>
      <c r="Q52"/>
      <c r="R52"/>
    </row>
    <row r="53" spans="6:18" ht="24" customHeight="1" x14ac:dyDescent="0.25">
      <c r="F53" s="709"/>
      <c r="G53" s="709"/>
      <c r="H53" s="709"/>
      <c r="I53" s="709"/>
      <c r="J53" s="709"/>
      <c r="K53" s="709"/>
      <c r="L53" s="709"/>
      <c r="M53" s="709"/>
      <c r="N53" s="709"/>
      <c r="O53" s="709"/>
      <c r="P53" s="709"/>
      <c r="Q53" s="710"/>
      <c r="R53" s="709"/>
    </row>
    <row r="54" spans="6:18" ht="24" customHeight="1" x14ac:dyDescent="0.25">
      <c r="F54" s="709"/>
      <c r="G54" s="709"/>
      <c r="H54" s="709"/>
      <c r="I54" s="709"/>
      <c r="J54" s="709"/>
      <c r="K54" s="709"/>
      <c r="L54" s="709"/>
      <c r="M54" s="709"/>
      <c r="N54" s="709"/>
      <c r="O54" s="709"/>
      <c r="P54" s="709"/>
      <c r="Q54" s="710"/>
      <c r="R54" s="709"/>
    </row>
    <row r="55" spans="6:18" ht="24" customHeight="1" x14ac:dyDescent="0.25">
      <c r="F55" s="709"/>
      <c r="G55" s="709"/>
      <c r="H55" s="709"/>
      <c r="I55" s="709"/>
      <c r="J55" s="709"/>
      <c r="K55" s="709"/>
      <c r="L55" s="709"/>
      <c r="M55" s="709"/>
      <c r="N55" s="709"/>
      <c r="O55" s="709"/>
      <c r="P55" s="709"/>
      <c r="Q55" s="710"/>
      <c r="R55" s="709"/>
    </row>
    <row r="56" spans="6:18" ht="15.75" x14ac:dyDescent="0.25"/>
    <row r="57" spans="6:18" ht="18" hidden="1" customHeight="1" x14ac:dyDescent="0.25"/>
    <row r="58" spans="6:18" ht="18" hidden="1" customHeight="1" x14ac:dyDescent="0.25"/>
    <row r="59" spans="6:18" ht="18" hidden="1" customHeight="1" x14ac:dyDescent="0.25"/>
    <row r="60" spans="6:18" ht="18" hidden="1" customHeight="1" x14ac:dyDescent="0.25"/>
    <row r="61" spans="6:18" ht="18" hidden="1" customHeight="1" x14ac:dyDescent="0.25"/>
    <row r="62" spans="6:18" ht="18" hidden="1" customHeight="1" x14ac:dyDescent="0.25"/>
    <row r="63" spans="6:18" ht="18" hidden="1" customHeight="1" x14ac:dyDescent="0.25"/>
    <row r="64" spans="6:18" ht="18" hidden="1" customHeight="1" x14ac:dyDescent="0.25"/>
    <row r="65" ht="18" hidden="1" customHeight="1" x14ac:dyDescent="0.25"/>
    <row r="66" ht="18" hidden="1" customHeight="1" x14ac:dyDescent="0.25"/>
    <row r="67" ht="18" hidden="1" customHeight="1" x14ac:dyDescent="0.25"/>
    <row r="68" ht="18" hidden="1" customHeight="1" x14ac:dyDescent="0.25"/>
  </sheetData>
  <sheetProtection selectLockedCells="1" selectUnlockedCells="1"/>
  <mergeCells count="96">
    <mergeCell ref="M43:P43"/>
    <mergeCell ref="Q43:R43"/>
    <mergeCell ref="A39:B39"/>
    <mergeCell ref="C39:D39"/>
    <mergeCell ref="A40:B40"/>
    <mergeCell ref="C40:D40"/>
    <mergeCell ref="F43:L43"/>
    <mergeCell ref="Q39:R39"/>
    <mergeCell ref="F42:G42"/>
    <mergeCell ref="H42:L42"/>
    <mergeCell ref="M42:P42"/>
    <mergeCell ref="Q42:R42"/>
    <mergeCell ref="F41:G41"/>
    <mergeCell ref="H41:L41"/>
    <mergeCell ref="M41:P41"/>
    <mergeCell ref="Q41:R41"/>
    <mergeCell ref="G11:J12"/>
    <mergeCell ref="G22:J22"/>
    <mergeCell ref="G30:J30"/>
    <mergeCell ref="B11:E12"/>
    <mergeCell ref="G16:J16"/>
    <mergeCell ref="G18:J18"/>
    <mergeCell ref="G14:J14"/>
    <mergeCell ref="G24:J24"/>
    <mergeCell ref="G28:J28"/>
    <mergeCell ref="F11:F12"/>
    <mergeCell ref="B22:E22"/>
    <mergeCell ref="B14:E14"/>
    <mergeCell ref="B16:E16"/>
    <mergeCell ref="B18:E18"/>
    <mergeCell ref="B20:E20"/>
    <mergeCell ref="F34:F35"/>
    <mergeCell ref="B30:E30"/>
    <mergeCell ref="B32:E32"/>
    <mergeCell ref="B24:E24"/>
    <mergeCell ref="M17:U17"/>
    <mergeCell ref="M19:P19"/>
    <mergeCell ref="Q19:S19"/>
    <mergeCell ref="T19:U19"/>
    <mergeCell ref="M22:P23"/>
    <mergeCell ref="Q22:S23"/>
    <mergeCell ref="T22:U23"/>
    <mergeCell ref="M20:P21"/>
    <mergeCell ref="Q20:S21"/>
    <mergeCell ref="T20:U21"/>
    <mergeCell ref="G20:J20"/>
    <mergeCell ref="M30:U30"/>
    <mergeCell ref="M31:P31"/>
    <mergeCell ref="Q31:S31"/>
    <mergeCell ref="M18:U18"/>
    <mergeCell ref="Q26:S27"/>
    <mergeCell ref="M26:P27"/>
    <mergeCell ref="T26:U27"/>
    <mergeCell ref="M25:P25"/>
    <mergeCell ref="T25:U25"/>
    <mergeCell ref="Q25:S25"/>
    <mergeCell ref="M24:U24"/>
    <mergeCell ref="T34:U35"/>
    <mergeCell ref="Q34:S35"/>
    <mergeCell ref="M34:P35"/>
    <mergeCell ref="B26:E26"/>
    <mergeCell ref="G26:J26"/>
    <mergeCell ref="M32:P33"/>
    <mergeCell ref="Q32:S33"/>
    <mergeCell ref="T32:U33"/>
    <mergeCell ref="T31:U31"/>
    <mergeCell ref="T28:U29"/>
    <mergeCell ref="Q28:S29"/>
    <mergeCell ref="M28:P29"/>
    <mergeCell ref="G32:J32"/>
    <mergeCell ref="B28:E28"/>
    <mergeCell ref="G34:J35"/>
    <mergeCell ref="B34:E35"/>
    <mergeCell ref="A37:U37"/>
    <mergeCell ref="F40:G40"/>
    <mergeCell ref="H40:L40"/>
    <mergeCell ref="M40:P40"/>
    <mergeCell ref="Q40:R40"/>
    <mergeCell ref="F39:G39"/>
    <mergeCell ref="H39:L39"/>
    <mergeCell ref="M39:P39"/>
    <mergeCell ref="F46:I46"/>
    <mergeCell ref="J46:P46"/>
    <mergeCell ref="Q46:R46"/>
    <mergeCell ref="F47:I47"/>
    <mergeCell ref="J47:P47"/>
    <mergeCell ref="Q47:R47"/>
    <mergeCell ref="F50:I50"/>
    <mergeCell ref="J50:P50"/>
    <mergeCell ref="Q50:R50"/>
    <mergeCell ref="F48:I48"/>
    <mergeCell ref="J48:P48"/>
    <mergeCell ref="Q48:R48"/>
    <mergeCell ref="F49:I49"/>
    <mergeCell ref="J49:P49"/>
    <mergeCell ref="Q49:R49"/>
  </mergeCells>
  <phoneticPr fontId="28" type="noConversion"/>
  <dataValidations count="4">
    <dataValidation type="list" allowBlank="1" showInputMessage="1" showErrorMessage="1" sqref="G20:J20" xr:uid="{00000000-0002-0000-0400-000000000000}">
      <formula1>$Y$21:$Y$22</formula1>
    </dataValidation>
    <dataValidation allowBlank="1" showInputMessage="1" showErrorMessage="1" prompt="i.e. 1st to 11th month" sqref="H40:L40" xr:uid="{00000000-0002-0000-0400-000001000000}"/>
    <dataValidation allowBlank="1" showInputMessage="1" showErrorMessage="1" prompt="i.e. 12th to 23rd month" sqref="H41:L41" xr:uid="{00000000-0002-0000-0400-000002000000}"/>
    <dataValidation allowBlank="1" showInputMessage="1" showErrorMessage="1" prompt="i.e. 24th month to 35rd month" sqref="H42:L42" xr:uid="{00000000-0002-0000-0400-000003000000}"/>
  </dataValidations>
  <pageMargins left="0.7" right="0.7" top="0.75" bottom="0.75" header="0.3" footer="0.3"/>
  <pageSetup paperSize="9" orientation="portrait" verticalDpi="30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4"/>
  <dimension ref="A1:BA858"/>
  <sheetViews>
    <sheetView showGridLines="0" showZeros="0" tabSelected="1" view="pageLayout" topLeftCell="A2" zoomScale="85" zoomScaleNormal="100" zoomScaleSheetLayoutView="90" zoomScalePageLayoutView="85" workbookViewId="0">
      <selection activeCell="E32" sqref="E32"/>
    </sheetView>
  </sheetViews>
  <sheetFormatPr defaultColWidth="8.7109375" defaultRowHeight="15.75" customHeight="1" x14ac:dyDescent="0.25"/>
  <cols>
    <col min="1" max="1" width="1" style="130" customWidth="1"/>
    <col min="2" max="2" width="12.5703125" style="130" customWidth="1"/>
    <col min="3" max="3" width="18.7109375" style="130" customWidth="1"/>
    <col min="4" max="4" width="13.28515625" style="130" customWidth="1"/>
    <col min="5" max="5" width="19.42578125" style="130" customWidth="1"/>
    <col min="6" max="6" width="15.28515625" style="130" customWidth="1"/>
    <col min="7" max="7" width="8.28515625" style="130" customWidth="1"/>
    <col min="8" max="8" width="3.7109375" style="130" customWidth="1"/>
    <col min="9" max="9" width="14.7109375" style="130" customWidth="1"/>
    <col min="10" max="10" width="2" style="130" customWidth="1"/>
    <col min="11" max="11" width="9.28515625" style="130" customWidth="1"/>
    <col min="12" max="12" width="24.7109375" style="192" customWidth="1"/>
    <col min="13" max="13" width="24.42578125" style="130" customWidth="1"/>
    <col min="14" max="14" width="17.28515625" style="130" customWidth="1"/>
    <col min="15" max="16" width="10.7109375" style="130" customWidth="1"/>
    <col min="17" max="17" width="14.28515625" style="130" customWidth="1"/>
    <col min="18" max="18" width="4.7109375" style="130" customWidth="1"/>
    <col min="19" max="19" width="8.7109375" style="130"/>
    <col min="20" max="20" width="19" style="445" customWidth="1"/>
    <col min="21" max="21" width="8.7109375" style="445" customWidth="1"/>
    <col min="22" max="22" width="8.7109375" style="130" customWidth="1"/>
    <col min="23" max="24" width="11.42578125" style="130" customWidth="1"/>
    <col min="25" max="27" width="8.7109375" style="130" customWidth="1"/>
    <col min="28" max="28" width="11.42578125" style="130" customWidth="1"/>
    <col min="29" max="29" width="13.28515625" style="130" customWidth="1"/>
    <col min="30" max="30" width="14.5703125" style="130" customWidth="1"/>
    <col min="31" max="31" width="8.7109375" style="130"/>
    <col min="32" max="32" width="9.28515625" style="130" bestFit="1" customWidth="1"/>
    <col min="33" max="33" width="17.28515625" style="130" customWidth="1"/>
    <col min="34" max="34" width="17.7109375" style="130" customWidth="1"/>
    <col min="35" max="35" width="9.7109375" style="130" customWidth="1"/>
    <col min="36" max="36" width="10.7109375" style="446" customWidth="1"/>
    <col min="37" max="37" width="13.42578125" style="130" customWidth="1"/>
    <col min="38" max="38" width="12.7109375" style="130" customWidth="1"/>
    <col min="39" max="41" width="13.28515625" style="130" customWidth="1"/>
    <col min="42" max="42" width="11.28515625" style="130" customWidth="1"/>
    <col min="43" max="43" width="14.7109375" style="130" customWidth="1"/>
    <col min="44" max="44" width="5.7109375" style="130" customWidth="1"/>
    <col min="45" max="45" width="11.7109375" style="130" customWidth="1"/>
    <col min="46" max="46" width="12.7109375" style="130" customWidth="1"/>
    <col min="47" max="47" width="11.7109375" style="130" customWidth="1"/>
    <col min="48" max="48" width="12.7109375" style="130" customWidth="1"/>
    <col min="49" max="49" width="12.7109375" style="447" customWidth="1"/>
    <col min="50" max="50" width="14.5703125" style="448" customWidth="1"/>
    <col min="51" max="55" width="12.7109375" style="130" customWidth="1"/>
    <col min="56" max="16384" width="8.7109375" style="130"/>
  </cols>
  <sheetData>
    <row r="1" spans="1:17" ht="21" customHeight="1" x14ac:dyDescent="0.25">
      <c r="B1" s="439"/>
      <c r="C1" s="440">
        <f>(F15-(F16+F25))*12%</f>
        <v>2456002.4076402774</v>
      </c>
      <c r="D1" s="337" t="e">
        <f>FORM!#REF!</f>
        <v>#REF!</v>
      </c>
      <c r="E1" s="441"/>
      <c r="F1" s="6"/>
      <c r="G1" s="442"/>
      <c r="H1" s="442"/>
      <c r="J1" s="443">
        <v>0.01</v>
      </c>
      <c r="K1" s="441"/>
      <c r="L1" s="444"/>
      <c r="M1" s="444"/>
      <c r="N1" s="153"/>
    </row>
    <row r="2" spans="1:17" ht="13.5" x14ac:dyDescent="0.25">
      <c r="B2" s="261" t="s">
        <v>681</v>
      </c>
      <c r="C2" s="575">
        <f>FORM!G22</f>
        <v>45870</v>
      </c>
      <c r="D2" s="260"/>
      <c r="F2" s="195" t="s">
        <v>682</v>
      </c>
      <c r="G2" s="1151" t="s">
        <v>683</v>
      </c>
      <c r="H2" s="1151"/>
      <c r="I2" s="1151"/>
      <c r="J2" s="223"/>
      <c r="K2" s="195" t="s">
        <v>681</v>
      </c>
      <c r="L2" s="575">
        <f>C2</f>
        <v>45870</v>
      </c>
      <c r="M2" s="131"/>
      <c r="O2" s="324"/>
      <c r="P2" s="261" t="s">
        <v>684</v>
      </c>
      <c r="Q2" s="449" t="s">
        <v>685</v>
      </c>
    </row>
    <row r="3" spans="1:17" ht="13.5" x14ac:dyDescent="0.25">
      <c r="C3" s="6"/>
      <c r="D3" s="6"/>
      <c r="E3" s="223"/>
      <c r="F3" s="223"/>
      <c r="G3" s="223"/>
      <c r="H3" s="223"/>
      <c r="I3" s="223"/>
      <c r="J3" s="223"/>
      <c r="K3" s="450"/>
      <c r="L3" s="451"/>
      <c r="M3" s="452"/>
      <c r="N3" s="453"/>
      <c r="O3" s="453"/>
      <c r="P3" s="453"/>
      <c r="Q3" s="453"/>
    </row>
    <row r="4" spans="1:17" ht="18.75" customHeight="1" x14ac:dyDescent="0.25">
      <c r="A4" s="131"/>
      <c r="B4" s="1157" t="s">
        <v>686</v>
      </c>
      <c r="C4" s="1157"/>
      <c r="D4" s="1157"/>
      <c r="E4" s="1157"/>
      <c r="F4" s="1157"/>
      <c r="G4" s="1157"/>
      <c r="H4" s="1157"/>
      <c r="I4" s="1158"/>
      <c r="J4" s="223"/>
      <c r="K4" s="1159" t="s">
        <v>687</v>
      </c>
      <c r="L4" s="1159"/>
      <c r="M4" s="1159"/>
      <c r="N4" s="1159"/>
      <c r="O4" s="1159"/>
      <c r="P4" s="1159"/>
      <c r="Q4" s="1159"/>
    </row>
    <row r="5" spans="1:17" ht="12" customHeight="1" x14ac:dyDescent="0.25">
      <c r="A5" s="131"/>
      <c r="B5" s="131"/>
      <c r="C5" s="133"/>
      <c r="D5" s="133"/>
      <c r="E5" s="131"/>
      <c r="F5" s="133"/>
      <c r="G5" s="133"/>
      <c r="H5" s="133"/>
      <c r="I5" s="325"/>
      <c r="J5" s="223"/>
      <c r="K5" s="223"/>
      <c r="L5" s="223"/>
      <c r="M5" s="326"/>
      <c r="N5" s="131"/>
      <c r="O5" s="131"/>
      <c r="P5" s="131"/>
      <c r="Q5" s="131"/>
    </row>
    <row r="6" spans="1:17" ht="13.5" x14ac:dyDescent="0.25">
      <c r="A6" s="131"/>
      <c r="B6" s="454" t="s">
        <v>688</v>
      </c>
      <c r="C6" s="455"/>
      <c r="D6" s="217" t="s">
        <v>647</v>
      </c>
      <c r="E6" s="1152"/>
      <c r="F6" s="1153"/>
      <c r="G6" s="1153"/>
      <c r="H6" s="1153"/>
      <c r="I6" s="1154"/>
      <c r="J6" s="223"/>
      <c r="K6" s="1156" t="s">
        <v>688</v>
      </c>
      <c r="L6" s="1156"/>
      <c r="M6" s="217" t="s">
        <v>647</v>
      </c>
      <c r="N6" s="1160">
        <f t="shared" ref="N6:N13" si="0">E6</f>
        <v>0</v>
      </c>
      <c r="O6" s="1160"/>
      <c r="P6" s="1160"/>
      <c r="Q6" s="1160"/>
    </row>
    <row r="7" spans="1:17" ht="14.25" thickBot="1" x14ac:dyDescent="0.3">
      <c r="A7" s="131"/>
      <c r="B7" s="226" t="s">
        <v>646</v>
      </c>
      <c r="C7" s="456"/>
      <c r="D7" s="217" t="s">
        <v>647</v>
      </c>
      <c r="E7" s="1152" t="s">
        <v>648</v>
      </c>
      <c r="F7" s="1153"/>
      <c r="G7" s="1153"/>
      <c r="H7" s="1153"/>
      <c r="I7" s="1154"/>
      <c r="J7" s="223"/>
      <c r="K7" s="1156" t="s">
        <v>646</v>
      </c>
      <c r="L7" s="1156"/>
      <c r="M7" s="457" t="s">
        <v>647</v>
      </c>
      <c r="N7" s="1160" t="str">
        <f t="shared" si="0"/>
        <v>WEECOMM CENTRE</v>
      </c>
      <c r="O7" s="1160"/>
      <c r="P7" s="1160"/>
      <c r="Q7" s="1160"/>
    </row>
    <row r="8" spans="1:17" ht="13.5" x14ac:dyDescent="0.25">
      <c r="A8" s="316"/>
      <c r="B8" s="454" t="s">
        <v>689</v>
      </c>
      <c r="C8" s="455"/>
      <c r="D8" s="217" t="s">
        <v>647</v>
      </c>
      <c r="E8" s="1152" t="str">
        <f>IF(FORM!G17="UNSOLD",FORM!G18,"THIS UNIT IS NOT AVAILABLE")</f>
        <v>9G</v>
      </c>
      <c r="F8" s="1153"/>
      <c r="G8" s="1153"/>
      <c r="H8" s="1153"/>
      <c r="I8" s="1154"/>
      <c r="J8" s="223"/>
      <c r="K8" s="1156" t="s">
        <v>689</v>
      </c>
      <c r="L8" s="1156"/>
      <c r="M8" s="217" t="s">
        <v>647</v>
      </c>
      <c r="N8" s="1160" t="str">
        <f t="shared" si="0"/>
        <v>9G</v>
      </c>
      <c r="O8" s="1160"/>
      <c r="P8" s="1160"/>
      <c r="Q8" s="1160"/>
    </row>
    <row r="9" spans="1:17" ht="13.5" hidden="1" x14ac:dyDescent="0.25">
      <c r="A9" s="131"/>
      <c r="B9" s="226" t="s">
        <v>690</v>
      </c>
      <c r="C9" s="456"/>
      <c r="D9" s="217" t="s">
        <v>647</v>
      </c>
      <c r="E9" s="1152" t="s">
        <v>691</v>
      </c>
      <c r="F9" s="1153"/>
      <c r="G9" s="1153"/>
      <c r="H9" s="1153"/>
      <c r="I9" s="1154"/>
      <c r="J9" s="223"/>
      <c r="K9" s="1156" t="s">
        <v>690</v>
      </c>
      <c r="L9" s="1156"/>
      <c r="M9" s="217" t="s">
        <v>647</v>
      </c>
      <c r="N9" s="1155" t="str">
        <f t="shared" si="0"/>
        <v>NA</v>
      </c>
      <c r="O9" s="1155"/>
      <c r="P9" s="1155"/>
      <c r="Q9" s="1155"/>
    </row>
    <row r="10" spans="1:17" ht="15.75" customHeight="1" thickBot="1" x14ac:dyDescent="0.3">
      <c r="A10" s="131"/>
      <c r="B10" s="226" t="s">
        <v>612</v>
      </c>
      <c r="C10" s="456"/>
      <c r="D10" s="217" t="s">
        <v>647</v>
      </c>
      <c r="E10" s="1152" t="str">
        <f>VLOOKUP(E8,PriceLink_Fitted!B14:AA161,7,FALSE)</f>
        <v>2-BR</v>
      </c>
      <c r="F10" s="1153"/>
      <c r="G10" s="458" t="str">
        <f>FORM!G20</f>
        <v>BARE</v>
      </c>
      <c r="H10" s="458"/>
      <c r="I10" s="236"/>
      <c r="J10" s="223"/>
      <c r="K10" s="1156" t="s">
        <v>612</v>
      </c>
      <c r="L10" s="1156"/>
      <c r="M10" s="457" t="s">
        <v>647</v>
      </c>
      <c r="N10" s="1101" t="str">
        <f>E10</f>
        <v>2-BR</v>
      </c>
      <c r="O10" s="1136"/>
      <c r="P10" s="1137" t="str">
        <f>G10</f>
        <v>BARE</v>
      </c>
      <c r="Q10" s="1167"/>
    </row>
    <row r="11" spans="1:17" ht="13.5" x14ac:dyDescent="0.25">
      <c r="A11" s="131"/>
      <c r="B11" s="226" t="s">
        <v>692</v>
      </c>
      <c r="C11" s="456"/>
      <c r="D11" s="217" t="s">
        <v>647</v>
      </c>
      <c r="E11" s="1161">
        <f>VLOOKUP(E8,PriceLink_Fitted!B14:AA161,8,FALSE)</f>
        <v>95.44</v>
      </c>
      <c r="F11" s="1162"/>
      <c r="G11" s="458" t="s">
        <v>693</v>
      </c>
      <c r="H11" s="1153"/>
      <c r="I11" s="1154"/>
      <c r="J11" s="223"/>
      <c r="K11" s="1156" t="s">
        <v>692</v>
      </c>
      <c r="L11" s="1156"/>
      <c r="M11" s="217" t="s">
        <v>647</v>
      </c>
      <c r="N11" s="1163">
        <f t="shared" si="0"/>
        <v>95.44</v>
      </c>
      <c r="O11" s="1164"/>
      <c r="P11" s="1165" t="s">
        <v>693</v>
      </c>
      <c r="Q11" s="1166"/>
    </row>
    <row r="12" spans="1:17" ht="13.5" x14ac:dyDescent="0.25">
      <c r="A12" s="316"/>
      <c r="B12" s="459" t="s">
        <v>694</v>
      </c>
      <c r="C12" s="455"/>
      <c r="D12" s="217" t="s">
        <v>647</v>
      </c>
      <c r="E12" s="1161">
        <f>VLOOKUP(E8,PriceLink_Fitted!B14:AA161,9,FALSE)</f>
        <v>13.34</v>
      </c>
      <c r="F12" s="1162"/>
      <c r="G12" s="458" t="s">
        <v>693</v>
      </c>
      <c r="H12" s="1145"/>
      <c r="I12" s="1146"/>
      <c r="J12" s="223"/>
      <c r="K12" s="1156" t="s">
        <v>694</v>
      </c>
      <c r="L12" s="1156"/>
      <c r="M12" s="217" t="s">
        <v>647</v>
      </c>
      <c r="N12" s="1147">
        <f t="shared" si="0"/>
        <v>13.34</v>
      </c>
      <c r="O12" s="1148"/>
      <c r="P12" s="1145" t="s">
        <v>693</v>
      </c>
      <c r="Q12" s="1146"/>
    </row>
    <row r="13" spans="1:17" ht="13.5" x14ac:dyDescent="0.25">
      <c r="A13" s="317"/>
      <c r="B13" s="226" t="s">
        <v>695</v>
      </c>
      <c r="C13" s="456"/>
      <c r="D13" s="217" t="s">
        <v>647</v>
      </c>
      <c r="E13" s="1149">
        <f>E11+E12</f>
        <v>108.78</v>
      </c>
      <c r="F13" s="1150"/>
      <c r="G13" s="458" t="s">
        <v>693</v>
      </c>
      <c r="H13" s="1145"/>
      <c r="I13" s="1146"/>
      <c r="J13" s="223"/>
      <c r="K13" s="1156" t="s">
        <v>695</v>
      </c>
      <c r="L13" s="1156"/>
      <c r="M13" s="217" t="s">
        <v>647</v>
      </c>
      <c r="N13" s="1147">
        <f t="shared" si="0"/>
        <v>108.78</v>
      </c>
      <c r="O13" s="1148"/>
      <c r="P13" s="1145" t="s">
        <v>693</v>
      </c>
      <c r="Q13" s="1146"/>
    </row>
    <row r="14" spans="1:17" ht="13.5" x14ac:dyDescent="0.25">
      <c r="A14" s="131"/>
      <c r="B14" s="131"/>
      <c r="C14" s="327"/>
      <c r="D14" s="217"/>
      <c r="E14" s="223"/>
      <c r="F14" s="460"/>
      <c r="G14" s="460"/>
      <c r="H14" s="461"/>
      <c r="I14" s="462"/>
      <c r="J14" s="223"/>
      <c r="K14" s="131"/>
      <c r="L14" s="131"/>
      <c r="M14" s="315"/>
      <c r="N14" s="131"/>
      <c r="O14" s="131"/>
      <c r="P14" s="131"/>
      <c r="Q14" s="131"/>
    </row>
    <row r="15" spans="1:17" ht="15" customHeight="1" x14ac:dyDescent="0.25">
      <c r="A15" s="131"/>
      <c r="B15" s="221" t="s">
        <v>696</v>
      </c>
      <c r="C15" s="221"/>
      <c r="D15" s="463" t="s">
        <v>647</v>
      </c>
      <c r="E15" s="625"/>
      <c r="F15" s="1117">
        <f>VLOOKUP(E8,PriceLink_Fitted!B14:AA161,14,FALSE)</f>
        <v>20466686.730335645</v>
      </c>
      <c r="G15" s="1117"/>
      <c r="H15" s="1117"/>
      <c r="I15" s="1118"/>
      <c r="J15" s="223"/>
      <c r="K15" s="1116" t="s">
        <v>697</v>
      </c>
      <c r="L15" s="1116"/>
      <c r="M15" s="1168" t="s">
        <v>698</v>
      </c>
      <c r="N15" s="1116" t="s">
        <v>699</v>
      </c>
      <c r="O15" s="1116"/>
      <c r="P15" s="1108" t="s">
        <v>639</v>
      </c>
      <c r="Q15" s="1109"/>
    </row>
    <row r="16" spans="1:17" ht="13.5" x14ac:dyDescent="0.25">
      <c r="A16" s="131"/>
      <c r="B16" s="234" t="s">
        <v>700</v>
      </c>
      <c r="C16" s="456"/>
      <c r="D16" s="465" t="s">
        <v>647</v>
      </c>
      <c r="E16" s="466">
        <v>0</v>
      </c>
      <c r="F16" s="1119">
        <f>F15*E16</f>
        <v>0</v>
      </c>
      <c r="G16" s="1119"/>
      <c r="H16" s="1119"/>
      <c r="I16" s="1120"/>
      <c r="J16" s="133"/>
      <c r="K16" s="1116"/>
      <c r="L16" s="1116"/>
      <c r="M16" s="1168"/>
      <c r="N16" s="1116"/>
      <c r="O16" s="1116"/>
      <c r="P16" s="1110"/>
      <c r="Q16" s="1111"/>
    </row>
    <row r="17" spans="1:50" ht="13.5" x14ac:dyDescent="0.25">
      <c r="A17" s="131"/>
      <c r="B17" s="187" t="s">
        <v>701</v>
      </c>
      <c r="C17" s="142"/>
      <c r="D17" s="223" t="s">
        <v>647</v>
      </c>
      <c r="E17" s="464"/>
      <c r="F17" s="1121">
        <f>F15-F16</f>
        <v>20466686.730335645</v>
      </c>
      <c r="G17" s="1121"/>
      <c r="H17" s="1121"/>
      <c r="I17" s="1122"/>
      <c r="J17" s="133"/>
      <c r="K17" s="1132" t="s">
        <v>624</v>
      </c>
      <c r="L17" s="1132"/>
      <c r="M17" s="467">
        <f>C2</f>
        <v>45870</v>
      </c>
      <c r="N17" s="1114">
        <f>F26</f>
        <v>50000</v>
      </c>
      <c r="O17" s="1114"/>
      <c r="P17" s="1101"/>
      <c r="Q17" s="1102"/>
      <c r="W17" s="468">
        <f>M17</f>
        <v>45870</v>
      </c>
      <c r="X17" s="468">
        <f>EDATE(W17,E29)</f>
        <v>46082</v>
      </c>
    </row>
    <row r="18" spans="1:50" ht="14.25" x14ac:dyDescent="0.3">
      <c r="A18" s="131"/>
      <c r="B18" s="231"/>
      <c r="C18" s="327"/>
      <c r="D18" s="217"/>
      <c r="E18" s="133"/>
      <c r="F18" s="469"/>
      <c r="G18" s="470"/>
      <c r="H18" s="471"/>
      <c r="I18" s="471"/>
      <c r="J18" s="133"/>
      <c r="K18" s="1132" t="str">
        <f t="shared" ref="K18:K63" si="1">IF(N18&gt;1,T18,0)</f>
        <v>1st EQUITY PAYMENT</v>
      </c>
      <c r="L18" s="1132"/>
      <c r="M18" s="467">
        <f t="shared" ref="M18:M63" si="2">IF(N18&gt;1,W18,"")</f>
        <v>45905</v>
      </c>
      <c r="N18" s="1114">
        <f>IF(E29&gt;0,F29,"")</f>
        <v>527914.81023591768</v>
      </c>
      <c r="O18" s="1114"/>
      <c r="P18" s="1101"/>
      <c r="Q18" s="1102"/>
      <c r="T18" s="1112" t="s">
        <v>702</v>
      </c>
      <c r="U18" s="1112"/>
      <c r="W18" s="467">
        <f>IF(DAY(W17)=31,Z20,AB20)</f>
        <v>45905</v>
      </c>
      <c r="Y18" s="21"/>
      <c r="Z18" s="1105" t="s">
        <v>703</v>
      </c>
      <c r="AA18" s="1105"/>
      <c r="AB18" s="21"/>
    </row>
    <row r="19" spans="1:50" ht="14.25" x14ac:dyDescent="0.3">
      <c r="A19" s="131"/>
      <c r="B19" s="459" t="s">
        <v>704</v>
      </c>
      <c r="C19" s="472"/>
      <c r="D19" s="473" t="s">
        <v>647</v>
      </c>
      <c r="E19" s="235">
        <v>0.1</v>
      </c>
      <c r="F19" s="1119">
        <f>F15*E19</f>
        <v>2046668.6730335646</v>
      </c>
      <c r="G19" s="1119"/>
      <c r="H19" s="1119"/>
      <c r="I19" s="1120"/>
      <c r="J19" s="133"/>
      <c r="K19" s="1132" t="str">
        <f t="shared" si="1"/>
        <v>2nd EQUITY PAYMENT</v>
      </c>
      <c r="L19" s="1132"/>
      <c r="M19" s="467">
        <f>IF(N19&gt;1,W19,"")</f>
        <v>45935</v>
      </c>
      <c r="N19" s="1114">
        <f>IF(E29&gt;1,F29,0)</f>
        <v>527914.81023591768</v>
      </c>
      <c r="O19" s="1114"/>
      <c r="P19" s="1101"/>
      <c r="Q19" s="1102"/>
      <c r="T19" s="1112" t="s">
        <v>705</v>
      </c>
      <c r="U19" s="1112"/>
      <c r="W19" s="467">
        <f t="shared" ref="W19:W62" si="3">IF(AND(DAY(W18)&gt;=6,DAY(W18)&lt;=20),DATE(YEAR(W18),MONTH(W18)+1,DAY(20)),IF(AND(DAY(W18)&gt;=21,DAY(W18)&lt;=31),DATE(YEAR(W18),MONTH(W18)+1,IF(DAY(EOMONTH(W18,1))&lt;30,DAY(EOMONTH(W18,1)),DAY(30))),DATE(YEAR(W18),MONTH(W18)+1,DAY(5))))</f>
        <v>45935</v>
      </c>
      <c r="Y19" s="62" t="s">
        <v>706</v>
      </c>
      <c r="Z19" s="1106" t="b">
        <f>IF(DAY(W17)=31,DATE(YEAR(X17),MONTH(X17)+2,DAY(5)))</f>
        <v>0</v>
      </c>
      <c r="AA19" s="1107"/>
      <c r="AB19" s="664">
        <f>IF(AND(DAY(X17)&gt;=6,DAY(X17)&lt;=20),DATE(YEAR(X17),MONTH(X17)+1,DAY(20)),IF(AND(DAY(X17)&gt;=21,DAY(X17)&lt;=31),DATE(YEAR(X17),MONTH(X17)+1,IF(DAY(EOMONTH(X17,1))&lt;30,DAY(EOMONTH(X17,1)),DAY(30))),DATE(YEAR(X17),MONTH(X17)+1,DAY(5))))</f>
        <v>46117</v>
      </c>
    </row>
    <row r="20" spans="1:50" ht="14.25" x14ac:dyDescent="0.3">
      <c r="A20" s="316"/>
      <c r="B20" s="234" t="s">
        <v>619</v>
      </c>
      <c r="C20" s="456"/>
      <c r="D20" s="465" t="s">
        <v>647</v>
      </c>
      <c r="E20" s="474">
        <v>0.12</v>
      </c>
      <c r="F20" s="1119">
        <f>IF(F17&lt;=PriceLink_Fitted!P11,"",E20*F17)</f>
        <v>2456002.4076402774</v>
      </c>
      <c r="G20" s="1119"/>
      <c r="H20" s="1119"/>
      <c r="I20" s="1120"/>
      <c r="J20" s="133"/>
      <c r="K20" s="1132" t="str">
        <f t="shared" si="1"/>
        <v>3rd EQUITY PAYMENT</v>
      </c>
      <c r="L20" s="1132"/>
      <c r="M20" s="467">
        <f t="shared" si="2"/>
        <v>45966</v>
      </c>
      <c r="N20" s="1114">
        <f>IF(E29&gt;2,F29,0)</f>
        <v>527914.81023591768</v>
      </c>
      <c r="O20" s="1114"/>
      <c r="P20" s="1101"/>
      <c r="Q20" s="1102"/>
      <c r="T20" s="1112" t="s">
        <v>707</v>
      </c>
      <c r="U20" s="1112"/>
      <c r="W20" s="467">
        <f t="shared" si="3"/>
        <v>45966</v>
      </c>
      <c r="Y20" s="62" t="s">
        <v>708</v>
      </c>
      <c r="Z20" s="1106" t="b">
        <f>IF(DAY(W17)=31,DATE(YEAR(W17),MONTH(W17)+2,DAY(5)))</f>
        <v>0</v>
      </c>
      <c r="AA20" s="1107"/>
      <c r="AB20" s="664">
        <f>IF(AND(DAY(W17)&gt;=6,DAY(W17)&lt;=20),DATE(YEAR(W17),MONTH(W17)+1,DAY(20)),IF(AND(DAY(W17)&gt;=21,DAY(W17)&lt;=30),DATE(YEAR(W17),MONTH(W17)+1,IF(DAY(EOMONTH(W17,1))&lt;31,DAY(EOMONTH(W17,1)),DAY(30))),DATE(YEAR(W17),MONTH(W17)+1,DAY(5))))</f>
        <v>45905</v>
      </c>
      <c r="AX20" s="130"/>
    </row>
    <row r="21" spans="1:50" ht="13.5" x14ac:dyDescent="0.25">
      <c r="A21" s="131"/>
      <c r="B21" s="231"/>
      <c r="C21" s="133"/>
      <c r="D21" s="217"/>
      <c r="E21" s="223"/>
      <c r="F21" s="469"/>
      <c r="G21" s="469"/>
      <c r="H21" s="469"/>
      <c r="I21" s="469"/>
      <c r="J21" s="133"/>
      <c r="K21" s="1132" t="str">
        <f t="shared" si="1"/>
        <v>4th EQUITY PAYMENT</v>
      </c>
      <c r="L21" s="1132"/>
      <c r="M21" s="467">
        <f t="shared" si="2"/>
        <v>45996</v>
      </c>
      <c r="N21" s="1114">
        <f>IF(E29&gt;3,F29,0)</f>
        <v>527914.81023591768</v>
      </c>
      <c r="O21" s="1114"/>
      <c r="P21" s="1101"/>
      <c r="Q21" s="1102"/>
      <c r="T21" s="1112" t="s">
        <v>709</v>
      </c>
      <c r="U21" s="1112"/>
      <c r="W21" s="467">
        <f t="shared" si="3"/>
        <v>45996</v>
      </c>
      <c r="AX21" s="130"/>
    </row>
    <row r="22" spans="1:50" ht="13.5" x14ac:dyDescent="0.25">
      <c r="A22" s="131"/>
      <c r="B22" s="187" t="s">
        <v>621</v>
      </c>
      <c r="C22" s="142"/>
      <c r="D22" s="223" t="s">
        <v>647</v>
      </c>
      <c r="E22" s="476"/>
      <c r="F22" s="1123">
        <f>SUM(F20,F19,F17)</f>
        <v>24969357.811009489</v>
      </c>
      <c r="G22" s="1124"/>
      <c r="H22" s="1124"/>
      <c r="I22" s="1125"/>
      <c r="J22" s="133"/>
      <c r="K22" s="1132" t="str">
        <f t="shared" si="1"/>
        <v>5th EQUITY PAYMENT</v>
      </c>
      <c r="L22" s="1132"/>
      <c r="M22" s="467">
        <f t="shared" si="2"/>
        <v>46027</v>
      </c>
      <c r="N22" s="1114">
        <f>IF(E29&gt;4,F29,0)</f>
        <v>527914.81023591768</v>
      </c>
      <c r="O22" s="1114"/>
      <c r="P22" s="1101"/>
      <c r="Q22" s="1102"/>
      <c r="T22" s="1112" t="s">
        <v>710</v>
      </c>
      <c r="U22" s="1112"/>
      <c r="W22" s="467">
        <f t="shared" si="3"/>
        <v>46027</v>
      </c>
      <c r="AX22" s="130"/>
    </row>
    <row r="23" spans="1:50" ht="13.5" x14ac:dyDescent="0.25">
      <c r="A23" s="131"/>
      <c r="B23" s="231"/>
      <c r="C23" s="133"/>
      <c r="D23" s="217"/>
      <c r="E23" s="223"/>
      <c r="F23" s="469"/>
      <c r="G23" s="477"/>
      <c r="H23" s="477"/>
      <c r="I23" s="477"/>
      <c r="J23" s="133"/>
      <c r="K23" s="1132" t="str">
        <f t="shared" si="1"/>
        <v>6th EQUITY PAYMENT</v>
      </c>
      <c r="L23" s="1132"/>
      <c r="M23" s="467">
        <f t="shared" si="2"/>
        <v>46058</v>
      </c>
      <c r="N23" s="1114">
        <f>IF(E29&gt;5,F29,0)</f>
        <v>527914.81023591768</v>
      </c>
      <c r="O23" s="1114"/>
      <c r="P23" s="1101"/>
      <c r="Q23" s="1102"/>
      <c r="T23" s="1112" t="s">
        <v>711</v>
      </c>
      <c r="U23" s="1112"/>
      <c r="W23" s="467">
        <f t="shared" si="3"/>
        <v>46058</v>
      </c>
      <c r="AX23" s="130"/>
    </row>
    <row r="24" spans="1:50" ht="13.5" x14ac:dyDescent="0.25">
      <c r="A24" s="131"/>
      <c r="B24" s="221" t="s">
        <v>712</v>
      </c>
      <c r="C24" s="455"/>
      <c r="D24" s="463" t="s">
        <v>647</v>
      </c>
      <c r="E24" s="595">
        <f>FORM!G28</f>
        <v>0.15</v>
      </c>
      <c r="F24" s="1123">
        <f>F22*E24</f>
        <v>3745403.6716514234</v>
      </c>
      <c r="G24" s="1124"/>
      <c r="H24" s="1124"/>
      <c r="I24" s="1125"/>
      <c r="J24" s="133"/>
      <c r="K24" s="1132" t="str">
        <f t="shared" si="1"/>
        <v>7th EQUITY PAYMENT</v>
      </c>
      <c r="L24" s="1132"/>
      <c r="M24" s="467">
        <f t="shared" si="2"/>
        <v>46086</v>
      </c>
      <c r="N24" s="1114">
        <f>IF(E29&gt;6,F29,0)</f>
        <v>527914.81023591768</v>
      </c>
      <c r="O24" s="1114"/>
      <c r="P24" s="1101"/>
      <c r="Q24" s="1102"/>
      <c r="T24" s="1112" t="s">
        <v>713</v>
      </c>
      <c r="U24" s="1112"/>
      <c r="W24" s="467">
        <f t="shared" si="3"/>
        <v>46086</v>
      </c>
      <c r="AX24" s="130"/>
    </row>
    <row r="25" spans="1:50" ht="13.5" x14ac:dyDescent="0.25">
      <c r="A25" s="131"/>
      <c r="B25" s="1113" t="s">
        <v>714</v>
      </c>
      <c r="C25" s="1113"/>
      <c r="D25" s="465" t="str">
        <f>D24</f>
        <v>:</v>
      </c>
      <c r="E25" s="596"/>
      <c r="F25" s="479">
        <f>SUM(FORM!T26:T28)</f>
        <v>0</v>
      </c>
      <c r="G25" s="479"/>
      <c r="H25" s="1126"/>
      <c r="I25" s="1127"/>
      <c r="J25" s="133"/>
      <c r="K25" s="1132">
        <f t="shared" si="1"/>
        <v>0</v>
      </c>
      <c r="L25" s="1132"/>
      <c r="M25" s="467" t="str">
        <f t="shared" si="2"/>
        <v/>
      </c>
      <c r="N25" s="1114">
        <f>IF(E29&gt;7,F29,0)</f>
        <v>0</v>
      </c>
      <c r="O25" s="1114"/>
      <c r="P25" s="1101"/>
      <c r="Q25" s="1102"/>
      <c r="T25" s="1112" t="s">
        <v>715</v>
      </c>
      <c r="U25" s="1112"/>
      <c r="W25" s="467">
        <f t="shared" si="3"/>
        <v>46117</v>
      </c>
      <c r="AX25" s="130"/>
    </row>
    <row r="26" spans="1:50" ht="13.5" x14ac:dyDescent="0.25">
      <c r="A26" s="316"/>
      <c r="B26" s="226" t="s">
        <v>716</v>
      </c>
      <c r="C26" s="456"/>
      <c r="D26" s="217" t="s">
        <v>647</v>
      </c>
      <c r="E26" s="480"/>
      <c r="F26" s="437">
        <f>FORM!G24</f>
        <v>50000</v>
      </c>
      <c r="G26" s="481"/>
      <c r="H26" s="482"/>
      <c r="I26" s="483"/>
      <c r="J26" s="133"/>
      <c r="K26" s="1132">
        <f t="shared" si="1"/>
        <v>0</v>
      </c>
      <c r="L26" s="1132"/>
      <c r="M26" s="467" t="str">
        <f t="shared" si="2"/>
        <v/>
      </c>
      <c r="N26" s="1114">
        <f>IF(E29&gt;8,F29,0)</f>
        <v>0</v>
      </c>
      <c r="O26" s="1114"/>
      <c r="P26" s="1101"/>
      <c r="Q26" s="1102"/>
      <c r="T26" s="1112" t="s">
        <v>717</v>
      </c>
      <c r="U26" s="1112"/>
      <c r="W26" s="467">
        <f t="shared" si="3"/>
        <v>46147</v>
      </c>
      <c r="AX26" s="130"/>
    </row>
    <row r="27" spans="1:50" ht="13.5" x14ac:dyDescent="0.25">
      <c r="A27" s="131"/>
      <c r="B27" s="187" t="s">
        <v>718</v>
      </c>
      <c r="C27" s="182"/>
      <c r="D27" s="223" t="s">
        <v>647</v>
      </c>
      <c r="E27" s="480"/>
      <c r="F27" s="1123">
        <f>F24-F25-F26</f>
        <v>3695403.6716514234</v>
      </c>
      <c r="G27" s="1124"/>
      <c r="H27" s="1124"/>
      <c r="I27" s="1125"/>
      <c r="J27" s="133"/>
      <c r="K27" s="1132">
        <f t="shared" si="1"/>
        <v>0</v>
      </c>
      <c r="L27" s="1132"/>
      <c r="M27" s="467" t="str">
        <f t="shared" si="2"/>
        <v/>
      </c>
      <c r="N27" s="1114">
        <f>IF(E29&gt;9,F29,0)</f>
        <v>0</v>
      </c>
      <c r="O27" s="1114"/>
      <c r="P27" s="1101"/>
      <c r="Q27" s="1102"/>
      <c r="T27" s="1112" t="s">
        <v>719</v>
      </c>
      <c r="U27" s="1112"/>
      <c r="W27" s="467">
        <f t="shared" si="3"/>
        <v>46178</v>
      </c>
      <c r="AX27" s="130"/>
    </row>
    <row r="28" spans="1:50" ht="13.5" x14ac:dyDescent="0.25">
      <c r="A28" s="131"/>
      <c r="B28" s="231"/>
      <c r="C28" s="133"/>
      <c r="D28" s="217"/>
      <c r="E28" s="223"/>
      <c r="F28" s="469"/>
      <c r="G28" s="477"/>
      <c r="H28" s="477"/>
      <c r="I28" s="477"/>
      <c r="J28" s="133"/>
      <c r="K28" s="1132">
        <f t="shared" si="1"/>
        <v>0</v>
      </c>
      <c r="L28" s="1132"/>
      <c r="M28" s="467" t="str">
        <f t="shared" si="2"/>
        <v/>
      </c>
      <c r="N28" s="1114">
        <f>IF(E29&gt;10,F29,0)</f>
        <v>0</v>
      </c>
      <c r="O28" s="1114"/>
      <c r="P28" s="1101"/>
      <c r="Q28" s="1102"/>
      <c r="T28" s="1112" t="s">
        <v>720</v>
      </c>
      <c r="U28" s="1112"/>
      <c r="W28" s="467">
        <f t="shared" si="3"/>
        <v>46208</v>
      </c>
      <c r="AX28" s="130"/>
    </row>
    <row r="29" spans="1:50" ht="13.5" x14ac:dyDescent="0.25">
      <c r="A29" s="318"/>
      <c r="B29" s="1128" t="s">
        <v>721</v>
      </c>
      <c r="C29" s="1128"/>
      <c r="D29" s="223" t="s">
        <v>647</v>
      </c>
      <c r="E29" s="484">
        <f>FORM!C40</f>
        <v>7</v>
      </c>
      <c r="F29" s="1123">
        <f>F27/E29</f>
        <v>527914.81023591768</v>
      </c>
      <c r="G29" s="1124"/>
      <c r="H29" s="1124"/>
      <c r="I29" s="1125"/>
      <c r="J29" s="133"/>
      <c r="K29" s="1132">
        <f t="shared" si="1"/>
        <v>0</v>
      </c>
      <c r="L29" s="1132"/>
      <c r="M29" s="467" t="str">
        <f t="shared" si="2"/>
        <v/>
      </c>
      <c r="N29" s="1131">
        <f>IF(E29&gt;11,F29,0)</f>
        <v>0</v>
      </c>
      <c r="O29" s="1131"/>
      <c r="P29" s="1101"/>
      <c r="Q29" s="1102"/>
      <c r="T29" s="1112" t="s">
        <v>722</v>
      </c>
      <c r="U29" s="1112"/>
      <c r="W29" s="467">
        <f t="shared" si="3"/>
        <v>46239</v>
      </c>
      <c r="AX29" s="130"/>
    </row>
    <row r="30" spans="1:50" ht="13.5" x14ac:dyDescent="0.25">
      <c r="A30" s="131"/>
      <c r="B30" s="131"/>
      <c r="C30" s="327"/>
      <c r="D30" s="217"/>
      <c r="E30" s="485"/>
      <c r="F30" s="469"/>
      <c r="G30" s="469"/>
      <c r="H30" s="469"/>
      <c r="I30" s="469"/>
      <c r="J30" s="133"/>
      <c r="K30" s="1132">
        <f t="shared" si="1"/>
        <v>0</v>
      </c>
      <c r="L30" s="1132"/>
      <c r="M30" s="467" t="str">
        <f t="shared" si="2"/>
        <v/>
      </c>
      <c r="N30" s="1131">
        <f>IF(E29&gt;12,F29,0)</f>
        <v>0</v>
      </c>
      <c r="O30" s="1131"/>
      <c r="P30" s="1101"/>
      <c r="Q30" s="1102"/>
      <c r="T30" s="1112" t="s">
        <v>723</v>
      </c>
      <c r="U30" s="1112"/>
      <c r="W30" s="467">
        <f t="shared" si="3"/>
        <v>46270</v>
      </c>
      <c r="AX30" s="130"/>
    </row>
    <row r="31" spans="1:50" ht="13.5" x14ac:dyDescent="0.25">
      <c r="A31" s="131"/>
      <c r="B31" s="187" t="s">
        <v>724</v>
      </c>
      <c r="C31" s="187"/>
      <c r="D31" s="223" t="s">
        <v>647</v>
      </c>
      <c r="E31" s="478">
        <f>100%-E24</f>
        <v>0.85</v>
      </c>
      <c r="F31" s="1123">
        <f>F22*E31</f>
        <v>21223954.139358066</v>
      </c>
      <c r="G31" s="1124"/>
      <c r="H31" s="1124"/>
      <c r="I31" s="1125"/>
      <c r="J31" s="328"/>
      <c r="K31" s="1132">
        <f t="shared" si="1"/>
        <v>0</v>
      </c>
      <c r="L31" s="1132"/>
      <c r="M31" s="467" t="str">
        <f t="shared" si="2"/>
        <v/>
      </c>
      <c r="N31" s="1131">
        <f>IF(E29&gt;13,F29,0)</f>
        <v>0</v>
      </c>
      <c r="O31" s="1131"/>
      <c r="P31" s="1101"/>
      <c r="Q31" s="1102"/>
      <c r="T31" s="1112" t="s">
        <v>725</v>
      </c>
      <c r="U31" s="1112"/>
      <c r="W31" s="467">
        <f t="shared" si="3"/>
        <v>46300</v>
      </c>
      <c r="AX31" s="130"/>
    </row>
    <row r="32" spans="1:50" ht="13.5" x14ac:dyDescent="0.25">
      <c r="A32" s="131"/>
      <c r="B32" s="131"/>
      <c r="C32" s="327"/>
      <c r="D32" s="485"/>
      <c r="E32" s="485"/>
      <c r="F32" s="485"/>
      <c r="G32" s="486"/>
      <c r="H32" s="486"/>
      <c r="I32" s="486"/>
      <c r="J32" s="223"/>
      <c r="K32" s="1132">
        <f t="shared" si="1"/>
        <v>0</v>
      </c>
      <c r="L32" s="1132"/>
      <c r="M32" s="467" t="str">
        <f t="shared" si="2"/>
        <v/>
      </c>
      <c r="N32" s="1131">
        <f>IF(E29&gt;14,F29,0)</f>
        <v>0</v>
      </c>
      <c r="O32" s="1131"/>
      <c r="P32" s="1101"/>
      <c r="Q32" s="1102"/>
      <c r="T32" s="1112" t="s">
        <v>726</v>
      </c>
      <c r="U32" s="1112"/>
      <c r="W32" s="467">
        <f t="shared" si="3"/>
        <v>46331</v>
      </c>
      <c r="AX32" s="130"/>
    </row>
    <row r="33" spans="1:50" ht="13.5" x14ac:dyDescent="0.25">
      <c r="A33" s="131"/>
      <c r="B33" s="142" t="s">
        <v>727</v>
      </c>
      <c r="C33" s="475"/>
      <c r="D33" s="487"/>
      <c r="E33" s="488"/>
      <c r="F33" s="485"/>
      <c r="G33" s="486"/>
      <c r="H33" s="486"/>
      <c r="I33" s="486"/>
      <c r="J33" s="327"/>
      <c r="K33" s="1132">
        <f t="shared" si="1"/>
        <v>0</v>
      </c>
      <c r="L33" s="1132"/>
      <c r="M33" s="467" t="str">
        <f t="shared" si="2"/>
        <v/>
      </c>
      <c r="N33" s="1131">
        <f>IF(E29&gt;15,F29,0)</f>
        <v>0</v>
      </c>
      <c r="O33" s="1131"/>
      <c r="P33" s="1101"/>
      <c r="Q33" s="1102"/>
      <c r="T33" s="1112" t="s">
        <v>728</v>
      </c>
      <c r="U33" s="1112"/>
      <c r="W33" s="467">
        <f t="shared" si="3"/>
        <v>46361</v>
      </c>
      <c r="AX33" s="130"/>
    </row>
    <row r="34" spans="1:50" ht="13.5" x14ac:dyDescent="0.25">
      <c r="A34" s="131"/>
      <c r="B34" s="131"/>
      <c r="C34" s="327"/>
      <c r="D34" s="327"/>
      <c r="E34" s="489"/>
      <c r="F34" s="296"/>
      <c r="G34" s="296"/>
      <c r="H34" s="296"/>
      <c r="I34" s="296"/>
      <c r="J34" s="133"/>
      <c r="K34" s="1132">
        <f t="shared" si="1"/>
        <v>0</v>
      </c>
      <c r="L34" s="1132"/>
      <c r="M34" s="467" t="str">
        <f t="shared" si="2"/>
        <v/>
      </c>
      <c r="N34" s="1131">
        <f>IF(E29&gt;16,F29,0)</f>
        <v>0</v>
      </c>
      <c r="O34" s="1131"/>
      <c r="P34" s="1101"/>
      <c r="Q34" s="1102"/>
      <c r="T34" s="1112" t="s">
        <v>729</v>
      </c>
      <c r="U34" s="1112"/>
      <c r="W34" s="467">
        <f t="shared" si="3"/>
        <v>46392</v>
      </c>
      <c r="AX34" s="130"/>
    </row>
    <row r="35" spans="1:50" ht="13.5" x14ac:dyDescent="0.25">
      <c r="A35" s="131"/>
      <c r="B35" s="434" t="s">
        <v>730</v>
      </c>
      <c r="C35" s="434" t="s">
        <v>731</v>
      </c>
      <c r="D35" s="434" t="s">
        <v>732</v>
      </c>
      <c r="E35" s="434" t="s">
        <v>733</v>
      </c>
      <c r="F35" s="1116" t="s">
        <v>734</v>
      </c>
      <c r="G35" s="1116"/>
      <c r="H35" s="1116"/>
      <c r="I35" s="1116"/>
      <c r="J35" s="133"/>
      <c r="K35" s="1132">
        <f t="shared" si="1"/>
        <v>0</v>
      </c>
      <c r="L35" s="1132"/>
      <c r="M35" s="467" t="str">
        <f t="shared" si="2"/>
        <v/>
      </c>
      <c r="N35" s="1131">
        <f>IF(E29&gt;17,F29,0)</f>
        <v>0</v>
      </c>
      <c r="O35" s="1131"/>
      <c r="P35" s="1101"/>
      <c r="Q35" s="1102"/>
      <c r="T35" s="1112" t="s">
        <v>735</v>
      </c>
      <c r="U35" s="1112"/>
      <c r="W35" s="467">
        <f t="shared" si="3"/>
        <v>46423</v>
      </c>
      <c r="AX35" s="130"/>
    </row>
    <row r="36" spans="1:50" ht="13.5" x14ac:dyDescent="0.25">
      <c r="A36" s="131"/>
      <c r="B36" s="490">
        <v>5</v>
      </c>
      <c r="C36" s="491">
        <v>7.0000000000000007E-2</v>
      </c>
      <c r="D36" s="492">
        <f>PMT(C36/12,B36*12,-1)</f>
        <v>1.9801198540349535E-2</v>
      </c>
      <c r="E36" s="493">
        <f>F31*D36</f>
        <v>420259.72972470243</v>
      </c>
      <c r="F36" s="1114">
        <f>E36/0.33</f>
        <v>1273514.3324990983</v>
      </c>
      <c r="G36" s="1114"/>
      <c r="H36" s="1114"/>
      <c r="I36" s="1114"/>
      <c r="J36" s="133"/>
      <c r="K36" s="1132">
        <f t="shared" si="1"/>
        <v>0</v>
      </c>
      <c r="L36" s="1132"/>
      <c r="M36" s="467" t="str">
        <f t="shared" si="2"/>
        <v/>
      </c>
      <c r="N36" s="1131">
        <f>IF(E29&gt;18,F29,0)</f>
        <v>0</v>
      </c>
      <c r="O36" s="1131"/>
      <c r="P36" s="1101"/>
      <c r="Q36" s="1102"/>
      <c r="T36" s="1112" t="s">
        <v>736</v>
      </c>
      <c r="U36" s="1112"/>
      <c r="W36" s="467">
        <f t="shared" si="3"/>
        <v>46451</v>
      </c>
      <c r="AX36" s="130"/>
    </row>
    <row r="37" spans="1:50" ht="13.5" x14ac:dyDescent="0.25">
      <c r="A37" s="131"/>
      <c r="B37" s="490">
        <v>10</v>
      </c>
      <c r="C37" s="491">
        <v>7.0000000000000007E-2</v>
      </c>
      <c r="D37" s="492">
        <f>PMT(C37/12,B37*12,-1)</f>
        <v>1.1610847921862406E-2</v>
      </c>
      <c r="E37" s="493">
        <f>F31*D37</f>
        <v>246428.10381266862</v>
      </c>
      <c r="F37" s="1114">
        <f>E37/0.33</f>
        <v>746751.82973535941</v>
      </c>
      <c r="G37" s="1114"/>
      <c r="H37" s="1114"/>
      <c r="I37" s="1114"/>
      <c r="J37" s="133"/>
      <c r="K37" s="1132">
        <f t="shared" si="1"/>
        <v>0</v>
      </c>
      <c r="L37" s="1132"/>
      <c r="M37" s="467" t="str">
        <f t="shared" si="2"/>
        <v/>
      </c>
      <c r="N37" s="1131">
        <f>IF(E29&gt;19,F29,0)</f>
        <v>0</v>
      </c>
      <c r="O37" s="1131"/>
      <c r="P37" s="1101"/>
      <c r="Q37" s="1102"/>
      <c r="T37" s="1112" t="s">
        <v>737</v>
      </c>
      <c r="U37" s="1112"/>
      <c r="W37" s="467">
        <f t="shared" si="3"/>
        <v>46482</v>
      </c>
      <c r="AX37" s="130"/>
    </row>
    <row r="38" spans="1:50" ht="13.5" x14ac:dyDescent="0.25">
      <c r="A38" s="131"/>
      <c r="B38" s="490">
        <v>15</v>
      </c>
      <c r="C38" s="491">
        <v>7.0000000000000007E-2</v>
      </c>
      <c r="D38" s="492">
        <v>5</v>
      </c>
      <c r="E38" s="493">
        <f>F31*D38</f>
        <v>106119770.69679034</v>
      </c>
      <c r="F38" s="1114">
        <f>E38/0.33</f>
        <v>321575062.71754646</v>
      </c>
      <c r="G38" s="1114"/>
      <c r="H38" s="1114"/>
      <c r="I38" s="1114"/>
      <c r="J38" s="133"/>
      <c r="K38" s="1132">
        <f t="shared" si="1"/>
        <v>0</v>
      </c>
      <c r="L38" s="1132"/>
      <c r="M38" s="467" t="str">
        <f t="shared" si="2"/>
        <v/>
      </c>
      <c r="N38" s="1131">
        <f>IF(E29&gt;20,F29,0)</f>
        <v>0</v>
      </c>
      <c r="O38" s="1131"/>
      <c r="P38" s="1101"/>
      <c r="Q38" s="1102"/>
      <c r="T38" s="1112" t="s">
        <v>738</v>
      </c>
      <c r="U38" s="1112"/>
      <c r="W38" s="467">
        <f t="shared" si="3"/>
        <v>46512</v>
      </c>
      <c r="AX38" s="130"/>
    </row>
    <row r="39" spans="1:50" ht="13.5" x14ac:dyDescent="0.25">
      <c r="A39" s="131"/>
      <c r="B39" s="490">
        <v>20</v>
      </c>
      <c r="C39" s="491">
        <v>7.0000000000000007E-2</v>
      </c>
      <c r="D39" s="492">
        <f t="shared" ref="D39" si="4">PMT(C39/12,B39*12,-1)</f>
        <v>7.7529893561887461E-3</v>
      </c>
      <c r="E39" s="493">
        <f>F31*D39</f>
        <v>164549.09053868116</v>
      </c>
      <c r="F39" s="1114">
        <f>E39/0.33</f>
        <v>498633.60769297322</v>
      </c>
      <c r="G39" s="1114"/>
      <c r="H39" s="1114"/>
      <c r="I39" s="1114"/>
      <c r="J39" s="133"/>
      <c r="K39" s="1132">
        <f t="shared" si="1"/>
        <v>0</v>
      </c>
      <c r="L39" s="1132"/>
      <c r="M39" s="467" t="str">
        <f t="shared" si="2"/>
        <v/>
      </c>
      <c r="N39" s="1131">
        <f>IF(E29&gt;21,F29,0)</f>
        <v>0</v>
      </c>
      <c r="O39" s="1131"/>
      <c r="P39" s="1101"/>
      <c r="Q39" s="1102"/>
      <c r="R39" s="130">
        <v>5</v>
      </c>
      <c r="T39" s="1112" t="s">
        <v>739</v>
      </c>
      <c r="U39" s="1112"/>
      <c r="W39" s="467">
        <f t="shared" si="3"/>
        <v>46543</v>
      </c>
      <c r="AX39" s="130"/>
    </row>
    <row r="40" spans="1:50" ht="13.5" x14ac:dyDescent="0.25">
      <c r="A40" s="131"/>
      <c r="B40" s="523" t="s">
        <v>740</v>
      </c>
      <c r="C40" s="319"/>
      <c r="D40" s="320"/>
      <c r="E40" s="321"/>
      <c r="F40" s="1115"/>
      <c r="G40" s="1115"/>
      <c r="H40" s="435"/>
      <c r="I40" s="131"/>
      <c r="J40" s="133"/>
      <c r="K40" s="1132">
        <f t="shared" si="1"/>
        <v>0</v>
      </c>
      <c r="L40" s="1132"/>
      <c r="M40" s="467" t="str">
        <f t="shared" si="2"/>
        <v/>
      </c>
      <c r="N40" s="1131">
        <f>IF(E29&gt;22,F29,0)</f>
        <v>0</v>
      </c>
      <c r="O40" s="1131"/>
      <c r="P40" s="1101"/>
      <c r="Q40" s="1102"/>
      <c r="T40" s="1112" t="s">
        <v>741</v>
      </c>
      <c r="U40" s="1112"/>
      <c r="W40" s="467">
        <f t="shared" si="3"/>
        <v>46573</v>
      </c>
      <c r="AN40" s="494">
        <v>3128865.99</v>
      </c>
      <c r="AX40" s="130"/>
    </row>
    <row r="41" spans="1:50" ht="13.5" x14ac:dyDescent="0.25">
      <c r="A41" s="131"/>
      <c r="B41" s="523" t="s">
        <v>742</v>
      </c>
      <c r="C41" s="495"/>
      <c r="D41" s="217"/>
      <c r="E41" s="131"/>
      <c r="F41" s="131"/>
      <c r="G41" s="131"/>
      <c r="H41" s="131"/>
      <c r="I41" s="131"/>
      <c r="J41" s="223"/>
      <c r="K41" s="1132"/>
      <c r="L41" s="1132"/>
      <c r="M41" s="987"/>
      <c r="N41" s="1131"/>
      <c r="O41" s="1131"/>
      <c r="P41" s="1101"/>
      <c r="Q41" s="1102"/>
      <c r="T41" s="1112" t="s">
        <v>743</v>
      </c>
      <c r="U41" s="1112"/>
      <c r="W41" s="467">
        <f t="shared" si="3"/>
        <v>46604</v>
      </c>
      <c r="AX41" s="130"/>
    </row>
    <row r="42" spans="1:50" ht="13.5" x14ac:dyDescent="0.25">
      <c r="A42" s="131"/>
      <c r="B42" s="291" t="s">
        <v>744</v>
      </c>
      <c r="C42" s="131"/>
      <c r="D42" s="217"/>
      <c r="E42" s="131"/>
      <c r="F42" s="131"/>
      <c r="G42" s="131"/>
      <c r="H42" s="131"/>
      <c r="I42" s="131"/>
      <c r="J42" s="217"/>
      <c r="K42" s="1132">
        <f t="shared" si="1"/>
        <v>0</v>
      </c>
      <c r="L42" s="1132"/>
      <c r="M42" s="467" t="str">
        <f t="shared" si="2"/>
        <v/>
      </c>
      <c r="N42" s="1131">
        <f>IF(E29&gt;24,F29,0)</f>
        <v>0</v>
      </c>
      <c r="O42" s="1131"/>
      <c r="P42" s="1101"/>
      <c r="Q42" s="1102"/>
      <c r="T42" s="1112" t="s">
        <v>745</v>
      </c>
      <c r="U42" s="1112"/>
      <c r="W42" s="467">
        <f t="shared" si="3"/>
        <v>46635</v>
      </c>
      <c r="AX42" s="130"/>
    </row>
    <row r="43" spans="1:50" ht="13.5" x14ac:dyDescent="0.25">
      <c r="A43" s="131"/>
      <c r="B43" s="291" t="s">
        <v>746</v>
      </c>
      <c r="C43" s="495"/>
      <c r="D43" s="217"/>
      <c r="E43" s="131"/>
      <c r="F43" s="131"/>
      <c r="G43" s="131"/>
      <c r="H43" s="131"/>
      <c r="I43" s="131"/>
      <c r="J43" s="217"/>
      <c r="K43" s="1132">
        <f t="shared" si="1"/>
        <v>0</v>
      </c>
      <c r="L43" s="1132"/>
      <c r="M43" s="467" t="str">
        <f t="shared" si="2"/>
        <v/>
      </c>
      <c r="N43" s="1131">
        <f>IF(E29&gt;25,F29,0)</f>
        <v>0</v>
      </c>
      <c r="O43" s="1131"/>
      <c r="P43" s="1101"/>
      <c r="Q43" s="1102"/>
      <c r="T43" s="1112" t="s">
        <v>747</v>
      </c>
      <c r="U43" s="1112"/>
      <c r="W43" s="467">
        <f t="shared" si="3"/>
        <v>46665</v>
      </c>
      <c r="AX43" s="130"/>
    </row>
    <row r="44" spans="1:50" ht="13.5" x14ac:dyDescent="0.25">
      <c r="A44" s="131"/>
      <c r="B44" s="268"/>
      <c r="C44" s="131"/>
      <c r="D44" s="131"/>
      <c r="E44" s="131"/>
      <c r="F44" s="131"/>
      <c r="G44" s="131"/>
      <c r="H44" s="131"/>
      <c r="I44" s="131"/>
      <c r="J44" s="217"/>
      <c r="K44" s="1132">
        <f t="shared" si="1"/>
        <v>0</v>
      </c>
      <c r="L44" s="1132"/>
      <c r="M44" s="467" t="str">
        <f t="shared" si="2"/>
        <v/>
      </c>
      <c r="N44" s="1131">
        <f>IF(E29&gt;26,F29,0)</f>
        <v>0</v>
      </c>
      <c r="O44" s="1131"/>
      <c r="P44" s="1101"/>
      <c r="Q44" s="1102"/>
      <c r="T44" s="1112" t="s">
        <v>748</v>
      </c>
      <c r="U44" s="1112"/>
      <c r="W44" s="467">
        <f t="shared" si="3"/>
        <v>46696</v>
      </c>
      <c r="AX44" s="130"/>
    </row>
    <row r="45" spans="1:50" ht="13.5" x14ac:dyDescent="0.25">
      <c r="A45" s="131"/>
      <c r="B45" s="187" t="s">
        <v>749</v>
      </c>
      <c r="C45" s="187"/>
      <c r="D45" s="327"/>
      <c r="E45" s="327"/>
      <c r="F45" s="327"/>
      <c r="G45" s="327"/>
      <c r="H45" s="327"/>
      <c r="I45" s="327"/>
      <c r="J45" s="217"/>
      <c r="K45" s="1132">
        <f t="shared" si="1"/>
        <v>0</v>
      </c>
      <c r="L45" s="1132"/>
      <c r="M45" s="467" t="str">
        <f t="shared" si="2"/>
        <v/>
      </c>
      <c r="N45" s="1131">
        <f>IF($E$29&gt;27,$F$29,0)</f>
        <v>0</v>
      </c>
      <c r="O45" s="1131"/>
      <c r="P45" s="1101"/>
      <c r="Q45" s="1102"/>
      <c r="T45" s="1112" t="s">
        <v>750</v>
      </c>
      <c r="U45" s="1112"/>
      <c r="W45" s="467">
        <f t="shared" si="3"/>
        <v>46726</v>
      </c>
      <c r="AX45" s="130"/>
    </row>
    <row r="46" spans="1:50" ht="13.5" x14ac:dyDescent="0.25">
      <c r="A46" s="131"/>
      <c r="B46" s="327"/>
      <c r="C46" s="327"/>
      <c r="D46" s="327"/>
      <c r="E46" s="327"/>
      <c r="F46" s="327"/>
      <c r="G46" s="327"/>
      <c r="H46" s="327"/>
      <c r="I46" s="327"/>
      <c r="J46" s="223"/>
      <c r="K46" s="1132">
        <f t="shared" si="1"/>
        <v>0</v>
      </c>
      <c r="L46" s="1132"/>
      <c r="M46" s="467" t="str">
        <f t="shared" si="2"/>
        <v/>
      </c>
      <c r="N46" s="1131">
        <f>IF($E$29&gt;28,$F$29,0)</f>
        <v>0</v>
      </c>
      <c r="O46" s="1131"/>
      <c r="P46" s="1101"/>
      <c r="Q46" s="1102"/>
      <c r="T46" s="1112" t="s">
        <v>751</v>
      </c>
      <c r="U46" s="1112"/>
      <c r="W46" s="467">
        <f t="shared" si="3"/>
        <v>46757</v>
      </c>
      <c r="AJ46" s="130"/>
      <c r="AW46" s="130"/>
      <c r="AX46" s="130"/>
    </row>
    <row r="47" spans="1:50" ht="13.5" x14ac:dyDescent="0.25">
      <c r="A47" s="131"/>
      <c r="B47" s="1116" t="s">
        <v>752</v>
      </c>
      <c r="C47" s="1116"/>
      <c r="D47" s="1116" t="s">
        <v>753</v>
      </c>
      <c r="E47" s="1116"/>
      <c r="F47" s="1116"/>
      <c r="G47" s="1116" t="s">
        <v>754</v>
      </c>
      <c r="H47" s="1116"/>
      <c r="I47" s="1116"/>
      <c r="J47" s="223"/>
      <c r="K47" s="1132">
        <f t="shared" si="1"/>
        <v>0</v>
      </c>
      <c r="L47" s="1132"/>
      <c r="M47" s="467" t="str">
        <f t="shared" si="2"/>
        <v/>
      </c>
      <c r="N47" s="1131">
        <f>IF($E$29&gt;29,$F$29,0)</f>
        <v>0</v>
      </c>
      <c r="O47" s="1131"/>
      <c r="P47" s="1101"/>
      <c r="Q47" s="1102"/>
      <c r="T47" s="1112" t="s">
        <v>755</v>
      </c>
      <c r="U47" s="1112"/>
      <c r="W47" s="467">
        <f t="shared" si="3"/>
        <v>46788</v>
      </c>
      <c r="AJ47" s="130"/>
      <c r="AW47" s="130"/>
      <c r="AX47" s="130"/>
    </row>
    <row r="48" spans="1:50" ht="15" customHeight="1" x14ac:dyDescent="0.25">
      <c r="A48" s="131"/>
      <c r="B48" s="1175">
        <f>FORM!M20</f>
        <v>0</v>
      </c>
      <c r="C48" s="1176"/>
      <c r="D48" s="1175">
        <f>FORM!Q20</f>
        <v>0</v>
      </c>
      <c r="E48" s="1180"/>
      <c r="F48" s="1176"/>
      <c r="G48" s="1169">
        <f>FORM!T20</f>
        <v>0</v>
      </c>
      <c r="H48" s="1170"/>
      <c r="I48" s="1171"/>
      <c r="J48" s="296"/>
      <c r="K48" s="1132">
        <f t="shared" si="1"/>
        <v>0</v>
      </c>
      <c r="L48" s="1132"/>
      <c r="M48" s="467" t="str">
        <f t="shared" si="2"/>
        <v/>
      </c>
      <c r="N48" s="1131">
        <f>IF($E$29&gt;30,$F$29,0)</f>
        <v>0</v>
      </c>
      <c r="O48" s="1131"/>
      <c r="P48" s="1101"/>
      <c r="Q48" s="1102"/>
      <c r="T48" s="1144" t="s">
        <v>756</v>
      </c>
      <c r="U48" s="1144"/>
      <c r="W48" s="467">
        <f t="shared" si="3"/>
        <v>46817</v>
      </c>
      <c r="AJ48" s="130"/>
      <c r="AW48" s="130"/>
      <c r="AX48" s="130"/>
    </row>
    <row r="49" spans="1:50" ht="13.5" x14ac:dyDescent="0.25">
      <c r="A49" s="131"/>
      <c r="B49" s="1177"/>
      <c r="C49" s="1178"/>
      <c r="D49" s="1177"/>
      <c r="E49" s="1181"/>
      <c r="F49" s="1178"/>
      <c r="G49" s="1172"/>
      <c r="H49" s="1173"/>
      <c r="I49" s="1174"/>
      <c r="J49" s="296"/>
      <c r="K49" s="1132">
        <f t="shared" si="1"/>
        <v>0</v>
      </c>
      <c r="L49" s="1132"/>
      <c r="M49" s="467" t="str">
        <f t="shared" si="2"/>
        <v/>
      </c>
      <c r="N49" s="1131">
        <f>IF($E$29&gt;31,$F$29,0)</f>
        <v>0</v>
      </c>
      <c r="O49" s="1131"/>
      <c r="P49" s="1101"/>
      <c r="Q49" s="1102"/>
      <c r="T49" s="1144" t="s">
        <v>757</v>
      </c>
      <c r="U49" s="1144"/>
      <c r="W49" s="467">
        <f t="shared" si="3"/>
        <v>46848</v>
      </c>
      <c r="AJ49" s="130"/>
      <c r="AW49" s="130"/>
      <c r="AX49" s="130"/>
    </row>
    <row r="50" spans="1:50" ht="15" customHeight="1" x14ac:dyDescent="0.25">
      <c r="A50" s="131"/>
      <c r="B50" s="1175">
        <f>FORM!M22</f>
        <v>0</v>
      </c>
      <c r="C50" s="1176"/>
      <c r="D50" s="1175">
        <f>FORM!Q22</f>
        <v>0</v>
      </c>
      <c r="E50" s="1180"/>
      <c r="F50" s="1176"/>
      <c r="G50" s="1169">
        <f>FORM!T22</f>
        <v>0</v>
      </c>
      <c r="H50" s="1170"/>
      <c r="I50" s="1171"/>
      <c r="J50" s="296"/>
      <c r="K50" s="1132">
        <f t="shared" si="1"/>
        <v>0</v>
      </c>
      <c r="L50" s="1132"/>
      <c r="M50" s="467" t="str">
        <f t="shared" si="2"/>
        <v/>
      </c>
      <c r="N50" s="1131">
        <f>IF($E$29&gt;32,$F$29,0)</f>
        <v>0</v>
      </c>
      <c r="O50" s="1131"/>
      <c r="P50" s="1101"/>
      <c r="Q50" s="1102"/>
      <c r="T50" s="1112" t="s">
        <v>758</v>
      </c>
      <c r="U50" s="1112"/>
      <c r="W50" s="467">
        <f t="shared" si="3"/>
        <v>46878</v>
      </c>
      <c r="AJ50" s="130"/>
      <c r="AW50" s="130"/>
      <c r="AX50" s="130"/>
    </row>
    <row r="51" spans="1:50" ht="13.5" x14ac:dyDescent="0.25">
      <c r="A51" s="131"/>
      <c r="B51" s="1177"/>
      <c r="C51" s="1178"/>
      <c r="D51" s="1177"/>
      <c r="E51" s="1181"/>
      <c r="F51" s="1178"/>
      <c r="G51" s="1172"/>
      <c r="H51" s="1173"/>
      <c r="I51" s="1174"/>
      <c r="J51" s="131"/>
      <c r="K51" s="1132">
        <f t="shared" si="1"/>
        <v>0</v>
      </c>
      <c r="L51" s="1132"/>
      <c r="M51" s="467" t="str">
        <f t="shared" si="2"/>
        <v/>
      </c>
      <c r="N51" s="1131">
        <f>IF($E$29&gt;33,$F$29,0)</f>
        <v>0</v>
      </c>
      <c r="O51" s="1131"/>
      <c r="P51" s="1101"/>
      <c r="Q51" s="1102"/>
      <c r="T51" s="1112" t="s">
        <v>759</v>
      </c>
      <c r="U51" s="1112"/>
      <c r="W51" s="467">
        <f t="shared" si="3"/>
        <v>46909</v>
      </c>
      <c r="AJ51" s="130"/>
      <c r="AW51" s="130"/>
      <c r="AX51" s="130"/>
    </row>
    <row r="52" spans="1:50" ht="15" customHeight="1" x14ac:dyDescent="0.25">
      <c r="A52" s="131"/>
      <c r="B52" s="1175">
        <f>FORM!M26</f>
        <v>0</v>
      </c>
      <c r="C52" s="1176"/>
      <c r="D52" s="1175">
        <f>FORM!Q26</f>
        <v>0</v>
      </c>
      <c r="E52" s="1180"/>
      <c r="F52" s="1176"/>
      <c r="G52" s="1169">
        <f>FORM!T26</f>
        <v>0</v>
      </c>
      <c r="H52" s="1170"/>
      <c r="I52" s="1171"/>
      <c r="J52" s="131"/>
      <c r="K52" s="1132">
        <f t="shared" si="1"/>
        <v>0</v>
      </c>
      <c r="L52" s="1132"/>
      <c r="M52" s="467" t="str">
        <f t="shared" si="2"/>
        <v/>
      </c>
      <c r="N52" s="1131">
        <f>IF($E$29&gt;34,$F$29,0)</f>
        <v>0</v>
      </c>
      <c r="O52" s="1131"/>
      <c r="P52" s="1101"/>
      <c r="Q52" s="1102"/>
      <c r="T52" s="1112" t="s">
        <v>760</v>
      </c>
      <c r="U52" s="1112"/>
      <c r="W52" s="467">
        <f t="shared" si="3"/>
        <v>46939</v>
      </c>
      <c r="AJ52" s="130"/>
      <c r="AW52" s="130"/>
      <c r="AX52" s="130"/>
    </row>
    <row r="53" spans="1:50" ht="13.5" x14ac:dyDescent="0.25">
      <c r="A53" s="131"/>
      <c r="B53" s="1177"/>
      <c r="C53" s="1178"/>
      <c r="D53" s="1177"/>
      <c r="E53" s="1181"/>
      <c r="F53" s="1178"/>
      <c r="G53" s="1172"/>
      <c r="H53" s="1173"/>
      <c r="I53" s="1174"/>
      <c r="J53" s="131"/>
      <c r="K53" s="1132">
        <f t="shared" si="1"/>
        <v>0</v>
      </c>
      <c r="L53" s="1132"/>
      <c r="M53" s="467" t="str">
        <f t="shared" si="2"/>
        <v/>
      </c>
      <c r="N53" s="1131">
        <f>IF($E$29&gt;35,$F$29,0)</f>
        <v>0</v>
      </c>
      <c r="O53" s="1131"/>
      <c r="P53" s="1101"/>
      <c r="Q53" s="1102"/>
      <c r="T53" s="1112" t="s">
        <v>761</v>
      </c>
      <c r="U53" s="1112"/>
      <c r="W53" s="467">
        <f t="shared" si="3"/>
        <v>46970</v>
      </c>
      <c r="AJ53" s="130"/>
      <c r="AW53" s="130"/>
      <c r="AX53" s="130"/>
    </row>
    <row r="54" spans="1:50" ht="15" customHeight="1" x14ac:dyDescent="0.25">
      <c r="A54" s="131"/>
      <c r="B54" s="1175">
        <f>FORM!M28</f>
        <v>0</v>
      </c>
      <c r="C54" s="1176"/>
      <c r="D54" s="1175">
        <f>FORM!Q28</f>
        <v>0</v>
      </c>
      <c r="E54" s="1180"/>
      <c r="F54" s="1176"/>
      <c r="G54" s="1169">
        <f>FORM!T28</f>
        <v>0</v>
      </c>
      <c r="H54" s="1170"/>
      <c r="I54" s="1171"/>
      <c r="J54" s="131"/>
      <c r="K54" s="1132">
        <f t="shared" si="1"/>
        <v>0</v>
      </c>
      <c r="L54" s="1132"/>
      <c r="M54" s="467" t="str">
        <f t="shared" si="2"/>
        <v/>
      </c>
      <c r="N54" s="1131">
        <f>IF($E$29&gt;36,$F$29,0)</f>
        <v>0</v>
      </c>
      <c r="O54" s="1131"/>
      <c r="P54" s="1101"/>
      <c r="Q54" s="1102"/>
      <c r="T54" s="1112" t="s">
        <v>762</v>
      </c>
      <c r="U54" s="1112"/>
      <c r="W54" s="467">
        <f t="shared" si="3"/>
        <v>47001</v>
      </c>
      <c r="AJ54" s="130"/>
      <c r="AW54" s="130"/>
      <c r="AX54" s="130"/>
    </row>
    <row r="55" spans="1:50" ht="13.5" x14ac:dyDescent="0.25">
      <c r="A55" s="131"/>
      <c r="B55" s="1177"/>
      <c r="C55" s="1178"/>
      <c r="D55" s="1177"/>
      <c r="E55" s="1181"/>
      <c r="F55" s="1178"/>
      <c r="G55" s="1172"/>
      <c r="H55" s="1173"/>
      <c r="I55" s="1174"/>
      <c r="J55" s="131"/>
      <c r="K55" s="1132">
        <f t="shared" si="1"/>
        <v>0</v>
      </c>
      <c r="L55" s="1132"/>
      <c r="M55" s="467" t="str">
        <f t="shared" si="2"/>
        <v/>
      </c>
      <c r="N55" s="1131">
        <f>IF($E$29&gt;37,$F$29,0)</f>
        <v>0</v>
      </c>
      <c r="O55" s="1131"/>
      <c r="P55" s="1101"/>
      <c r="Q55" s="1102"/>
      <c r="T55" s="1112" t="s">
        <v>763</v>
      </c>
      <c r="U55" s="1112"/>
      <c r="W55" s="467">
        <f t="shared" si="3"/>
        <v>47031</v>
      </c>
      <c r="AJ55" s="130"/>
      <c r="AW55" s="130"/>
      <c r="AX55" s="130"/>
    </row>
    <row r="56" spans="1:50" ht="15" customHeight="1" x14ac:dyDescent="0.25">
      <c r="A56" s="131"/>
      <c r="B56" s="1175">
        <f>FORM!M32</f>
        <v>0</v>
      </c>
      <c r="C56" s="1176"/>
      <c r="D56" s="1175">
        <f>FORM!Q32</f>
        <v>0</v>
      </c>
      <c r="E56" s="1180"/>
      <c r="F56" s="1176"/>
      <c r="G56" s="1169">
        <f>FORM!T32</f>
        <v>0</v>
      </c>
      <c r="H56" s="1170"/>
      <c r="I56" s="1171"/>
      <c r="J56" s="296"/>
      <c r="K56" s="1132">
        <f t="shared" si="1"/>
        <v>0</v>
      </c>
      <c r="L56" s="1132"/>
      <c r="M56" s="467" t="str">
        <f t="shared" si="2"/>
        <v/>
      </c>
      <c r="N56" s="1131">
        <f>IF($E$29&gt;38,$F$29,0)</f>
        <v>0</v>
      </c>
      <c r="O56" s="1131"/>
      <c r="P56" s="1101"/>
      <c r="Q56" s="1102"/>
      <c r="T56" s="1112" t="s">
        <v>764</v>
      </c>
      <c r="U56" s="1112"/>
      <c r="W56" s="467">
        <f t="shared" si="3"/>
        <v>47062</v>
      </c>
      <c r="AJ56" s="130"/>
      <c r="AW56" s="130"/>
      <c r="AX56" s="130"/>
    </row>
    <row r="57" spans="1:50" ht="13.5" x14ac:dyDescent="0.25">
      <c r="A57" s="131"/>
      <c r="B57" s="1177"/>
      <c r="C57" s="1178"/>
      <c r="D57" s="1177"/>
      <c r="E57" s="1181"/>
      <c r="F57" s="1178"/>
      <c r="G57" s="1172"/>
      <c r="H57" s="1173"/>
      <c r="I57" s="1174"/>
      <c r="J57" s="296"/>
      <c r="K57" s="1132">
        <f t="shared" si="1"/>
        <v>0</v>
      </c>
      <c r="L57" s="1132"/>
      <c r="M57" s="467" t="str">
        <f t="shared" si="2"/>
        <v/>
      </c>
      <c r="N57" s="1131">
        <f>IF($E$29&gt;39,$F$29,0)</f>
        <v>0</v>
      </c>
      <c r="O57" s="1131"/>
      <c r="P57" s="1101"/>
      <c r="Q57" s="1102"/>
      <c r="T57" s="1112" t="s">
        <v>765</v>
      </c>
      <c r="U57" s="1112"/>
      <c r="W57" s="467">
        <f t="shared" si="3"/>
        <v>47092</v>
      </c>
      <c r="AJ57" s="130"/>
      <c r="AW57" s="130"/>
      <c r="AX57" s="130"/>
    </row>
    <row r="58" spans="1:50" ht="12.75" customHeight="1" x14ac:dyDescent="0.25">
      <c r="A58" s="131"/>
      <c r="B58" s="1175">
        <f>FORM!M34</f>
        <v>0</v>
      </c>
      <c r="C58" s="1176"/>
      <c r="D58" s="1175">
        <f>FORM!Q34</f>
        <v>0</v>
      </c>
      <c r="E58" s="1180"/>
      <c r="F58" s="1176"/>
      <c r="G58" s="1169">
        <f>FORM!T34</f>
        <v>0</v>
      </c>
      <c r="H58" s="1170"/>
      <c r="I58" s="1171"/>
      <c r="J58" s="296"/>
      <c r="K58" s="1132">
        <f t="shared" si="1"/>
        <v>0</v>
      </c>
      <c r="L58" s="1132"/>
      <c r="M58" s="467" t="str">
        <f t="shared" si="2"/>
        <v/>
      </c>
      <c r="N58" s="1131">
        <f>IF($E$29&gt;40,$F$29,0)</f>
        <v>0</v>
      </c>
      <c r="O58" s="1131"/>
      <c r="P58" s="1101"/>
      <c r="Q58" s="1102"/>
      <c r="T58" s="1112" t="s">
        <v>766</v>
      </c>
      <c r="U58" s="1112"/>
      <c r="W58" s="467">
        <f t="shared" si="3"/>
        <v>47123</v>
      </c>
      <c r="AJ58" s="130"/>
      <c r="AW58" s="130"/>
      <c r="AX58" s="130"/>
    </row>
    <row r="59" spans="1:50" ht="13.5" x14ac:dyDescent="0.25">
      <c r="A59" s="131"/>
      <c r="B59" s="1177"/>
      <c r="C59" s="1178"/>
      <c r="D59" s="1177"/>
      <c r="E59" s="1181"/>
      <c r="F59" s="1178"/>
      <c r="G59" s="1172"/>
      <c r="H59" s="1173"/>
      <c r="I59" s="1174"/>
      <c r="J59" s="296"/>
      <c r="K59" s="1132">
        <f t="shared" si="1"/>
        <v>0</v>
      </c>
      <c r="L59" s="1132"/>
      <c r="M59" s="467" t="str">
        <f t="shared" si="2"/>
        <v/>
      </c>
      <c r="N59" s="1131">
        <f>IF($E$29&gt;41,$F$29,0)</f>
        <v>0</v>
      </c>
      <c r="O59" s="1131"/>
      <c r="P59" s="1101"/>
      <c r="Q59" s="1102"/>
      <c r="T59" s="1112" t="s">
        <v>767</v>
      </c>
      <c r="U59" s="1112"/>
      <c r="W59" s="467">
        <f t="shared" si="3"/>
        <v>47154</v>
      </c>
      <c r="AJ59" s="130"/>
      <c r="AW59" s="130"/>
      <c r="AX59" s="130"/>
    </row>
    <row r="60" spans="1:50" ht="13.5" x14ac:dyDescent="0.25">
      <c r="A60" s="131"/>
      <c r="B60" s="268"/>
      <c r="C60" s="131"/>
      <c r="D60" s="131" t="s">
        <v>660</v>
      </c>
      <c r="E60" s="131"/>
      <c r="F60" s="131"/>
      <c r="G60" s="131"/>
      <c r="H60" s="131"/>
      <c r="I60" s="131"/>
      <c r="J60" s="296"/>
      <c r="K60" s="1132">
        <f t="shared" si="1"/>
        <v>0</v>
      </c>
      <c r="L60" s="1132"/>
      <c r="M60" s="467" t="str">
        <f t="shared" si="2"/>
        <v/>
      </c>
      <c r="N60" s="1131">
        <f>IF($E$29&gt;42,$F$29,0)</f>
        <v>0</v>
      </c>
      <c r="O60" s="1131"/>
      <c r="P60" s="1101"/>
      <c r="Q60" s="1102"/>
      <c r="T60" s="1112" t="s">
        <v>768</v>
      </c>
      <c r="U60" s="1112"/>
      <c r="W60" s="467">
        <f t="shared" si="3"/>
        <v>47182</v>
      </c>
      <c r="AJ60" s="130"/>
      <c r="AW60" s="130"/>
      <c r="AX60" s="130"/>
    </row>
    <row r="61" spans="1:50" ht="13.5" x14ac:dyDescent="0.25">
      <c r="A61" s="131"/>
      <c r="C61" s="496" t="s">
        <v>769</v>
      </c>
      <c r="D61" s="1179"/>
      <c r="E61" s="1179"/>
      <c r="F61" s="1179"/>
      <c r="G61" s="131"/>
      <c r="H61" s="131"/>
      <c r="I61" s="131"/>
      <c r="J61" s="296"/>
      <c r="K61" s="1132">
        <f t="shared" si="1"/>
        <v>0</v>
      </c>
      <c r="L61" s="1132"/>
      <c r="M61" s="467" t="str">
        <f t="shared" si="2"/>
        <v/>
      </c>
      <c r="N61" s="1131">
        <f>IF($E$29&gt;43,$F$29,0)</f>
        <v>0</v>
      </c>
      <c r="O61" s="1131"/>
      <c r="P61" s="1101"/>
      <c r="Q61" s="1102"/>
      <c r="T61" s="1112" t="s">
        <v>770</v>
      </c>
      <c r="U61" s="1112"/>
      <c r="W61" s="467">
        <f t="shared" si="3"/>
        <v>47213</v>
      </c>
      <c r="AJ61" s="130"/>
      <c r="AW61" s="130"/>
      <c r="AX61" s="130"/>
    </row>
    <row r="62" spans="1:50" ht="13.5" x14ac:dyDescent="0.25">
      <c r="A62" s="131"/>
      <c r="B62" s="496"/>
      <c r="C62" s="131"/>
      <c r="D62" s="10"/>
      <c r="E62" s="10"/>
      <c r="F62" s="131"/>
      <c r="G62" s="131"/>
      <c r="H62" s="131"/>
      <c r="I62" s="131"/>
      <c r="J62" s="296"/>
      <c r="K62" s="1132">
        <f t="shared" si="1"/>
        <v>0</v>
      </c>
      <c r="L62" s="1132"/>
      <c r="M62" s="467" t="str">
        <f t="shared" si="2"/>
        <v/>
      </c>
      <c r="N62" s="1131">
        <f>IF($E$29&gt;44,$F$29,0)</f>
        <v>0</v>
      </c>
      <c r="O62" s="1131"/>
      <c r="P62" s="1101"/>
      <c r="Q62" s="1102"/>
      <c r="T62" s="1112" t="s">
        <v>771</v>
      </c>
      <c r="U62" s="1112"/>
      <c r="W62" s="467">
        <f t="shared" si="3"/>
        <v>47243</v>
      </c>
      <c r="AJ62" s="130"/>
      <c r="AW62" s="130"/>
      <c r="AX62" s="130"/>
    </row>
    <row r="63" spans="1:50" ht="13.5" x14ac:dyDescent="0.25">
      <c r="A63" s="131"/>
      <c r="B63" s="496"/>
      <c r="C63" s="131"/>
      <c r="D63" s="10"/>
      <c r="E63" s="10"/>
      <c r="F63" s="131"/>
      <c r="G63" s="131"/>
      <c r="H63" s="131"/>
      <c r="I63" s="131"/>
      <c r="J63" s="296"/>
      <c r="K63" s="1101">
        <f t="shared" si="1"/>
        <v>0</v>
      </c>
      <c r="L63" s="1102"/>
      <c r="M63" s="467" t="str">
        <f t="shared" si="2"/>
        <v/>
      </c>
      <c r="N63" s="1140">
        <f>IF($E$29&gt;45,$F$29,0)</f>
        <v>0</v>
      </c>
      <c r="O63" s="1141"/>
      <c r="P63" s="1101"/>
      <c r="Q63" s="1102"/>
      <c r="T63" s="1112" t="s">
        <v>772</v>
      </c>
      <c r="U63" s="1112"/>
      <c r="AJ63" s="130"/>
      <c r="AW63" s="130"/>
      <c r="AX63" s="130"/>
    </row>
    <row r="64" spans="1:50" ht="13.5" x14ac:dyDescent="0.25">
      <c r="A64" s="131"/>
      <c r="B64" s="496"/>
      <c r="C64" s="131"/>
      <c r="D64" s="10"/>
      <c r="E64" s="10"/>
      <c r="F64" s="131"/>
      <c r="G64" s="131"/>
      <c r="H64" s="131"/>
      <c r="I64" s="131"/>
      <c r="J64" s="296"/>
      <c r="K64" s="1142" t="s">
        <v>773</v>
      </c>
      <c r="L64" s="1142"/>
      <c r="M64" s="497">
        <f>IF(DAY(X17)=31,Z19,AB19)</f>
        <v>46117</v>
      </c>
      <c r="N64" s="1143">
        <f>F31</f>
        <v>21223954.139358066</v>
      </c>
      <c r="O64" s="1143"/>
      <c r="P64" s="1103"/>
      <c r="Q64" s="1104"/>
      <c r="AJ64" s="130"/>
      <c r="AW64" s="130"/>
      <c r="AX64" s="130"/>
    </row>
    <row r="65" spans="1:50" ht="13.5" x14ac:dyDescent="0.25">
      <c r="A65" s="131"/>
      <c r="B65" s="496"/>
      <c r="C65" s="131"/>
      <c r="D65" s="10"/>
      <c r="E65" s="10"/>
      <c r="F65" s="131"/>
      <c r="G65" s="131"/>
      <c r="H65" s="131"/>
      <c r="I65" s="131"/>
      <c r="J65" s="296"/>
      <c r="K65" s="1129"/>
      <c r="L65" s="1129"/>
      <c r="M65" s="498"/>
      <c r="N65" s="1130"/>
      <c r="O65" s="1130"/>
      <c r="P65" s="499"/>
      <c r="Q65" s="133"/>
      <c r="AJ65" s="130"/>
      <c r="AW65" s="130"/>
      <c r="AX65" s="130"/>
    </row>
    <row r="66" spans="1:50" ht="13.5" x14ac:dyDescent="0.25">
      <c r="A66" s="131"/>
      <c r="B66" s="133" t="s">
        <v>774</v>
      </c>
      <c r="C66" s="131"/>
      <c r="D66" s="131"/>
      <c r="E66" s="131"/>
      <c r="F66" s="133" t="s">
        <v>775</v>
      </c>
      <c r="G66" s="131"/>
      <c r="H66" s="131"/>
      <c r="I66" s="131"/>
      <c r="J66" s="296"/>
      <c r="Q66" s="878"/>
      <c r="AJ66" s="130"/>
      <c r="AW66" s="130"/>
      <c r="AX66" s="130"/>
    </row>
    <row r="67" spans="1:50" ht="12" customHeight="1" x14ac:dyDescent="0.25">
      <c r="A67" s="131"/>
      <c r="B67" s="131"/>
      <c r="C67" s="131"/>
      <c r="D67" s="217"/>
      <c r="E67" s="131"/>
      <c r="F67" s="131"/>
      <c r="G67" s="131"/>
      <c r="H67" s="131"/>
      <c r="I67" s="131"/>
      <c r="J67" s="296"/>
      <c r="K67" s="133" t="s">
        <v>774</v>
      </c>
      <c r="L67" s="131"/>
      <c r="M67" s="131"/>
      <c r="N67" s="131"/>
      <c r="O67" s="133" t="s">
        <v>775</v>
      </c>
      <c r="P67" s="131"/>
      <c r="Q67" s="879"/>
      <c r="AJ67" s="130"/>
      <c r="AW67" s="130"/>
      <c r="AX67" s="130"/>
    </row>
    <row r="68" spans="1:50" ht="12" customHeight="1" x14ac:dyDescent="0.25">
      <c r="A68" s="131"/>
      <c r="B68" s="131"/>
      <c r="C68" s="131"/>
      <c r="D68" s="217"/>
      <c r="E68" s="131"/>
      <c r="F68" s="131"/>
      <c r="G68" s="131"/>
      <c r="H68" s="131"/>
      <c r="I68" s="131"/>
      <c r="J68" s="296"/>
      <c r="K68" s="131"/>
      <c r="L68" s="131"/>
      <c r="M68" s="217"/>
      <c r="N68" s="131"/>
      <c r="O68" s="131"/>
      <c r="P68" s="131"/>
      <c r="Q68" s="131"/>
      <c r="AJ68" s="130"/>
      <c r="AW68" s="130"/>
      <c r="AX68" s="130"/>
    </row>
    <row r="69" spans="1:50" ht="12" customHeight="1" x14ac:dyDescent="0.25">
      <c r="A69" s="131"/>
      <c r="B69" s="1135" t="str">
        <f>FORM!G32</f>
        <v>Seller</v>
      </c>
      <c r="C69" s="1135"/>
      <c r="D69" s="1135"/>
      <c r="E69" s="133"/>
      <c r="F69" s="1135">
        <f>FORM!G30</f>
        <v>0</v>
      </c>
      <c r="G69" s="1135"/>
      <c r="H69" s="1135"/>
      <c r="I69" s="1135"/>
      <c r="J69" s="296"/>
      <c r="K69" s="131"/>
      <c r="L69" s="131"/>
      <c r="M69" s="217"/>
      <c r="N69" s="131"/>
      <c r="O69" s="131"/>
      <c r="P69" s="131"/>
      <c r="Q69" s="131"/>
      <c r="AJ69" s="130"/>
      <c r="AW69" s="130"/>
      <c r="AX69" s="130"/>
    </row>
    <row r="70" spans="1:50" ht="12" customHeight="1" x14ac:dyDescent="0.25">
      <c r="A70" s="131"/>
      <c r="B70" s="146" t="s">
        <v>776</v>
      </c>
      <c r="C70" s="1136"/>
      <c r="D70" s="1136"/>
      <c r="E70" s="131"/>
      <c r="F70" s="1137" t="s">
        <v>777</v>
      </c>
      <c r="G70" s="1137"/>
      <c r="H70" s="1137"/>
      <c r="I70" s="295"/>
      <c r="J70" s="296"/>
      <c r="K70" s="1135" t="str">
        <f>FORM!G32</f>
        <v>Seller</v>
      </c>
      <c r="L70" s="1135"/>
      <c r="M70" s="1135"/>
      <c r="N70" s="133"/>
      <c r="O70" s="1138">
        <f>FORM!G30</f>
        <v>0</v>
      </c>
      <c r="P70" s="1138"/>
      <c r="Q70" s="1138"/>
      <c r="AJ70" s="130"/>
      <c r="AW70" s="130"/>
      <c r="AX70" s="130"/>
    </row>
    <row r="71" spans="1:50" ht="12" customHeight="1" x14ac:dyDescent="0.25">
      <c r="A71" s="131"/>
      <c r="B71" s="268"/>
      <c r="C71" s="131"/>
      <c r="D71" s="131"/>
      <c r="E71" s="131"/>
      <c r="F71" s="131"/>
      <c r="G71" s="131"/>
      <c r="H71" s="131"/>
      <c r="I71" s="131"/>
      <c r="J71" s="296"/>
      <c r="K71" s="146" t="s">
        <v>776</v>
      </c>
      <c r="L71" s="1136"/>
      <c r="M71" s="1136"/>
      <c r="N71" s="131"/>
      <c r="O71" s="1139" t="s">
        <v>777</v>
      </c>
      <c r="P71" s="1139"/>
      <c r="Q71" s="1139"/>
      <c r="AJ71" s="130"/>
      <c r="AW71" s="130"/>
      <c r="AX71" s="130"/>
    </row>
    <row r="72" spans="1:50" ht="12" customHeight="1" x14ac:dyDescent="0.25">
      <c r="A72" s="131"/>
      <c r="B72" s="268"/>
      <c r="C72" s="131"/>
      <c r="D72" s="131"/>
      <c r="E72" s="131"/>
      <c r="F72" s="131"/>
      <c r="G72" s="131"/>
      <c r="H72" s="131"/>
      <c r="I72" s="131"/>
      <c r="J72" s="296"/>
      <c r="L72" s="130"/>
      <c r="AJ72" s="130"/>
      <c r="AW72" s="130"/>
      <c r="AX72" s="130"/>
    </row>
    <row r="73" spans="1:50" ht="12" customHeight="1" x14ac:dyDescent="0.25">
      <c r="A73" s="131"/>
      <c r="B73" s="268"/>
      <c r="C73" s="131"/>
      <c r="D73" s="131"/>
      <c r="E73" s="131"/>
      <c r="F73" s="131"/>
      <c r="G73" s="131"/>
      <c r="H73" s="131"/>
      <c r="I73" s="131"/>
      <c r="J73" s="296"/>
      <c r="K73" s="253"/>
      <c r="L73" s="131"/>
      <c r="M73" s="315"/>
      <c r="N73" s="131"/>
      <c r="O73" s="131"/>
      <c r="P73" s="131"/>
      <c r="Q73" s="131"/>
      <c r="AJ73" s="130"/>
      <c r="AW73" s="130"/>
      <c r="AX73" s="130"/>
    </row>
    <row r="74" spans="1:50" ht="12" customHeight="1" x14ac:dyDescent="0.25">
      <c r="A74" s="131"/>
      <c r="B74" s="268"/>
      <c r="C74" s="131"/>
      <c r="D74" s="131"/>
      <c r="E74" s="131"/>
      <c r="F74" s="131"/>
      <c r="G74" s="131"/>
      <c r="H74" s="131"/>
      <c r="I74" s="131"/>
      <c r="J74" s="296"/>
      <c r="K74" s="253"/>
      <c r="L74" s="131"/>
      <c r="M74" s="315"/>
      <c r="N74" s="131"/>
      <c r="O74" s="131"/>
      <c r="P74" s="131"/>
      <c r="Q74" s="131"/>
      <c r="AJ74" s="130"/>
      <c r="AW74" s="130"/>
      <c r="AX74" s="130"/>
    </row>
    <row r="75" spans="1:50" ht="12" customHeight="1" x14ac:dyDescent="0.25">
      <c r="A75" s="131"/>
      <c r="B75" s="268"/>
      <c r="C75" s="131"/>
      <c r="D75" s="131"/>
      <c r="E75" s="131"/>
      <c r="F75" s="131"/>
      <c r="G75" s="131"/>
      <c r="H75" s="131"/>
      <c r="I75" s="131"/>
      <c r="J75" s="296"/>
      <c r="K75" s="253"/>
      <c r="L75" s="131"/>
      <c r="M75" s="315"/>
      <c r="N75" s="131"/>
      <c r="O75" s="131"/>
      <c r="P75" s="131"/>
      <c r="Q75" s="131"/>
      <c r="AJ75" s="130"/>
      <c r="AW75" s="130"/>
      <c r="AX75" s="130"/>
    </row>
    <row r="76" spans="1:50" ht="12" customHeight="1" x14ac:dyDescent="0.25">
      <c r="A76" s="131"/>
      <c r="B76" s="268"/>
      <c r="C76" s="131"/>
      <c r="D76" s="217"/>
      <c r="E76" s="131"/>
      <c r="F76" s="131"/>
      <c r="G76" s="131"/>
      <c r="H76" s="131"/>
      <c r="I76" s="131"/>
      <c r="J76" s="296"/>
      <c r="K76" s="253"/>
      <c r="L76" s="131"/>
      <c r="M76" s="315"/>
      <c r="N76" s="131"/>
      <c r="O76" s="131"/>
      <c r="P76" s="131"/>
      <c r="Q76" s="131"/>
      <c r="AJ76" s="130"/>
      <c r="AW76" s="130"/>
      <c r="AX76" s="130"/>
    </row>
    <row r="77" spans="1:50" ht="12" customHeight="1" x14ac:dyDescent="0.25">
      <c r="A77" s="131"/>
      <c r="B77" s="268"/>
      <c r="C77" s="131"/>
      <c r="D77" s="217"/>
      <c r="E77" s="131"/>
      <c r="F77" s="131"/>
      <c r="G77" s="131"/>
      <c r="H77" s="131"/>
      <c r="I77" s="131"/>
      <c r="J77" s="296"/>
      <c r="K77" s="253"/>
      <c r="L77" s="131"/>
      <c r="M77" s="315"/>
      <c r="N77" s="131"/>
      <c r="O77" s="131"/>
      <c r="P77" s="131"/>
      <c r="Q77" s="131"/>
      <c r="AJ77" s="130"/>
      <c r="AW77" s="130"/>
      <c r="AX77" s="130"/>
    </row>
    <row r="78" spans="1:50" ht="12" customHeight="1" x14ac:dyDescent="0.25">
      <c r="A78" s="131"/>
      <c r="B78" s="268"/>
      <c r="C78" s="131"/>
      <c r="D78" s="217"/>
      <c r="E78" s="131"/>
      <c r="F78" s="131"/>
      <c r="G78" s="131"/>
      <c r="H78" s="131"/>
      <c r="I78" s="131"/>
      <c r="J78" s="296"/>
      <c r="K78" s="253"/>
      <c r="L78" s="131"/>
      <c r="M78" s="315"/>
      <c r="N78" s="131"/>
      <c r="O78" s="131"/>
      <c r="P78" s="131"/>
      <c r="Q78" s="131"/>
      <c r="AJ78" s="130"/>
      <c r="AW78" s="130"/>
      <c r="AX78" s="130"/>
    </row>
    <row r="79" spans="1:50" ht="12" customHeight="1" x14ac:dyDescent="0.25">
      <c r="A79" s="131"/>
      <c r="B79" s="268"/>
      <c r="C79" s="131"/>
      <c r="D79" s="131"/>
      <c r="E79" s="131"/>
      <c r="F79" s="131"/>
      <c r="G79" s="131"/>
      <c r="H79" s="131"/>
      <c r="I79" s="131"/>
      <c r="J79" s="296"/>
      <c r="K79" s="253"/>
      <c r="L79" s="131"/>
      <c r="M79" s="315"/>
      <c r="N79" s="131"/>
      <c r="O79" s="131"/>
      <c r="P79" s="131"/>
      <c r="Q79" s="131"/>
      <c r="AJ79" s="130"/>
      <c r="AW79" s="130"/>
      <c r="AX79" s="130"/>
    </row>
    <row r="80" spans="1:50" ht="12" customHeight="1" x14ac:dyDescent="0.25">
      <c r="A80" s="131"/>
      <c r="B80" s="268"/>
      <c r="C80" s="131"/>
      <c r="D80" s="131"/>
      <c r="E80" s="131"/>
      <c r="F80" s="131"/>
      <c r="G80" s="131"/>
      <c r="H80" s="131"/>
      <c r="I80" s="131"/>
      <c r="J80" s="296"/>
      <c r="K80" s="253"/>
      <c r="L80" s="131"/>
      <c r="M80" s="315"/>
      <c r="N80" s="131"/>
      <c r="O80" s="131"/>
      <c r="P80" s="131"/>
      <c r="Q80" s="131"/>
      <c r="AJ80" s="130"/>
      <c r="AW80" s="130"/>
      <c r="AX80" s="130"/>
    </row>
    <row r="81" spans="1:50" ht="12" customHeight="1" x14ac:dyDescent="0.25">
      <c r="A81" s="131"/>
      <c r="B81" s="268"/>
      <c r="C81" s="131"/>
      <c r="D81" s="131"/>
      <c r="E81" s="131"/>
      <c r="F81" s="131"/>
      <c r="G81" s="131"/>
      <c r="H81" s="131"/>
      <c r="I81" s="131"/>
      <c r="J81" s="296"/>
      <c r="K81" s="253"/>
      <c r="L81" s="131"/>
      <c r="M81" s="315"/>
      <c r="N81" s="131"/>
      <c r="O81" s="131"/>
      <c r="P81" s="131"/>
      <c r="Q81" s="131"/>
      <c r="AJ81" s="130"/>
      <c r="AW81" s="130"/>
      <c r="AX81" s="130"/>
    </row>
    <row r="82" spans="1:50" ht="12" customHeight="1" x14ac:dyDescent="0.25">
      <c r="A82" s="131"/>
      <c r="B82" s="268"/>
      <c r="C82" s="131"/>
      <c r="D82" s="131"/>
      <c r="E82" s="131"/>
      <c r="F82" s="131"/>
      <c r="G82" s="131"/>
      <c r="H82" s="131"/>
      <c r="I82" s="131"/>
      <c r="J82" s="296"/>
      <c r="K82" s="253"/>
      <c r="L82" s="131"/>
      <c r="M82" s="315"/>
      <c r="N82" s="131"/>
      <c r="O82" s="131"/>
      <c r="P82" s="131"/>
      <c r="Q82" s="131"/>
      <c r="AJ82" s="130"/>
      <c r="AW82" s="130"/>
      <c r="AX82" s="130"/>
    </row>
    <row r="83" spans="1:50" ht="12" customHeight="1" x14ac:dyDescent="0.25">
      <c r="A83" s="131"/>
      <c r="B83" s="268"/>
      <c r="C83" s="131"/>
      <c r="D83" s="131"/>
      <c r="E83" s="131"/>
      <c r="F83" s="131"/>
      <c r="G83" s="131"/>
      <c r="H83" s="131"/>
      <c r="I83" s="131"/>
      <c r="J83" s="296"/>
      <c r="K83" s="253"/>
      <c r="L83" s="131"/>
      <c r="M83" s="315"/>
      <c r="N83" s="131"/>
      <c r="O83" s="131"/>
      <c r="P83" s="131"/>
      <c r="Q83" s="131"/>
      <c r="AJ83" s="130"/>
      <c r="AW83" s="130"/>
      <c r="AX83" s="130"/>
    </row>
    <row r="84" spans="1:50" ht="12" customHeight="1" x14ac:dyDescent="0.25">
      <c r="A84" s="131"/>
      <c r="B84" s="268"/>
      <c r="C84" s="131"/>
      <c r="D84" s="131"/>
      <c r="E84" s="131"/>
      <c r="F84" s="131"/>
      <c r="G84" s="131"/>
      <c r="H84" s="131"/>
      <c r="I84" s="131"/>
      <c r="J84" s="296"/>
      <c r="K84" s="253"/>
      <c r="L84" s="131"/>
      <c r="M84" s="315"/>
      <c r="N84" s="131"/>
      <c r="O84" s="131"/>
      <c r="P84" s="131"/>
      <c r="Q84" s="131"/>
      <c r="AJ84" s="130"/>
      <c r="AW84" s="130"/>
      <c r="AX84" s="130"/>
    </row>
    <row r="85" spans="1:50" ht="12" customHeight="1" x14ac:dyDescent="0.25">
      <c r="A85" s="131"/>
      <c r="B85" s="268"/>
      <c r="C85" s="131"/>
      <c r="D85" s="131"/>
      <c r="E85" s="131"/>
      <c r="F85" s="131"/>
      <c r="G85" s="131"/>
      <c r="H85" s="131"/>
      <c r="I85" s="131"/>
      <c r="J85" s="296"/>
      <c r="K85" s="253"/>
      <c r="L85" s="131"/>
      <c r="M85" s="315"/>
      <c r="N85" s="131"/>
      <c r="O85" s="131"/>
      <c r="P85" s="131"/>
      <c r="Q85" s="131"/>
      <c r="AJ85" s="130"/>
      <c r="AW85" s="130"/>
      <c r="AX85" s="130"/>
    </row>
    <row r="86" spans="1:50" ht="12" customHeight="1" x14ac:dyDescent="0.25">
      <c r="A86" s="131"/>
      <c r="B86" s="268"/>
      <c r="C86" s="131"/>
      <c r="D86" s="131"/>
      <c r="E86" s="131"/>
      <c r="F86" s="131"/>
      <c r="G86" s="131"/>
      <c r="H86" s="131"/>
      <c r="I86" s="131"/>
      <c r="J86" s="296"/>
      <c r="K86" s="253"/>
      <c r="L86" s="131"/>
      <c r="M86" s="315"/>
      <c r="N86" s="131"/>
      <c r="O86" s="131"/>
      <c r="P86" s="131"/>
      <c r="Q86" s="131"/>
      <c r="AJ86" s="130"/>
      <c r="AW86" s="130"/>
      <c r="AX86" s="130"/>
    </row>
    <row r="87" spans="1:50" ht="12" customHeight="1" x14ac:dyDescent="0.25">
      <c r="A87" s="131"/>
      <c r="B87" s="268"/>
      <c r="C87" s="131"/>
      <c r="D87" s="131"/>
      <c r="E87" s="131"/>
      <c r="F87" s="131"/>
      <c r="G87" s="131"/>
      <c r="H87" s="131"/>
      <c r="I87" s="131"/>
      <c r="J87" s="296"/>
      <c r="K87" s="253"/>
      <c r="L87" s="131"/>
      <c r="M87" s="315"/>
      <c r="N87" s="131"/>
      <c r="O87" s="131"/>
      <c r="P87" s="131"/>
      <c r="Q87" s="131"/>
      <c r="AJ87" s="130"/>
      <c r="AW87" s="130"/>
      <c r="AX87" s="130"/>
    </row>
    <row r="88" spans="1:50" ht="13.5" x14ac:dyDescent="0.25">
      <c r="A88" s="131"/>
      <c r="B88" s="268"/>
      <c r="C88" s="131"/>
      <c r="D88" s="131"/>
      <c r="E88" s="131"/>
      <c r="F88" s="131"/>
      <c r="G88" s="131"/>
      <c r="H88" s="131"/>
      <c r="I88" s="131"/>
      <c r="J88" s="296"/>
      <c r="K88" s="253"/>
      <c r="L88" s="131"/>
      <c r="M88" s="315"/>
      <c r="N88" s="131"/>
      <c r="O88" s="131"/>
      <c r="P88" s="131"/>
      <c r="Q88" s="131"/>
      <c r="AJ88" s="130"/>
      <c r="AW88" s="130"/>
      <c r="AX88" s="130"/>
    </row>
    <row r="89" spans="1:50" ht="12" customHeight="1" x14ac:dyDescent="0.25">
      <c r="A89" s="131"/>
      <c r="B89" s="268"/>
      <c r="C89" s="131"/>
      <c r="D89" s="131"/>
      <c r="E89" s="131"/>
      <c r="F89" s="131"/>
      <c r="G89" s="131"/>
      <c r="H89" s="131"/>
      <c r="I89" s="131"/>
      <c r="J89" s="296"/>
      <c r="K89" s="253"/>
      <c r="L89" s="131"/>
      <c r="M89" s="315"/>
      <c r="N89" s="131"/>
      <c r="O89" s="131"/>
      <c r="P89" s="131"/>
      <c r="Q89" s="131"/>
      <c r="AJ89" s="130"/>
      <c r="AW89" s="130"/>
      <c r="AX89" s="130"/>
    </row>
    <row r="90" spans="1:50" ht="12" customHeight="1" x14ac:dyDescent="0.25">
      <c r="A90" s="131"/>
      <c r="B90" s="268"/>
      <c r="C90" s="131"/>
      <c r="D90" s="131"/>
      <c r="E90" s="131"/>
      <c r="F90" s="131"/>
      <c r="G90" s="131"/>
      <c r="H90" s="131"/>
      <c r="I90" s="131"/>
      <c r="J90" s="296"/>
      <c r="K90" s="253"/>
      <c r="L90" s="131"/>
      <c r="M90" s="315"/>
      <c r="N90" s="131"/>
      <c r="O90" s="131"/>
      <c r="P90" s="131"/>
      <c r="Q90" s="131"/>
      <c r="AJ90" s="130"/>
      <c r="AW90" s="130"/>
      <c r="AX90" s="130"/>
    </row>
    <row r="91" spans="1:50" ht="12" customHeight="1" x14ac:dyDescent="0.25">
      <c r="A91" s="131"/>
      <c r="B91" s="268"/>
      <c r="C91" s="131"/>
      <c r="D91" s="131"/>
      <c r="E91" s="131"/>
      <c r="F91" s="131"/>
      <c r="G91" s="131"/>
      <c r="H91" s="131"/>
      <c r="I91" s="131"/>
      <c r="J91" s="296"/>
      <c r="K91" s="253"/>
      <c r="L91" s="131"/>
      <c r="M91" s="315"/>
      <c r="N91" s="131"/>
      <c r="O91" s="131"/>
      <c r="P91" s="131"/>
      <c r="Q91" s="131"/>
      <c r="AJ91" s="130"/>
      <c r="AW91" s="130"/>
      <c r="AX91" s="130"/>
    </row>
    <row r="92" spans="1:50" ht="12" customHeight="1" x14ac:dyDescent="0.25">
      <c r="A92" s="131"/>
      <c r="B92" s="268"/>
      <c r="C92" s="131"/>
      <c r="D92" s="131"/>
      <c r="E92" s="131"/>
      <c r="F92" s="131"/>
      <c r="G92" s="131"/>
      <c r="H92" s="131"/>
      <c r="I92" s="131"/>
      <c r="J92" s="296"/>
      <c r="K92" s="253"/>
      <c r="L92" s="131"/>
      <c r="M92" s="315"/>
      <c r="N92" s="131"/>
      <c r="O92" s="131"/>
      <c r="P92" s="131"/>
      <c r="Q92" s="131"/>
      <c r="AJ92" s="130"/>
      <c r="AW92" s="130"/>
      <c r="AX92" s="130"/>
    </row>
    <row r="93" spans="1:50" ht="12" customHeight="1" x14ac:dyDescent="0.25">
      <c r="A93" s="131"/>
      <c r="B93" s="268"/>
      <c r="C93" s="131"/>
      <c r="D93" s="131"/>
      <c r="E93" s="131"/>
      <c r="F93" s="131"/>
      <c r="G93" s="131"/>
      <c r="H93" s="131"/>
      <c r="I93" s="131"/>
      <c r="J93" s="296"/>
      <c r="K93" s="253"/>
      <c r="L93" s="131"/>
      <c r="M93" s="315"/>
      <c r="N93" s="131"/>
      <c r="O93" s="131"/>
      <c r="P93" s="131"/>
      <c r="Q93" s="131"/>
      <c r="AJ93" s="130"/>
      <c r="AW93" s="130"/>
      <c r="AX93" s="130"/>
    </row>
    <row r="94" spans="1:50" ht="12" customHeight="1" x14ac:dyDescent="0.25">
      <c r="A94" s="131"/>
      <c r="B94" s="268"/>
      <c r="C94" s="131"/>
      <c r="D94" s="131"/>
      <c r="E94" s="131"/>
      <c r="F94" s="131"/>
      <c r="G94" s="131"/>
      <c r="H94" s="131"/>
      <c r="I94" s="131"/>
      <c r="J94" s="296"/>
      <c r="K94" s="253"/>
      <c r="L94" s="131"/>
      <c r="M94" s="315"/>
      <c r="N94" s="131"/>
      <c r="O94" s="131"/>
      <c r="P94" s="131"/>
      <c r="Q94" s="131"/>
      <c r="AJ94" s="130"/>
      <c r="AW94" s="130"/>
      <c r="AX94" s="130"/>
    </row>
    <row r="95" spans="1:50" ht="12" customHeight="1" x14ac:dyDescent="0.25">
      <c r="A95" s="131"/>
      <c r="B95" s="268"/>
      <c r="C95" s="131"/>
      <c r="D95" s="131"/>
      <c r="E95" s="131"/>
      <c r="F95" s="131"/>
      <c r="G95" s="131"/>
      <c r="H95" s="131"/>
      <c r="I95" s="131"/>
      <c r="J95" s="296"/>
      <c r="K95" s="253"/>
      <c r="L95" s="131"/>
      <c r="M95" s="315"/>
      <c r="N95" s="131"/>
      <c r="O95" s="131"/>
      <c r="P95" s="131"/>
      <c r="Q95" s="131"/>
      <c r="AJ95" s="130"/>
      <c r="AW95" s="130"/>
      <c r="AX95" s="130"/>
    </row>
    <row r="96" spans="1:50" ht="12" customHeight="1" x14ac:dyDescent="0.25">
      <c r="A96" s="131"/>
      <c r="B96" s="268"/>
      <c r="C96" s="131"/>
      <c r="D96" s="131"/>
      <c r="E96" s="131"/>
      <c r="F96" s="131"/>
      <c r="G96" s="131"/>
      <c r="H96" s="131"/>
      <c r="I96" s="131"/>
      <c r="J96" s="296"/>
      <c r="K96" s="253"/>
      <c r="L96" s="131"/>
      <c r="M96" s="315"/>
      <c r="N96" s="131"/>
      <c r="O96" s="131"/>
      <c r="P96" s="131"/>
      <c r="Q96" s="131"/>
      <c r="AJ96" s="130"/>
      <c r="AW96" s="130"/>
      <c r="AX96" s="130"/>
    </row>
    <row r="97" spans="1:50" ht="12" customHeight="1" x14ac:dyDescent="0.25">
      <c r="A97" s="131"/>
      <c r="B97" s="268"/>
      <c r="C97" s="131"/>
      <c r="D97" s="131"/>
      <c r="E97" s="131"/>
      <c r="F97" s="131"/>
      <c r="G97" s="131"/>
      <c r="H97" s="131"/>
      <c r="I97" s="131"/>
      <c r="J97" s="296"/>
      <c r="K97" s="253"/>
      <c r="L97" s="131"/>
      <c r="M97" s="315"/>
      <c r="N97" s="131"/>
      <c r="O97" s="131"/>
      <c r="P97" s="131"/>
      <c r="Q97" s="131"/>
      <c r="AJ97" s="130"/>
      <c r="AW97" s="130"/>
      <c r="AX97" s="130"/>
    </row>
    <row r="98" spans="1:50" ht="12" customHeight="1" x14ac:dyDescent="0.25">
      <c r="A98" s="131"/>
      <c r="B98" s="268"/>
      <c r="C98" s="131"/>
      <c r="D98" s="131"/>
      <c r="E98" s="131"/>
      <c r="F98" s="131"/>
      <c r="G98" s="131"/>
      <c r="H98" s="131"/>
      <c r="I98" s="131"/>
      <c r="J98" s="296"/>
      <c r="K98" s="253"/>
      <c r="L98" s="131"/>
      <c r="M98" s="315"/>
      <c r="N98" s="131"/>
      <c r="O98" s="131"/>
      <c r="P98" s="131"/>
      <c r="Q98" s="131"/>
      <c r="AJ98" s="130"/>
      <c r="AW98" s="130"/>
      <c r="AX98" s="130"/>
    </row>
    <row r="99" spans="1:50" ht="12" customHeight="1" x14ac:dyDescent="0.25">
      <c r="A99" s="131"/>
      <c r="B99" s="268"/>
      <c r="C99" s="131"/>
      <c r="D99" s="131"/>
      <c r="E99" s="131"/>
      <c r="F99" s="131"/>
      <c r="G99" s="131"/>
      <c r="H99" s="131"/>
      <c r="I99" s="131"/>
      <c r="J99" s="296"/>
      <c r="K99" s="253"/>
      <c r="L99" s="131"/>
      <c r="M99" s="315"/>
      <c r="N99" s="131"/>
      <c r="O99" s="131"/>
      <c r="P99" s="131"/>
      <c r="Q99" s="131"/>
      <c r="AJ99" s="130"/>
      <c r="AW99" s="130"/>
      <c r="AX99" s="130"/>
    </row>
    <row r="100" spans="1:50" ht="12" customHeight="1" x14ac:dyDescent="0.25">
      <c r="A100" s="131"/>
      <c r="B100" s="268"/>
      <c r="C100" s="131"/>
      <c r="D100" s="131"/>
      <c r="E100" s="131"/>
      <c r="F100" s="131"/>
      <c r="G100" s="131"/>
      <c r="H100" s="131"/>
      <c r="I100" s="131"/>
      <c r="J100" s="296"/>
      <c r="K100" s="253"/>
      <c r="L100" s="131"/>
      <c r="M100" s="315"/>
      <c r="N100" s="131"/>
      <c r="O100" s="131"/>
      <c r="P100" s="131"/>
      <c r="Q100" s="131"/>
      <c r="AJ100" s="130"/>
      <c r="AW100" s="130"/>
      <c r="AX100" s="130"/>
    </row>
    <row r="101" spans="1:50" ht="12" customHeight="1" x14ac:dyDescent="0.25">
      <c r="A101" s="131"/>
      <c r="B101" s="268"/>
      <c r="C101" s="131"/>
      <c r="D101" s="131"/>
      <c r="E101" s="131"/>
      <c r="F101" s="131"/>
      <c r="G101" s="131"/>
      <c r="H101" s="131"/>
      <c r="I101" s="131"/>
      <c r="J101" s="296"/>
      <c r="K101" s="253"/>
      <c r="L101" s="131"/>
      <c r="M101" s="315"/>
      <c r="N101" s="131"/>
      <c r="O101" s="131"/>
      <c r="P101" s="131"/>
      <c r="Q101" s="131"/>
      <c r="AJ101" s="130"/>
      <c r="AW101" s="130"/>
      <c r="AX101" s="130"/>
    </row>
    <row r="102" spans="1:50" ht="12" customHeight="1" x14ac:dyDescent="0.25">
      <c r="A102" s="131"/>
      <c r="B102" s="268"/>
      <c r="C102" s="131"/>
      <c r="D102" s="131"/>
      <c r="E102" s="131"/>
      <c r="F102" s="131"/>
      <c r="G102" s="131"/>
      <c r="H102" s="131"/>
      <c r="I102" s="131"/>
      <c r="J102" s="296"/>
      <c r="K102" s="253"/>
      <c r="L102" s="131"/>
      <c r="M102" s="315"/>
      <c r="N102" s="131"/>
      <c r="O102" s="131"/>
      <c r="P102" s="131"/>
      <c r="Q102" s="131"/>
      <c r="AJ102" s="130"/>
      <c r="AW102" s="130"/>
      <c r="AX102" s="130"/>
    </row>
    <row r="103" spans="1:50" ht="12" customHeight="1" x14ac:dyDescent="0.25">
      <c r="A103" s="131"/>
      <c r="B103" s="268"/>
      <c r="C103" s="131"/>
      <c r="D103" s="131"/>
      <c r="E103" s="131"/>
      <c r="F103" s="131"/>
      <c r="G103" s="131"/>
      <c r="H103" s="131"/>
      <c r="I103" s="131"/>
      <c r="J103" s="296"/>
      <c r="K103" s="253"/>
      <c r="L103" s="131"/>
      <c r="M103" s="315"/>
      <c r="N103" s="131"/>
      <c r="O103" s="131"/>
      <c r="P103" s="131"/>
      <c r="Q103" s="131"/>
      <c r="AJ103" s="130"/>
      <c r="AW103" s="130"/>
      <c r="AX103" s="130"/>
    </row>
    <row r="104" spans="1:50" ht="12" customHeight="1" x14ac:dyDescent="0.25">
      <c r="A104" s="131"/>
      <c r="B104" s="268"/>
      <c r="C104" s="131"/>
      <c r="D104" s="131"/>
      <c r="E104" s="131"/>
      <c r="F104" s="131"/>
      <c r="G104" s="131"/>
      <c r="H104" s="131"/>
      <c r="I104" s="131"/>
      <c r="J104" s="296"/>
      <c r="K104" s="253"/>
      <c r="L104" s="131"/>
      <c r="M104" s="315"/>
      <c r="N104" s="131"/>
      <c r="O104" s="131"/>
      <c r="P104" s="131"/>
      <c r="Q104" s="131"/>
      <c r="AJ104" s="130"/>
      <c r="AW104" s="130"/>
      <c r="AX104" s="130"/>
    </row>
    <row r="105" spans="1:50" ht="12" customHeight="1" x14ac:dyDescent="0.25">
      <c r="A105" s="131"/>
      <c r="B105" s="268"/>
      <c r="C105" s="131"/>
      <c r="D105" s="131"/>
      <c r="E105" s="131"/>
      <c r="F105" s="131"/>
      <c r="G105" s="131"/>
      <c r="H105" s="131"/>
      <c r="I105" s="131"/>
      <c r="J105" s="296"/>
      <c r="K105" s="253"/>
      <c r="L105" s="131"/>
      <c r="M105" s="315"/>
      <c r="N105" s="131"/>
      <c r="O105" s="131"/>
      <c r="P105" s="131"/>
      <c r="Q105" s="131"/>
      <c r="AJ105" s="130"/>
      <c r="AW105" s="130"/>
      <c r="AX105" s="130"/>
    </row>
    <row r="106" spans="1:50" ht="12" customHeight="1" x14ac:dyDescent="0.25">
      <c r="A106" s="131"/>
      <c r="B106" s="268"/>
      <c r="C106" s="131"/>
      <c r="D106" s="131"/>
      <c r="E106" s="131"/>
      <c r="F106" s="131"/>
      <c r="G106" s="131"/>
      <c r="H106" s="131"/>
      <c r="I106" s="131"/>
      <c r="J106" s="296"/>
      <c r="K106" s="253"/>
      <c r="L106" s="131"/>
      <c r="M106" s="315"/>
      <c r="N106" s="131"/>
      <c r="O106" s="131"/>
      <c r="P106" s="131"/>
      <c r="Q106" s="131"/>
      <c r="AJ106" s="130"/>
      <c r="AW106" s="130"/>
      <c r="AX106" s="130"/>
    </row>
    <row r="107" spans="1:50" ht="12" customHeight="1" x14ac:dyDescent="0.25">
      <c r="A107" s="131"/>
      <c r="B107" s="268"/>
      <c r="C107" s="131"/>
      <c r="D107" s="131"/>
      <c r="E107" s="131"/>
      <c r="F107" s="131"/>
      <c r="G107" s="131"/>
      <c r="H107" s="131"/>
      <c r="I107" s="131"/>
      <c r="J107" s="296"/>
      <c r="K107" s="253"/>
      <c r="L107" s="131"/>
      <c r="M107" s="315"/>
      <c r="N107" s="131"/>
      <c r="O107" s="131"/>
      <c r="P107" s="131"/>
      <c r="Q107" s="131"/>
      <c r="AJ107" s="130"/>
      <c r="AW107" s="130"/>
      <c r="AX107" s="130"/>
    </row>
    <row r="108" spans="1:50" ht="12" customHeight="1" x14ac:dyDescent="0.25">
      <c r="A108" s="131"/>
      <c r="B108" s="268"/>
      <c r="C108" s="131"/>
      <c r="D108" s="131"/>
      <c r="E108" s="131"/>
      <c r="F108" s="131"/>
      <c r="G108" s="131"/>
      <c r="H108" s="131"/>
      <c r="I108" s="131"/>
      <c r="J108" s="296"/>
      <c r="K108" s="253"/>
      <c r="L108" s="131"/>
      <c r="M108" s="315"/>
      <c r="N108" s="131"/>
      <c r="O108" s="131"/>
      <c r="P108" s="131"/>
      <c r="Q108" s="131"/>
      <c r="AJ108" s="130"/>
      <c r="AW108" s="130"/>
      <c r="AX108" s="130"/>
    </row>
    <row r="109" spans="1:50" ht="12" customHeight="1" x14ac:dyDescent="0.25">
      <c r="A109" s="131"/>
      <c r="B109" s="268"/>
      <c r="C109" s="131"/>
      <c r="D109" s="131"/>
      <c r="E109" s="131"/>
      <c r="F109" s="131"/>
      <c r="G109" s="131"/>
      <c r="H109" s="131"/>
      <c r="I109" s="131"/>
      <c r="J109" s="296"/>
      <c r="K109" s="253"/>
      <c r="L109" s="131"/>
      <c r="M109" s="315"/>
      <c r="N109" s="131"/>
      <c r="O109" s="131"/>
      <c r="P109" s="131"/>
      <c r="Q109" s="131"/>
      <c r="AJ109" s="130"/>
      <c r="AW109" s="130"/>
      <c r="AX109" s="130"/>
    </row>
    <row r="110" spans="1:50" ht="12" customHeight="1" x14ac:dyDescent="0.25">
      <c r="A110" s="131"/>
      <c r="B110" s="268"/>
      <c r="C110" s="131"/>
      <c r="D110" s="131"/>
      <c r="E110" s="131"/>
      <c r="F110" s="131"/>
      <c r="G110" s="131"/>
      <c r="H110" s="131"/>
      <c r="I110" s="131"/>
      <c r="J110" s="296"/>
      <c r="K110" s="253"/>
      <c r="L110" s="131"/>
      <c r="M110" s="315"/>
      <c r="N110" s="131"/>
      <c r="O110" s="131"/>
      <c r="P110" s="131"/>
      <c r="Q110" s="131"/>
      <c r="AJ110" s="130"/>
      <c r="AW110" s="130"/>
      <c r="AX110" s="130"/>
    </row>
    <row r="111" spans="1:50" ht="12" customHeight="1" x14ac:dyDescent="0.25">
      <c r="A111" s="131"/>
      <c r="B111" s="268"/>
      <c r="C111" s="131"/>
      <c r="D111" s="131"/>
      <c r="E111" s="131"/>
      <c r="F111" s="131"/>
      <c r="G111" s="131"/>
      <c r="H111" s="131"/>
      <c r="I111" s="131"/>
      <c r="J111" s="296"/>
      <c r="K111" s="253"/>
      <c r="L111" s="131"/>
      <c r="M111" s="315"/>
      <c r="N111" s="131"/>
      <c r="O111" s="131"/>
      <c r="P111" s="131"/>
      <c r="Q111" s="131"/>
      <c r="AJ111" s="130"/>
      <c r="AW111" s="130"/>
      <c r="AX111" s="130"/>
    </row>
    <row r="112" spans="1:50" ht="12" customHeight="1" x14ac:dyDescent="0.25">
      <c r="A112" s="131"/>
      <c r="B112" s="268"/>
      <c r="C112" s="131"/>
      <c r="D112" s="131"/>
      <c r="E112" s="131"/>
      <c r="F112" s="131"/>
      <c r="G112" s="131"/>
      <c r="H112" s="131"/>
      <c r="I112" s="131"/>
      <c r="J112" s="296"/>
      <c r="K112" s="253"/>
      <c r="L112" s="131"/>
      <c r="M112" s="315"/>
      <c r="N112" s="131"/>
      <c r="O112" s="131"/>
      <c r="P112" s="131"/>
      <c r="Q112" s="131"/>
      <c r="AJ112" s="130"/>
      <c r="AW112" s="130"/>
      <c r="AX112" s="130"/>
    </row>
    <row r="113" spans="1:50" ht="12" customHeight="1" x14ac:dyDescent="0.25">
      <c r="A113" s="131"/>
      <c r="B113" s="268"/>
      <c r="C113" s="131"/>
      <c r="D113" s="131"/>
      <c r="E113" s="131"/>
      <c r="F113" s="131"/>
      <c r="G113" s="131"/>
      <c r="H113" s="131"/>
      <c r="I113" s="131"/>
      <c r="J113" s="296"/>
      <c r="K113" s="253"/>
      <c r="L113" s="131"/>
      <c r="M113" s="315"/>
      <c r="N113" s="131"/>
      <c r="O113" s="131"/>
      <c r="P113" s="131"/>
      <c r="Q113" s="131"/>
      <c r="AJ113" s="130"/>
      <c r="AW113" s="130"/>
      <c r="AX113" s="130"/>
    </row>
    <row r="114" spans="1:50" ht="12" customHeight="1" x14ac:dyDescent="0.25">
      <c r="A114" s="131"/>
      <c r="B114" s="268"/>
      <c r="C114" s="131"/>
      <c r="D114" s="131"/>
      <c r="E114" s="131"/>
      <c r="F114" s="131"/>
      <c r="G114" s="131"/>
      <c r="H114" s="131"/>
      <c r="I114" s="131"/>
      <c r="J114" s="296"/>
      <c r="K114" s="253"/>
      <c r="L114" s="131"/>
      <c r="M114" s="315"/>
      <c r="N114" s="131"/>
      <c r="O114" s="131"/>
      <c r="P114" s="131"/>
      <c r="Q114" s="131"/>
      <c r="AJ114" s="130"/>
      <c r="AW114" s="130"/>
      <c r="AX114" s="130"/>
    </row>
    <row r="115" spans="1:50" ht="12" customHeight="1" x14ac:dyDescent="0.25">
      <c r="A115" s="131"/>
      <c r="B115" s="268"/>
      <c r="C115" s="131"/>
      <c r="D115" s="131"/>
      <c r="E115" s="131"/>
      <c r="F115" s="131"/>
      <c r="G115" s="131"/>
      <c r="H115" s="131"/>
      <c r="I115" s="131"/>
      <c r="J115" s="296"/>
      <c r="K115" s="253"/>
      <c r="L115" s="131"/>
      <c r="M115" s="315"/>
      <c r="N115" s="131"/>
      <c r="O115" s="131"/>
      <c r="P115" s="131"/>
      <c r="Q115" s="131"/>
      <c r="AJ115" s="130"/>
      <c r="AW115" s="130"/>
      <c r="AX115" s="130"/>
    </row>
    <row r="116" spans="1:50" ht="12" customHeight="1" x14ac:dyDescent="0.25">
      <c r="A116" s="131"/>
      <c r="B116" s="268"/>
      <c r="C116" s="131"/>
      <c r="D116" s="131"/>
      <c r="E116" s="131"/>
      <c r="F116" s="131"/>
      <c r="G116" s="131"/>
      <c r="H116" s="131"/>
      <c r="I116" s="131"/>
      <c r="J116" s="296"/>
      <c r="K116" s="253"/>
      <c r="L116" s="131"/>
      <c r="M116" s="315"/>
      <c r="N116" s="131"/>
      <c r="O116" s="131"/>
      <c r="P116" s="131"/>
      <c r="Q116" s="131"/>
      <c r="AJ116" s="130"/>
      <c r="AW116" s="130"/>
      <c r="AX116" s="130"/>
    </row>
    <row r="117" spans="1:50" ht="12" customHeight="1" x14ac:dyDescent="0.25">
      <c r="A117" s="131"/>
      <c r="B117" s="268"/>
      <c r="C117" s="131"/>
      <c r="D117" s="131"/>
      <c r="E117" s="131"/>
      <c r="F117" s="131"/>
      <c r="G117" s="131"/>
      <c r="H117" s="131"/>
      <c r="I117" s="131"/>
      <c r="J117" s="296"/>
      <c r="K117" s="253"/>
      <c r="L117" s="131"/>
      <c r="M117" s="315"/>
      <c r="N117" s="131"/>
      <c r="O117" s="131"/>
      <c r="P117" s="131"/>
      <c r="Q117" s="131"/>
      <c r="AJ117" s="130"/>
      <c r="AW117" s="130"/>
      <c r="AX117" s="130"/>
    </row>
    <row r="118" spans="1:50" ht="12" customHeight="1" x14ac:dyDescent="0.25">
      <c r="A118" s="131"/>
      <c r="B118" s="268"/>
      <c r="C118" s="131"/>
      <c r="D118" s="131"/>
      <c r="E118" s="131"/>
      <c r="F118" s="131"/>
      <c r="G118" s="131"/>
      <c r="H118" s="131"/>
      <c r="I118" s="131"/>
      <c r="J118" s="296"/>
      <c r="K118" s="253"/>
      <c r="L118" s="131"/>
      <c r="M118" s="315"/>
      <c r="N118" s="131"/>
      <c r="O118" s="131"/>
      <c r="P118" s="131"/>
      <c r="Q118" s="131"/>
      <c r="AJ118" s="130"/>
      <c r="AW118" s="130"/>
      <c r="AX118" s="130"/>
    </row>
    <row r="119" spans="1:50" ht="12" customHeight="1" x14ac:dyDescent="0.25">
      <c r="A119" s="131"/>
      <c r="B119" s="268"/>
      <c r="C119" s="131"/>
      <c r="D119" s="131"/>
      <c r="E119" s="131"/>
      <c r="F119" s="131"/>
      <c r="G119" s="131"/>
      <c r="H119" s="131"/>
      <c r="I119" s="131"/>
      <c r="J119" s="296"/>
      <c r="K119" s="253"/>
      <c r="L119" s="131"/>
      <c r="M119" s="315"/>
      <c r="N119" s="131"/>
      <c r="O119" s="131"/>
      <c r="P119" s="131"/>
      <c r="Q119" s="131"/>
      <c r="AJ119" s="130"/>
      <c r="AW119" s="130"/>
      <c r="AX119" s="130"/>
    </row>
    <row r="120" spans="1:50" ht="12" customHeight="1" x14ac:dyDescent="0.25">
      <c r="A120" s="131"/>
      <c r="B120" s="268"/>
      <c r="C120" s="131"/>
      <c r="D120" s="131"/>
      <c r="E120" s="131"/>
      <c r="F120" s="131"/>
      <c r="G120" s="131"/>
      <c r="H120" s="131"/>
      <c r="I120" s="131"/>
      <c r="J120" s="296"/>
      <c r="K120" s="253"/>
      <c r="L120" s="131"/>
      <c r="M120" s="315"/>
      <c r="N120" s="131"/>
      <c r="O120" s="131"/>
      <c r="P120" s="131"/>
      <c r="Q120" s="131"/>
      <c r="AJ120" s="130"/>
      <c r="AW120" s="130"/>
      <c r="AX120" s="130"/>
    </row>
    <row r="121" spans="1:50" ht="12" customHeight="1" x14ac:dyDescent="0.25">
      <c r="A121" s="131"/>
      <c r="B121" s="268"/>
      <c r="C121" s="131"/>
      <c r="D121" s="131"/>
      <c r="E121" s="131"/>
      <c r="F121" s="131"/>
      <c r="G121" s="131"/>
      <c r="H121" s="131"/>
      <c r="I121" s="131"/>
      <c r="J121" s="296"/>
      <c r="K121" s="253"/>
      <c r="L121" s="131"/>
      <c r="M121" s="315"/>
      <c r="N121" s="131"/>
      <c r="O121" s="131"/>
      <c r="P121" s="131"/>
      <c r="Q121" s="131"/>
      <c r="AJ121" s="130"/>
      <c r="AW121" s="130"/>
      <c r="AX121" s="130"/>
    </row>
    <row r="122" spans="1:50" ht="12" customHeight="1" x14ac:dyDescent="0.25">
      <c r="A122" s="131"/>
      <c r="B122" s="268"/>
      <c r="C122" s="131"/>
      <c r="D122" s="131"/>
      <c r="E122" s="131"/>
      <c r="F122" s="131"/>
      <c r="G122" s="131"/>
      <c r="H122" s="131"/>
      <c r="I122" s="131"/>
      <c r="J122" s="296"/>
      <c r="K122" s="253"/>
      <c r="L122" s="131"/>
      <c r="M122" s="315"/>
      <c r="N122" s="131"/>
      <c r="O122" s="131"/>
      <c r="P122" s="131"/>
      <c r="Q122" s="131"/>
      <c r="AJ122" s="130"/>
      <c r="AW122" s="130"/>
      <c r="AX122" s="130"/>
    </row>
    <row r="123" spans="1:50" ht="12" customHeight="1" x14ac:dyDescent="0.25">
      <c r="A123" s="131"/>
      <c r="B123" s="268"/>
      <c r="C123" s="131"/>
      <c r="D123" s="131"/>
      <c r="E123" s="131"/>
      <c r="F123" s="131"/>
      <c r="G123" s="131"/>
      <c r="H123" s="131"/>
      <c r="I123" s="131"/>
      <c r="J123" s="296"/>
      <c r="K123" s="253"/>
      <c r="L123" s="131"/>
      <c r="M123" s="315"/>
      <c r="N123" s="131"/>
      <c r="O123" s="131"/>
      <c r="P123" s="131"/>
      <c r="Q123" s="131"/>
      <c r="AJ123" s="130"/>
      <c r="AW123" s="130"/>
      <c r="AX123" s="130"/>
    </row>
    <row r="124" spans="1:50" ht="12" customHeight="1" x14ac:dyDescent="0.25">
      <c r="A124" s="131"/>
      <c r="B124" s="268"/>
      <c r="C124" s="131"/>
      <c r="D124" s="131"/>
      <c r="E124" s="131"/>
      <c r="F124" s="131"/>
      <c r="G124" s="131"/>
      <c r="H124" s="131"/>
      <c r="I124" s="131"/>
      <c r="J124" s="296"/>
      <c r="K124" s="253"/>
      <c r="L124" s="131"/>
      <c r="M124" s="315"/>
      <c r="N124" s="131"/>
      <c r="O124" s="131"/>
      <c r="P124" s="131"/>
      <c r="Q124" s="131"/>
      <c r="AJ124" s="130"/>
      <c r="AW124" s="130"/>
      <c r="AX124" s="130"/>
    </row>
    <row r="125" spans="1:50" ht="12" customHeight="1" x14ac:dyDescent="0.25">
      <c r="A125" s="131"/>
      <c r="B125" s="268"/>
      <c r="C125" s="131"/>
      <c r="D125" s="131"/>
      <c r="E125" s="131"/>
      <c r="F125" s="131"/>
      <c r="G125" s="131"/>
      <c r="H125" s="131"/>
      <c r="I125" s="131"/>
      <c r="J125" s="296"/>
      <c r="K125" s="253"/>
      <c r="L125" s="131"/>
      <c r="M125" s="315"/>
      <c r="N125" s="131"/>
      <c r="O125" s="131"/>
      <c r="P125" s="131"/>
      <c r="Q125" s="131"/>
      <c r="AJ125" s="130"/>
      <c r="AW125" s="130"/>
      <c r="AX125" s="130"/>
    </row>
    <row r="126" spans="1:50" ht="12" customHeight="1" x14ac:dyDescent="0.25">
      <c r="A126" s="131"/>
      <c r="B126" s="268"/>
      <c r="C126" s="131"/>
      <c r="D126" s="131"/>
      <c r="E126" s="131"/>
      <c r="F126" s="131"/>
      <c r="G126" s="131"/>
      <c r="H126" s="131"/>
      <c r="I126" s="131"/>
      <c r="J126" s="296"/>
      <c r="K126" s="253"/>
      <c r="L126" s="131"/>
      <c r="M126" s="315"/>
      <c r="N126" s="131"/>
      <c r="O126" s="131"/>
      <c r="P126" s="131"/>
      <c r="Q126" s="131"/>
      <c r="AJ126" s="130"/>
      <c r="AW126" s="130"/>
      <c r="AX126" s="130"/>
    </row>
    <row r="127" spans="1:50" ht="12" customHeight="1" x14ac:dyDescent="0.25">
      <c r="A127" s="131"/>
      <c r="B127" s="268"/>
      <c r="C127" s="131"/>
      <c r="D127" s="131"/>
      <c r="E127" s="131"/>
      <c r="F127" s="131"/>
      <c r="G127" s="131"/>
      <c r="H127" s="131"/>
      <c r="I127" s="131"/>
      <c r="J127" s="296"/>
      <c r="K127" s="253"/>
      <c r="L127" s="131"/>
      <c r="M127" s="315"/>
      <c r="N127" s="131"/>
      <c r="O127" s="131"/>
      <c r="P127" s="131"/>
      <c r="Q127" s="131"/>
      <c r="AJ127" s="130"/>
      <c r="AW127" s="130"/>
      <c r="AX127" s="130"/>
    </row>
    <row r="128" spans="1:50" ht="12" customHeight="1" x14ac:dyDescent="0.25">
      <c r="A128" s="131"/>
      <c r="B128" s="268"/>
      <c r="C128" s="131"/>
      <c r="D128" s="131"/>
      <c r="E128" s="131"/>
      <c r="F128" s="131"/>
      <c r="G128" s="131"/>
      <c r="H128" s="131"/>
      <c r="I128" s="131"/>
      <c r="J128" s="296"/>
      <c r="K128" s="253"/>
      <c r="L128" s="131"/>
      <c r="M128" s="315"/>
      <c r="N128" s="131"/>
      <c r="O128" s="131"/>
      <c r="P128" s="131"/>
      <c r="Q128" s="131"/>
      <c r="AJ128" s="130"/>
      <c r="AW128" s="130"/>
      <c r="AX128" s="130"/>
    </row>
    <row r="129" spans="1:50" ht="12" customHeight="1" x14ac:dyDescent="0.25">
      <c r="A129" s="131"/>
      <c r="B129" s="268"/>
      <c r="C129" s="131"/>
      <c r="D129" s="131"/>
      <c r="E129" s="131"/>
      <c r="F129" s="131"/>
      <c r="G129" s="131"/>
      <c r="H129" s="131"/>
      <c r="I129" s="131"/>
      <c r="J129" s="296"/>
      <c r="K129" s="253"/>
      <c r="L129" s="131"/>
      <c r="M129" s="315"/>
      <c r="N129" s="131"/>
      <c r="O129" s="131"/>
      <c r="P129" s="131"/>
      <c r="Q129" s="131"/>
      <c r="AJ129" s="130"/>
      <c r="AW129" s="130"/>
      <c r="AX129" s="130"/>
    </row>
    <row r="130" spans="1:50" ht="12" customHeight="1" x14ac:dyDescent="0.25">
      <c r="A130" s="131"/>
      <c r="B130" s="268"/>
      <c r="C130" s="131"/>
      <c r="D130" s="131"/>
      <c r="E130" s="131"/>
      <c r="F130" s="131"/>
      <c r="G130" s="131"/>
      <c r="H130" s="131"/>
      <c r="I130" s="131"/>
      <c r="J130" s="296"/>
      <c r="K130" s="253"/>
      <c r="L130" s="131"/>
      <c r="M130" s="315"/>
      <c r="N130" s="131"/>
      <c r="O130" s="131"/>
      <c r="P130" s="131"/>
      <c r="Q130" s="131"/>
      <c r="AJ130" s="130"/>
      <c r="AW130" s="130"/>
      <c r="AX130" s="130"/>
    </row>
    <row r="131" spans="1:50" ht="12" customHeight="1" x14ac:dyDescent="0.25">
      <c r="A131" s="131"/>
      <c r="B131" s="268"/>
      <c r="C131" s="131"/>
      <c r="D131" s="131"/>
      <c r="E131" s="131"/>
      <c r="F131" s="131"/>
      <c r="G131" s="131"/>
      <c r="H131" s="131"/>
      <c r="I131" s="131"/>
      <c r="J131" s="296"/>
      <c r="K131" s="253"/>
      <c r="L131" s="131"/>
      <c r="M131" s="315"/>
      <c r="N131" s="131"/>
      <c r="O131" s="131"/>
      <c r="P131" s="131"/>
      <c r="Q131" s="131"/>
      <c r="AJ131" s="130"/>
      <c r="AW131" s="130"/>
      <c r="AX131" s="130"/>
    </row>
    <row r="132" spans="1:50" ht="12" customHeight="1" x14ac:dyDescent="0.25">
      <c r="A132" s="131"/>
      <c r="B132" s="268"/>
      <c r="C132" s="131"/>
      <c r="D132" s="131"/>
      <c r="E132" s="131"/>
      <c r="F132" s="131"/>
      <c r="G132" s="131"/>
      <c r="H132" s="131"/>
      <c r="I132" s="131"/>
      <c r="J132" s="296"/>
      <c r="K132" s="253"/>
      <c r="L132" s="131"/>
      <c r="M132" s="315"/>
      <c r="N132" s="131"/>
      <c r="O132" s="131"/>
      <c r="P132" s="131"/>
      <c r="Q132" s="131"/>
      <c r="AJ132" s="130"/>
      <c r="AW132" s="130"/>
      <c r="AX132" s="130"/>
    </row>
    <row r="133" spans="1:50" ht="12" customHeight="1" x14ac:dyDescent="0.25">
      <c r="A133" s="131"/>
      <c r="B133" s="268"/>
      <c r="C133" s="131"/>
      <c r="D133" s="131"/>
      <c r="E133" s="131"/>
      <c r="F133" s="131"/>
      <c r="G133" s="131"/>
      <c r="H133" s="131"/>
      <c r="I133" s="131"/>
      <c r="J133" s="296"/>
      <c r="K133" s="253"/>
      <c r="L133" s="131"/>
      <c r="M133" s="315"/>
      <c r="N133" s="131"/>
      <c r="O133" s="131"/>
      <c r="P133" s="131"/>
      <c r="Q133" s="131"/>
      <c r="AJ133" s="130"/>
      <c r="AW133" s="130"/>
      <c r="AX133" s="130"/>
    </row>
    <row r="134" spans="1:50" ht="12" customHeight="1" x14ac:dyDescent="0.25">
      <c r="A134" s="131"/>
      <c r="B134" s="268"/>
      <c r="C134" s="131"/>
      <c r="D134" s="131"/>
      <c r="E134" s="131"/>
      <c r="F134" s="131"/>
      <c r="G134" s="131"/>
      <c r="H134" s="131"/>
      <c r="I134" s="131"/>
      <c r="J134" s="296"/>
      <c r="K134" s="253"/>
      <c r="L134" s="131"/>
      <c r="M134" s="315"/>
      <c r="N134" s="131"/>
      <c r="O134" s="131"/>
      <c r="P134" s="131"/>
      <c r="Q134" s="131"/>
      <c r="AJ134" s="130"/>
      <c r="AW134" s="130"/>
      <c r="AX134" s="130"/>
    </row>
    <row r="135" spans="1:50" ht="12" customHeight="1" x14ac:dyDescent="0.25">
      <c r="A135" s="131"/>
      <c r="B135" s="268"/>
      <c r="C135" s="131"/>
      <c r="D135" s="131"/>
      <c r="E135" s="131"/>
      <c r="F135" s="131"/>
      <c r="G135" s="131"/>
      <c r="H135" s="131"/>
      <c r="I135" s="131"/>
      <c r="J135" s="296"/>
      <c r="K135" s="253"/>
      <c r="L135" s="131"/>
      <c r="M135" s="315"/>
      <c r="N135" s="131"/>
      <c r="O135" s="131"/>
      <c r="P135" s="131"/>
      <c r="Q135" s="131"/>
      <c r="AJ135" s="130"/>
      <c r="AW135" s="130"/>
      <c r="AX135" s="130"/>
    </row>
    <row r="136" spans="1:50" ht="12" customHeight="1" x14ac:dyDescent="0.25">
      <c r="A136" s="131"/>
      <c r="B136" s="268"/>
      <c r="C136" s="131"/>
      <c r="D136" s="131"/>
      <c r="E136" s="131"/>
      <c r="F136" s="131"/>
      <c r="G136" s="131"/>
      <c r="H136" s="131"/>
      <c r="I136" s="131"/>
      <c r="J136" s="296"/>
      <c r="K136" s="253"/>
      <c r="L136" s="131"/>
      <c r="M136" s="315"/>
      <c r="N136" s="131"/>
      <c r="O136" s="131"/>
      <c r="P136" s="131"/>
      <c r="Q136" s="131"/>
      <c r="AJ136" s="130"/>
      <c r="AW136" s="130"/>
      <c r="AX136" s="130"/>
    </row>
    <row r="137" spans="1:50" ht="12" customHeight="1" x14ac:dyDescent="0.25">
      <c r="A137" s="131"/>
      <c r="B137" s="268"/>
      <c r="C137" s="131"/>
      <c r="D137" s="131"/>
      <c r="E137" s="131"/>
      <c r="F137" s="131"/>
      <c r="G137" s="131"/>
      <c r="H137" s="131"/>
      <c r="I137" s="131"/>
      <c r="J137" s="296"/>
      <c r="K137" s="253"/>
      <c r="L137" s="131"/>
      <c r="M137" s="315"/>
      <c r="N137" s="131"/>
      <c r="O137" s="131"/>
      <c r="P137" s="131"/>
      <c r="Q137" s="131"/>
      <c r="AJ137" s="130"/>
      <c r="AW137" s="130"/>
      <c r="AX137" s="130"/>
    </row>
    <row r="138" spans="1:50" ht="12" customHeight="1" x14ac:dyDescent="0.25">
      <c r="A138" s="131"/>
      <c r="B138" s="268"/>
      <c r="C138" s="131"/>
      <c r="D138" s="131"/>
      <c r="E138" s="131"/>
      <c r="F138" s="131"/>
      <c r="G138" s="131"/>
      <c r="H138" s="131"/>
      <c r="I138" s="131"/>
      <c r="J138" s="296"/>
      <c r="K138" s="253"/>
      <c r="L138" s="131"/>
      <c r="M138" s="315"/>
      <c r="N138" s="131"/>
      <c r="O138" s="131"/>
      <c r="P138" s="131"/>
      <c r="Q138" s="131"/>
      <c r="AJ138" s="130"/>
      <c r="AW138" s="130"/>
      <c r="AX138" s="130"/>
    </row>
    <row r="139" spans="1:50" ht="12" customHeight="1" x14ac:dyDescent="0.25">
      <c r="A139" s="131"/>
      <c r="B139" s="268"/>
      <c r="C139" s="131"/>
      <c r="D139" s="131"/>
      <c r="E139" s="131"/>
      <c r="F139" s="131"/>
      <c r="G139" s="131"/>
      <c r="H139" s="131"/>
      <c r="I139" s="131"/>
      <c r="J139" s="296"/>
      <c r="K139" s="253"/>
      <c r="L139" s="131"/>
      <c r="M139" s="315"/>
      <c r="N139" s="131"/>
      <c r="O139" s="131"/>
      <c r="P139" s="131"/>
      <c r="Q139" s="131"/>
      <c r="AJ139" s="130"/>
      <c r="AW139" s="130"/>
      <c r="AX139" s="130"/>
    </row>
    <row r="140" spans="1:50" ht="12" customHeight="1" x14ac:dyDescent="0.25">
      <c r="A140" s="131"/>
      <c r="B140" s="268"/>
      <c r="C140" s="131"/>
      <c r="D140" s="131"/>
      <c r="E140" s="131"/>
      <c r="F140" s="131"/>
      <c r="G140" s="131"/>
      <c r="H140" s="131"/>
      <c r="I140" s="131"/>
      <c r="J140" s="296"/>
      <c r="K140" s="253"/>
      <c r="L140" s="131"/>
      <c r="M140" s="315"/>
      <c r="N140" s="131"/>
      <c r="O140" s="131"/>
      <c r="P140" s="131"/>
      <c r="Q140" s="131"/>
      <c r="AJ140" s="130"/>
      <c r="AW140" s="130"/>
      <c r="AX140" s="130"/>
    </row>
    <row r="141" spans="1:50" ht="12" customHeight="1" x14ac:dyDescent="0.25">
      <c r="A141" s="131"/>
      <c r="B141" s="268"/>
      <c r="C141" s="131"/>
      <c r="D141" s="131"/>
      <c r="E141" s="131"/>
      <c r="F141" s="131"/>
      <c r="G141" s="131"/>
      <c r="H141" s="131"/>
      <c r="I141" s="131"/>
      <c r="J141" s="296"/>
      <c r="K141" s="253"/>
      <c r="L141" s="131"/>
      <c r="M141" s="315"/>
      <c r="N141" s="131"/>
      <c r="O141" s="131"/>
      <c r="P141" s="131"/>
      <c r="Q141" s="131"/>
      <c r="AJ141" s="130"/>
      <c r="AW141" s="130"/>
      <c r="AX141" s="130"/>
    </row>
    <row r="142" spans="1:50" ht="12" customHeight="1" x14ac:dyDescent="0.25">
      <c r="A142" s="131"/>
      <c r="B142" s="268"/>
      <c r="C142" s="131"/>
      <c r="D142" s="131"/>
      <c r="E142" s="131"/>
      <c r="F142" s="131"/>
      <c r="G142" s="131"/>
      <c r="H142" s="131"/>
      <c r="I142" s="131"/>
      <c r="J142" s="296"/>
      <c r="K142" s="253"/>
      <c r="L142" s="131"/>
      <c r="M142" s="315"/>
      <c r="N142" s="131"/>
      <c r="O142" s="131"/>
      <c r="P142" s="131"/>
      <c r="Q142" s="131"/>
      <c r="AJ142" s="130"/>
      <c r="AW142" s="130"/>
      <c r="AX142" s="130"/>
    </row>
    <row r="143" spans="1:50" ht="12" customHeight="1" x14ac:dyDescent="0.25">
      <c r="A143" s="131"/>
      <c r="B143" s="268"/>
      <c r="C143" s="131"/>
      <c r="D143" s="131"/>
      <c r="E143" s="131"/>
      <c r="F143" s="131"/>
      <c r="G143" s="131"/>
      <c r="H143" s="131"/>
      <c r="I143" s="131"/>
      <c r="J143" s="296"/>
      <c r="K143" s="253"/>
      <c r="L143" s="131"/>
      <c r="M143" s="315"/>
      <c r="N143" s="131"/>
      <c r="O143" s="131"/>
      <c r="P143" s="131"/>
      <c r="Q143" s="131"/>
      <c r="AJ143" s="130"/>
      <c r="AW143" s="130"/>
      <c r="AX143" s="130"/>
    </row>
    <row r="144" spans="1:50" ht="12" customHeight="1" x14ac:dyDescent="0.25">
      <c r="A144" s="131"/>
      <c r="B144" s="268"/>
      <c r="C144" s="131"/>
      <c r="D144" s="131"/>
      <c r="E144" s="131"/>
      <c r="F144" s="131"/>
      <c r="G144" s="131"/>
      <c r="H144" s="131"/>
      <c r="I144" s="131"/>
      <c r="J144" s="296"/>
      <c r="K144" s="253"/>
      <c r="L144" s="131"/>
      <c r="M144" s="315"/>
      <c r="N144" s="131"/>
      <c r="O144" s="131"/>
      <c r="P144" s="131"/>
      <c r="Q144" s="131"/>
      <c r="AJ144" s="130"/>
      <c r="AW144" s="130"/>
      <c r="AX144" s="130"/>
    </row>
    <row r="145" spans="1:50" ht="12" customHeight="1" x14ac:dyDescent="0.25">
      <c r="A145" s="131"/>
      <c r="B145" s="268"/>
      <c r="C145" s="131"/>
      <c r="D145" s="131"/>
      <c r="E145" s="131"/>
      <c r="F145" s="131"/>
      <c r="G145" s="131"/>
      <c r="H145" s="131"/>
      <c r="I145" s="131"/>
      <c r="J145" s="296"/>
      <c r="K145" s="253"/>
      <c r="L145" s="131"/>
      <c r="M145" s="315"/>
      <c r="N145" s="131"/>
      <c r="O145" s="131"/>
      <c r="P145" s="131"/>
      <c r="Q145" s="131"/>
      <c r="AJ145" s="130"/>
      <c r="AW145" s="130"/>
      <c r="AX145" s="130"/>
    </row>
    <row r="146" spans="1:50" ht="12" customHeight="1" x14ac:dyDescent="0.25">
      <c r="A146" s="131"/>
      <c r="B146" s="268"/>
      <c r="C146" s="131"/>
      <c r="D146" s="131"/>
      <c r="E146" s="131"/>
      <c r="F146" s="131"/>
      <c r="G146" s="131"/>
      <c r="H146" s="131"/>
      <c r="I146" s="131"/>
      <c r="J146" s="296"/>
      <c r="K146" s="253"/>
      <c r="L146" s="131"/>
      <c r="M146" s="315"/>
      <c r="N146" s="131"/>
      <c r="O146" s="131"/>
      <c r="P146" s="131"/>
      <c r="Q146" s="131"/>
      <c r="AJ146" s="130"/>
      <c r="AW146" s="130"/>
      <c r="AX146" s="130"/>
    </row>
    <row r="147" spans="1:50" ht="12" customHeight="1" x14ac:dyDescent="0.25">
      <c r="A147" s="131"/>
      <c r="B147" s="268"/>
      <c r="C147" s="131"/>
      <c r="D147" s="131"/>
      <c r="E147" s="131"/>
      <c r="F147" s="131"/>
      <c r="G147" s="131"/>
      <c r="H147" s="131"/>
      <c r="I147" s="131"/>
      <c r="J147" s="296"/>
      <c r="K147" s="253"/>
      <c r="L147" s="131"/>
      <c r="M147" s="315"/>
      <c r="N147" s="131"/>
      <c r="O147" s="131"/>
      <c r="P147" s="131"/>
      <c r="Q147" s="131"/>
      <c r="AJ147" s="130"/>
      <c r="AW147" s="130"/>
      <c r="AX147" s="130"/>
    </row>
    <row r="148" spans="1:50" ht="12" customHeight="1" x14ac:dyDescent="0.25">
      <c r="A148" s="131"/>
      <c r="B148" s="268"/>
      <c r="C148" s="131"/>
      <c r="D148" s="131"/>
      <c r="E148" s="131"/>
      <c r="F148" s="131"/>
      <c r="G148" s="131"/>
      <c r="H148" s="131"/>
      <c r="I148" s="131"/>
      <c r="J148" s="296"/>
      <c r="K148" s="253"/>
      <c r="L148" s="131"/>
      <c r="M148" s="315"/>
      <c r="N148" s="131"/>
      <c r="O148" s="131"/>
      <c r="P148" s="131"/>
      <c r="Q148" s="131"/>
      <c r="AJ148" s="130"/>
      <c r="AW148" s="130"/>
      <c r="AX148" s="130"/>
    </row>
    <row r="149" spans="1:50" ht="12" customHeight="1" x14ac:dyDescent="0.25">
      <c r="A149" s="131"/>
      <c r="B149" s="268"/>
      <c r="C149" s="131"/>
      <c r="D149" s="131"/>
      <c r="E149" s="131"/>
      <c r="F149" s="131"/>
      <c r="G149" s="131"/>
      <c r="H149" s="131"/>
      <c r="I149" s="131"/>
      <c r="J149" s="296"/>
      <c r="K149" s="253"/>
      <c r="L149" s="131"/>
      <c r="M149" s="315"/>
      <c r="N149" s="131"/>
      <c r="O149" s="131"/>
      <c r="P149" s="131"/>
      <c r="Q149" s="131"/>
      <c r="AJ149" s="130"/>
      <c r="AW149" s="130"/>
      <c r="AX149" s="130"/>
    </row>
    <row r="150" spans="1:50" ht="12" customHeight="1" x14ac:dyDescent="0.25">
      <c r="A150" s="131"/>
      <c r="B150" s="268"/>
      <c r="C150" s="131"/>
      <c r="D150" s="131"/>
      <c r="E150" s="131"/>
      <c r="F150" s="131"/>
      <c r="G150" s="131"/>
      <c r="H150" s="131"/>
      <c r="I150" s="131"/>
      <c r="J150" s="296"/>
      <c r="K150" s="253"/>
      <c r="L150" s="131"/>
      <c r="M150" s="315"/>
      <c r="N150" s="131"/>
      <c r="O150" s="131"/>
      <c r="P150" s="131"/>
      <c r="Q150" s="131"/>
      <c r="AJ150" s="130"/>
      <c r="AW150" s="130"/>
      <c r="AX150" s="130"/>
    </row>
    <row r="151" spans="1:50" ht="12" customHeight="1" x14ac:dyDescent="0.25">
      <c r="A151" s="131"/>
      <c r="B151" s="268"/>
      <c r="C151" s="131"/>
      <c r="D151" s="131"/>
      <c r="E151" s="131"/>
      <c r="F151" s="131"/>
      <c r="G151" s="131"/>
      <c r="H151" s="131"/>
      <c r="I151" s="131"/>
      <c r="J151" s="296"/>
      <c r="K151" s="253"/>
      <c r="L151" s="131"/>
      <c r="M151" s="315"/>
      <c r="N151" s="131"/>
      <c r="O151" s="131"/>
      <c r="P151" s="131"/>
      <c r="Q151" s="131"/>
      <c r="AJ151" s="130"/>
      <c r="AW151" s="130"/>
      <c r="AX151" s="130"/>
    </row>
    <row r="152" spans="1:50" ht="12" customHeight="1" x14ac:dyDescent="0.25">
      <c r="A152" s="131"/>
      <c r="B152" s="268"/>
      <c r="C152" s="131"/>
      <c r="D152" s="131"/>
      <c r="E152" s="131"/>
      <c r="F152" s="131"/>
      <c r="G152" s="131"/>
      <c r="H152" s="131"/>
      <c r="I152" s="131"/>
      <c r="J152" s="296"/>
      <c r="K152" s="253"/>
      <c r="L152" s="131"/>
      <c r="M152" s="315"/>
      <c r="N152" s="131"/>
      <c r="O152" s="131"/>
      <c r="P152" s="131"/>
      <c r="Q152" s="131"/>
      <c r="AJ152" s="130"/>
      <c r="AW152" s="130"/>
      <c r="AX152" s="130"/>
    </row>
    <row r="153" spans="1:50" ht="12" customHeight="1" x14ac:dyDescent="0.25">
      <c r="A153" s="131"/>
      <c r="B153" s="268"/>
      <c r="C153" s="131"/>
      <c r="D153" s="131"/>
      <c r="E153" s="131"/>
      <c r="F153" s="131"/>
      <c r="G153" s="131"/>
      <c r="H153" s="131"/>
      <c r="I153" s="131"/>
      <c r="J153" s="296"/>
      <c r="K153" s="253"/>
      <c r="L153" s="131"/>
      <c r="M153" s="315"/>
      <c r="N153" s="131"/>
      <c r="O153" s="131"/>
      <c r="P153" s="131"/>
      <c r="Q153" s="131"/>
      <c r="AJ153" s="130"/>
      <c r="AW153" s="130"/>
      <c r="AX153" s="130"/>
    </row>
    <row r="154" spans="1:50" ht="12" customHeight="1" x14ac:dyDescent="0.25">
      <c r="A154" s="131"/>
      <c r="B154" s="268"/>
      <c r="C154" s="131"/>
      <c r="D154" s="131"/>
      <c r="E154" s="131"/>
      <c r="F154" s="131"/>
      <c r="G154" s="131"/>
      <c r="H154" s="131"/>
      <c r="I154" s="131"/>
      <c r="J154" s="296"/>
      <c r="K154" s="253"/>
      <c r="L154" s="131"/>
      <c r="M154" s="315"/>
      <c r="N154" s="131"/>
      <c r="O154" s="131"/>
      <c r="P154" s="131"/>
      <c r="Q154" s="131"/>
      <c r="AJ154" s="130"/>
      <c r="AW154" s="130"/>
      <c r="AX154" s="130"/>
    </row>
    <row r="155" spans="1:50" ht="12" customHeight="1" x14ac:dyDescent="0.25">
      <c r="A155" s="131"/>
      <c r="B155" s="268"/>
      <c r="C155" s="131"/>
      <c r="D155" s="131"/>
      <c r="E155" s="131"/>
      <c r="F155" s="131"/>
      <c r="G155" s="131"/>
      <c r="H155" s="131"/>
      <c r="I155" s="131"/>
      <c r="J155" s="296"/>
      <c r="K155" s="253"/>
      <c r="L155" s="131"/>
      <c r="M155" s="315"/>
      <c r="N155" s="131"/>
      <c r="O155" s="131"/>
      <c r="P155" s="131"/>
      <c r="Q155" s="131"/>
      <c r="AJ155" s="130"/>
      <c r="AW155" s="130"/>
      <c r="AX155" s="130"/>
    </row>
    <row r="156" spans="1:50" ht="12" customHeight="1" x14ac:dyDescent="0.25">
      <c r="A156" s="131"/>
      <c r="B156" s="268"/>
      <c r="C156" s="131"/>
      <c r="D156" s="131"/>
      <c r="E156" s="131"/>
      <c r="F156" s="131"/>
      <c r="G156" s="131"/>
      <c r="H156" s="131"/>
      <c r="I156" s="131"/>
      <c r="J156" s="296"/>
      <c r="K156" s="253"/>
      <c r="L156" s="131"/>
      <c r="M156" s="315"/>
      <c r="N156" s="131"/>
      <c r="O156" s="131"/>
      <c r="P156" s="131"/>
      <c r="Q156" s="131"/>
      <c r="AJ156" s="130"/>
      <c r="AW156" s="130"/>
      <c r="AX156" s="130"/>
    </row>
    <row r="157" spans="1:50" ht="12" customHeight="1" x14ac:dyDescent="0.25">
      <c r="A157" s="131"/>
      <c r="B157" s="268"/>
      <c r="C157" s="131"/>
      <c r="D157" s="131"/>
      <c r="E157" s="131"/>
      <c r="F157" s="131"/>
      <c r="G157" s="131"/>
      <c r="H157" s="131"/>
      <c r="I157" s="131"/>
      <c r="J157" s="296"/>
      <c r="K157" s="253"/>
      <c r="L157" s="131"/>
      <c r="M157" s="315"/>
      <c r="N157" s="131"/>
      <c r="O157" s="131"/>
      <c r="P157" s="131"/>
      <c r="Q157" s="131"/>
      <c r="AJ157" s="130"/>
      <c r="AW157" s="130"/>
      <c r="AX157" s="130"/>
    </row>
    <row r="158" spans="1:50" ht="12" customHeight="1" x14ac:dyDescent="0.25">
      <c r="A158" s="131"/>
      <c r="B158" s="268"/>
      <c r="C158" s="131"/>
      <c r="D158" s="131"/>
      <c r="E158" s="131"/>
      <c r="F158" s="131"/>
      <c r="G158" s="131"/>
      <c r="H158" s="131"/>
      <c r="I158" s="131"/>
      <c r="J158" s="296"/>
      <c r="K158" s="253"/>
      <c r="L158" s="131"/>
      <c r="M158" s="315"/>
      <c r="N158" s="131"/>
      <c r="O158" s="131"/>
      <c r="P158" s="131"/>
      <c r="Q158" s="131"/>
      <c r="AJ158" s="130"/>
      <c r="AW158" s="130"/>
      <c r="AX158" s="130"/>
    </row>
    <row r="159" spans="1:50" ht="12" customHeight="1" x14ac:dyDescent="0.25">
      <c r="A159" s="131"/>
      <c r="B159" s="268"/>
      <c r="C159" s="131"/>
      <c r="D159" s="131"/>
      <c r="E159" s="131"/>
      <c r="F159" s="131"/>
      <c r="G159" s="131"/>
      <c r="H159" s="131"/>
      <c r="I159" s="131"/>
      <c r="J159" s="296"/>
      <c r="K159" s="253"/>
      <c r="L159" s="131"/>
      <c r="M159" s="315"/>
      <c r="N159" s="131"/>
      <c r="O159" s="131"/>
      <c r="P159" s="131"/>
      <c r="Q159" s="131"/>
      <c r="AJ159" s="130"/>
      <c r="AW159" s="130"/>
      <c r="AX159" s="130"/>
    </row>
    <row r="160" spans="1:50" ht="12" customHeight="1" x14ac:dyDescent="0.25">
      <c r="A160" s="131"/>
      <c r="B160" s="268"/>
      <c r="C160" s="131"/>
      <c r="D160" s="131"/>
      <c r="E160" s="131"/>
      <c r="F160" s="131"/>
      <c r="G160" s="131"/>
      <c r="H160" s="131"/>
      <c r="I160" s="131"/>
      <c r="J160" s="296"/>
      <c r="K160" s="253"/>
      <c r="L160" s="131"/>
      <c r="M160" s="315"/>
      <c r="N160" s="131"/>
      <c r="O160" s="131"/>
      <c r="P160" s="131"/>
      <c r="Q160" s="131"/>
      <c r="AJ160" s="130"/>
      <c r="AW160" s="130"/>
      <c r="AX160" s="130"/>
    </row>
    <row r="161" spans="1:50" ht="12" customHeight="1" x14ac:dyDescent="0.25">
      <c r="A161" s="131"/>
      <c r="B161" s="268"/>
      <c r="C161" s="131"/>
      <c r="D161" s="131"/>
      <c r="E161" s="131"/>
      <c r="F161" s="131"/>
      <c r="G161" s="131"/>
      <c r="H161" s="131"/>
      <c r="I161" s="131"/>
      <c r="J161" s="296"/>
      <c r="K161" s="253"/>
      <c r="L161" s="131"/>
      <c r="M161" s="315"/>
      <c r="N161" s="131"/>
      <c r="O161" s="131"/>
      <c r="P161" s="131"/>
      <c r="Q161" s="131"/>
      <c r="AJ161" s="130"/>
      <c r="AW161" s="130"/>
      <c r="AX161" s="130"/>
    </row>
    <row r="162" spans="1:50" ht="12" customHeight="1" x14ac:dyDescent="0.25">
      <c r="A162" s="131"/>
      <c r="B162" s="268"/>
      <c r="C162" s="131"/>
      <c r="D162" s="131"/>
      <c r="E162" s="131"/>
      <c r="F162" s="131"/>
      <c r="G162" s="131"/>
      <c r="H162" s="131"/>
      <c r="I162" s="131"/>
      <c r="J162" s="296"/>
      <c r="K162" s="253"/>
      <c r="L162" s="131"/>
      <c r="M162" s="315"/>
      <c r="N162" s="131"/>
      <c r="O162" s="131"/>
      <c r="P162" s="131"/>
      <c r="Q162" s="131"/>
      <c r="AJ162" s="130"/>
      <c r="AW162" s="130"/>
      <c r="AX162" s="130"/>
    </row>
    <row r="163" spans="1:50" ht="12" customHeight="1" x14ac:dyDescent="0.25">
      <c r="A163" s="131"/>
      <c r="B163" s="268"/>
      <c r="C163" s="131"/>
      <c r="D163" s="131"/>
      <c r="E163" s="131"/>
      <c r="F163" s="131"/>
      <c r="G163" s="131"/>
      <c r="H163" s="131"/>
      <c r="I163" s="131"/>
      <c r="J163" s="296"/>
      <c r="K163" s="253"/>
      <c r="L163" s="131"/>
      <c r="M163" s="315"/>
      <c r="N163" s="131"/>
      <c r="O163" s="131"/>
      <c r="P163" s="131"/>
      <c r="Q163" s="131"/>
      <c r="AJ163" s="130"/>
      <c r="AW163" s="130"/>
      <c r="AX163" s="130"/>
    </row>
    <row r="164" spans="1:50" ht="12" customHeight="1" x14ac:dyDescent="0.25">
      <c r="A164" s="131"/>
      <c r="B164" s="268"/>
      <c r="C164" s="131"/>
      <c r="D164" s="131"/>
      <c r="E164" s="131"/>
      <c r="F164" s="131"/>
      <c r="G164" s="131"/>
      <c r="H164" s="131"/>
      <c r="I164" s="131"/>
      <c r="J164" s="296"/>
      <c r="K164" s="253"/>
      <c r="L164" s="131"/>
      <c r="M164" s="315"/>
      <c r="N164" s="131"/>
      <c r="O164" s="131"/>
      <c r="P164" s="131"/>
      <c r="Q164" s="131"/>
      <c r="AJ164" s="130"/>
      <c r="AW164" s="130"/>
      <c r="AX164" s="130"/>
    </row>
    <row r="165" spans="1:50" ht="12" customHeight="1" x14ac:dyDescent="0.25">
      <c r="A165" s="131"/>
      <c r="B165" s="268"/>
      <c r="C165" s="131"/>
      <c r="D165" s="131"/>
      <c r="E165" s="131"/>
      <c r="F165" s="131"/>
      <c r="G165" s="131"/>
      <c r="H165" s="131"/>
      <c r="I165" s="131"/>
      <c r="J165" s="296"/>
      <c r="K165" s="253"/>
      <c r="L165" s="131"/>
      <c r="M165" s="315"/>
      <c r="N165" s="131"/>
      <c r="O165" s="131"/>
      <c r="P165" s="131"/>
      <c r="Q165" s="131"/>
      <c r="AJ165" s="130"/>
      <c r="AW165" s="130"/>
      <c r="AX165" s="130"/>
    </row>
    <row r="166" spans="1:50" ht="12" customHeight="1" x14ac:dyDescent="0.25">
      <c r="A166" s="131"/>
      <c r="B166" s="268"/>
      <c r="C166" s="131"/>
      <c r="D166" s="131"/>
      <c r="E166" s="131"/>
      <c r="F166" s="131"/>
      <c r="G166" s="131"/>
      <c r="H166" s="131"/>
      <c r="I166" s="131"/>
      <c r="J166" s="296"/>
      <c r="K166" s="253"/>
      <c r="L166" s="131"/>
      <c r="M166" s="315"/>
      <c r="N166" s="131"/>
      <c r="O166" s="131"/>
      <c r="P166" s="131"/>
      <c r="Q166" s="131"/>
      <c r="AJ166" s="130"/>
      <c r="AW166" s="130"/>
      <c r="AX166" s="130"/>
    </row>
    <row r="167" spans="1:50" ht="10.5" customHeight="1" x14ac:dyDescent="0.25">
      <c r="A167" s="131"/>
      <c r="B167" s="268"/>
      <c r="C167" s="131"/>
      <c r="D167" s="131"/>
      <c r="E167" s="131"/>
      <c r="F167" s="131"/>
      <c r="G167" s="131"/>
      <c r="H167" s="131"/>
      <c r="I167" s="131"/>
      <c r="J167" s="296"/>
      <c r="K167" s="253"/>
      <c r="L167" s="131"/>
      <c r="M167" s="315"/>
      <c r="N167" s="131"/>
      <c r="O167" s="131"/>
      <c r="P167" s="131"/>
      <c r="Q167" s="131"/>
      <c r="AJ167" s="130"/>
      <c r="AW167" s="130"/>
      <c r="AX167" s="130"/>
    </row>
    <row r="168" spans="1:50" ht="12" customHeight="1" x14ac:dyDescent="0.25">
      <c r="A168" s="131"/>
      <c r="B168" s="268"/>
      <c r="C168" s="131"/>
      <c r="D168" s="131"/>
      <c r="E168" s="131"/>
      <c r="F168" s="131"/>
      <c r="G168" s="131"/>
      <c r="H168" s="131"/>
      <c r="I168" s="131"/>
      <c r="J168" s="296"/>
      <c r="K168" s="253"/>
      <c r="L168" s="131"/>
      <c r="M168" s="315"/>
      <c r="N168" s="131"/>
      <c r="O168" s="131"/>
      <c r="P168" s="131"/>
      <c r="Q168" s="131"/>
      <c r="AJ168" s="130"/>
      <c r="AW168" s="130"/>
      <c r="AX168" s="130"/>
    </row>
    <row r="169" spans="1:50" ht="12" customHeight="1" x14ac:dyDescent="0.25">
      <c r="A169" s="131"/>
      <c r="B169" s="268"/>
      <c r="C169" s="131"/>
      <c r="D169" s="131"/>
      <c r="E169" s="131"/>
      <c r="F169" s="131"/>
      <c r="G169" s="131"/>
      <c r="H169" s="131"/>
      <c r="I169" s="131"/>
      <c r="J169" s="296"/>
      <c r="K169" s="253"/>
      <c r="L169" s="131"/>
      <c r="M169" s="315"/>
      <c r="N169" s="131"/>
      <c r="O169" s="131"/>
      <c r="P169" s="131"/>
      <c r="Q169" s="131"/>
      <c r="AJ169" s="130"/>
      <c r="AW169" s="130"/>
      <c r="AX169" s="130"/>
    </row>
    <row r="170" spans="1:50" ht="12" customHeight="1" x14ac:dyDescent="0.25">
      <c r="A170" s="131"/>
      <c r="B170" s="268"/>
      <c r="C170" s="131"/>
      <c r="D170" s="131"/>
      <c r="E170" s="131"/>
      <c r="F170" s="131"/>
      <c r="G170" s="131"/>
      <c r="H170" s="131"/>
      <c r="I170" s="131"/>
      <c r="J170" s="296"/>
      <c r="K170" s="253"/>
      <c r="L170" s="131"/>
      <c r="M170" s="315"/>
      <c r="N170" s="131"/>
      <c r="O170" s="131"/>
      <c r="P170" s="131"/>
      <c r="Q170" s="131"/>
      <c r="AJ170" s="130"/>
      <c r="AW170" s="130"/>
      <c r="AX170" s="130"/>
    </row>
    <row r="171" spans="1:50" ht="12" customHeight="1" x14ac:dyDescent="0.25">
      <c r="A171" s="131"/>
      <c r="B171" s="268"/>
      <c r="C171" s="131"/>
      <c r="D171" s="131"/>
      <c r="E171" s="131"/>
      <c r="F171" s="131"/>
      <c r="G171" s="131"/>
      <c r="H171" s="131"/>
      <c r="I171" s="131"/>
      <c r="J171" s="296"/>
      <c r="K171" s="253"/>
      <c r="L171" s="131"/>
      <c r="M171" s="315"/>
      <c r="N171" s="131"/>
      <c r="O171" s="131"/>
      <c r="P171" s="131"/>
      <c r="Q171" s="131"/>
      <c r="AJ171" s="130"/>
      <c r="AW171" s="130"/>
      <c r="AX171" s="130"/>
    </row>
    <row r="172" spans="1:50" ht="12" customHeight="1" x14ac:dyDescent="0.25">
      <c r="A172" s="131"/>
      <c r="B172" s="268"/>
      <c r="C172" s="131"/>
      <c r="D172" s="131"/>
      <c r="E172" s="131"/>
      <c r="F172" s="131"/>
      <c r="G172" s="131"/>
      <c r="H172" s="131"/>
      <c r="I172" s="131"/>
      <c r="J172" s="296"/>
      <c r="K172" s="253"/>
      <c r="L172" s="131"/>
      <c r="M172" s="315"/>
      <c r="N172" s="131"/>
      <c r="O172" s="131"/>
      <c r="P172" s="131"/>
      <c r="Q172" s="131"/>
      <c r="AJ172" s="130"/>
      <c r="AW172" s="130"/>
      <c r="AX172" s="130"/>
    </row>
    <row r="173" spans="1:50" ht="12" customHeight="1" x14ac:dyDescent="0.25">
      <c r="A173" s="131"/>
      <c r="B173" s="268"/>
      <c r="C173" s="131"/>
      <c r="D173" s="131"/>
      <c r="E173" s="131"/>
      <c r="F173" s="131"/>
      <c r="G173" s="131"/>
      <c r="H173" s="131"/>
      <c r="I173" s="131"/>
      <c r="J173" s="296"/>
      <c r="K173" s="253"/>
      <c r="L173" s="131"/>
      <c r="M173" s="315"/>
      <c r="N173" s="131"/>
      <c r="O173" s="131"/>
      <c r="P173" s="131"/>
      <c r="Q173" s="131"/>
      <c r="AJ173" s="130"/>
      <c r="AW173" s="130"/>
      <c r="AX173" s="130"/>
    </row>
    <row r="174" spans="1:50" ht="12" customHeight="1" x14ac:dyDescent="0.25">
      <c r="A174" s="131"/>
      <c r="B174" s="268"/>
      <c r="C174" s="131"/>
      <c r="D174" s="131"/>
      <c r="E174" s="131"/>
      <c r="F174" s="131"/>
      <c r="G174" s="131"/>
      <c r="H174" s="131"/>
      <c r="I174" s="131"/>
      <c r="J174" s="296"/>
      <c r="K174" s="253"/>
      <c r="L174" s="131"/>
      <c r="M174" s="315"/>
      <c r="N174" s="131"/>
      <c r="O174" s="131"/>
      <c r="P174" s="131"/>
      <c r="Q174" s="131"/>
      <c r="AJ174" s="130"/>
      <c r="AW174" s="130"/>
      <c r="AX174" s="130"/>
    </row>
    <row r="175" spans="1:50" ht="12" customHeight="1" x14ac:dyDescent="0.25">
      <c r="A175" s="131"/>
      <c r="B175" s="268"/>
      <c r="C175" s="131"/>
      <c r="D175" s="131"/>
      <c r="E175" s="131"/>
      <c r="F175" s="131"/>
      <c r="G175" s="131"/>
      <c r="H175" s="131"/>
      <c r="I175" s="131"/>
      <c r="J175" s="296"/>
      <c r="K175" s="253"/>
      <c r="L175" s="131"/>
      <c r="M175" s="315"/>
      <c r="N175" s="131"/>
      <c r="O175" s="131"/>
      <c r="P175" s="131"/>
      <c r="Q175" s="131"/>
      <c r="AJ175" s="130"/>
      <c r="AW175" s="130"/>
      <c r="AX175" s="130"/>
    </row>
    <row r="176" spans="1:50" ht="12" customHeight="1" x14ac:dyDescent="0.25">
      <c r="A176" s="131"/>
      <c r="B176" s="268"/>
      <c r="C176" s="131"/>
      <c r="D176" s="131"/>
      <c r="E176" s="131"/>
      <c r="F176" s="131"/>
      <c r="G176" s="131"/>
      <c r="H176" s="131"/>
      <c r="I176" s="131"/>
      <c r="J176" s="296"/>
      <c r="K176" s="253"/>
      <c r="L176" s="131"/>
      <c r="M176" s="315"/>
      <c r="N176" s="131"/>
      <c r="O176" s="131"/>
      <c r="P176" s="131"/>
      <c r="Q176" s="131"/>
      <c r="AJ176" s="130"/>
      <c r="AW176" s="130"/>
      <c r="AX176" s="130"/>
    </row>
    <row r="177" spans="1:50" ht="12" customHeight="1" x14ac:dyDescent="0.25">
      <c r="A177" s="131"/>
      <c r="B177" s="268"/>
      <c r="C177" s="131"/>
      <c r="D177" s="131"/>
      <c r="E177" s="131"/>
      <c r="F177" s="131"/>
      <c r="G177" s="131"/>
      <c r="H177" s="131"/>
      <c r="I177" s="131"/>
      <c r="J177" s="296"/>
      <c r="K177" s="253"/>
      <c r="L177" s="131"/>
      <c r="M177" s="315"/>
      <c r="N177" s="131"/>
      <c r="O177" s="131"/>
      <c r="P177" s="131"/>
      <c r="Q177" s="131"/>
      <c r="AJ177" s="130"/>
      <c r="AW177" s="130"/>
      <c r="AX177" s="130"/>
    </row>
    <row r="178" spans="1:50" ht="12" customHeight="1" x14ac:dyDescent="0.25">
      <c r="A178" s="131"/>
      <c r="B178" s="268"/>
      <c r="C178" s="131"/>
      <c r="D178" s="131"/>
      <c r="E178" s="131"/>
      <c r="F178" s="131"/>
      <c r="G178" s="131"/>
      <c r="H178" s="131"/>
      <c r="I178" s="131"/>
      <c r="J178" s="296"/>
      <c r="K178" s="253"/>
      <c r="L178" s="131"/>
      <c r="M178" s="315"/>
      <c r="N178" s="131"/>
      <c r="O178" s="131"/>
      <c r="P178" s="131"/>
      <c r="Q178" s="131"/>
      <c r="AJ178" s="130"/>
      <c r="AW178" s="130"/>
      <c r="AX178" s="130"/>
    </row>
    <row r="179" spans="1:50" ht="12" customHeight="1" x14ac:dyDescent="0.25">
      <c r="A179" s="131"/>
      <c r="B179" s="268"/>
      <c r="C179" s="131"/>
      <c r="D179" s="131"/>
      <c r="E179" s="131"/>
      <c r="F179" s="131"/>
      <c r="G179" s="131"/>
      <c r="H179" s="131"/>
      <c r="I179" s="131"/>
      <c r="J179" s="296"/>
      <c r="K179" s="253"/>
      <c r="L179" s="131"/>
      <c r="M179" s="315"/>
      <c r="N179" s="131"/>
      <c r="O179" s="131"/>
      <c r="P179" s="131"/>
      <c r="Q179" s="131"/>
      <c r="AJ179" s="130"/>
      <c r="AW179" s="130"/>
      <c r="AX179" s="130"/>
    </row>
    <row r="180" spans="1:50" ht="12" customHeight="1" x14ac:dyDescent="0.25">
      <c r="A180" s="131"/>
      <c r="B180" s="268"/>
      <c r="C180" s="131"/>
      <c r="D180" s="131"/>
      <c r="E180" s="131"/>
      <c r="F180" s="131"/>
      <c r="G180" s="131"/>
      <c r="H180" s="131"/>
      <c r="I180" s="131"/>
      <c r="J180" s="296"/>
      <c r="K180" s="253"/>
      <c r="L180" s="131"/>
      <c r="M180" s="315"/>
      <c r="N180" s="131"/>
      <c r="O180" s="131"/>
      <c r="P180" s="131"/>
      <c r="Q180" s="131"/>
      <c r="AJ180" s="130"/>
      <c r="AW180" s="130"/>
      <c r="AX180" s="130"/>
    </row>
    <row r="181" spans="1:50" ht="12" customHeight="1" x14ac:dyDescent="0.25">
      <c r="A181" s="131"/>
      <c r="B181" s="268"/>
      <c r="C181" s="131"/>
      <c r="D181" s="131"/>
      <c r="E181" s="131"/>
      <c r="F181" s="131"/>
      <c r="G181" s="131"/>
      <c r="H181" s="131"/>
      <c r="I181" s="131"/>
      <c r="J181" s="296"/>
      <c r="K181" s="253"/>
      <c r="L181" s="131"/>
      <c r="M181" s="315"/>
      <c r="N181" s="131"/>
      <c r="O181" s="131"/>
      <c r="P181" s="131"/>
      <c r="Q181" s="131"/>
      <c r="AJ181" s="130"/>
      <c r="AW181" s="130"/>
      <c r="AX181" s="130"/>
    </row>
    <row r="182" spans="1:50" ht="12" customHeight="1" x14ac:dyDescent="0.25">
      <c r="A182" s="131"/>
      <c r="B182" s="268"/>
      <c r="C182" s="131"/>
      <c r="D182" s="131"/>
      <c r="E182" s="131"/>
      <c r="F182" s="131"/>
      <c r="G182" s="131"/>
      <c r="H182" s="131"/>
      <c r="I182" s="131"/>
      <c r="J182" s="296"/>
      <c r="K182" s="253"/>
      <c r="L182" s="131"/>
      <c r="M182" s="315"/>
      <c r="N182" s="131"/>
      <c r="O182" s="131"/>
      <c r="P182" s="131"/>
      <c r="Q182" s="131"/>
      <c r="AJ182" s="130"/>
      <c r="AW182" s="130"/>
      <c r="AX182" s="130"/>
    </row>
    <row r="183" spans="1:50" ht="12" customHeight="1" x14ac:dyDescent="0.25">
      <c r="A183" s="131"/>
      <c r="B183" s="268"/>
      <c r="C183" s="131"/>
      <c r="D183" s="131"/>
      <c r="E183" s="131"/>
      <c r="F183" s="131"/>
      <c r="G183" s="131"/>
      <c r="H183" s="131"/>
      <c r="I183" s="131"/>
      <c r="J183" s="296"/>
      <c r="K183" s="253"/>
      <c r="L183" s="131"/>
      <c r="M183" s="315"/>
      <c r="N183" s="131"/>
      <c r="O183" s="131"/>
      <c r="P183" s="131"/>
      <c r="Q183" s="131"/>
      <c r="AJ183" s="130"/>
      <c r="AW183" s="130"/>
      <c r="AX183" s="130"/>
    </row>
    <row r="184" spans="1:50" ht="12" customHeight="1" x14ac:dyDescent="0.25">
      <c r="A184" s="131"/>
      <c r="B184" s="268"/>
      <c r="C184" s="131"/>
      <c r="D184" s="131"/>
      <c r="E184" s="131"/>
      <c r="F184" s="131"/>
      <c r="G184" s="131"/>
      <c r="H184" s="131"/>
      <c r="I184" s="131"/>
      <c r="J184" s="296"/>
      <c r="K184" s="253"/>
      <c r="L184" s="131"/>
      <c r="M184" s="315"/>
      <c r="N184" s="131"/>
      <c r="O184" s="131"/>
      <c r="P184" s="131"/>
      <c r="Q184" s="131"/>
      <c r="AJ184" s="130"/>
      <c r="AW184" s="130"/>
      <c r="AX184" s="130"/>
    </row>
    <row r="185" spans="1:50" ht="12" customHeight="1" x14ac:dyDescent="0.25">
      <c r="A185" s="131"/>
      <c r="B185" s="268"/>
      <c r="C185" s="131"/>
      <c r="D185" s="131"/>
      <c r="E185" s="131"/>
      <c r="F185" s="131"/>
      <c r="G185" s="131"/>
      <c r="H185" s="131"/>
      <c r="I185" s="131"/>
      <c r="J185" s="296"/>
      <c r="K185" s="253"/>
      <c r="L185" s="131"/>
      <c r="M185" s="315"/>
      <c r="N185" s="131"/>
      <c r="O185" s="131"/>
      <c r="P185" s="131"/>
      <c r="Q185" s="131"/>
      <c r="AJ185" s="130"/>
      <c r="AW185" s="130"/>
      <c r="AX185" s="130"/>
    </row>
    <row r="186" spans="1:50" ht="12" customHeight="1" x14ac:dyDescent="0.25">
      <c r="A186" s="131"/>
      <c r="B186" s="268"/>
      <c r="C186" s="131"/>
      <c r="D186" s="131"/>
      <c r="E186" s="131"/>
      <c r="F186" s="131"/>
      <c r="G186" s="131"/>
      <c r="H186" s="131"/>
      <c r="I186" s="131"/>
      <c r="J186" s="296"/>
      <c r="K186" s="253"/>
      <c r="L186" s="131"/>
      <c r="M186" s="315"/>
      <c r="N186" s="131"/>
      <c r="O186" s="131"/>
      <c r="P186" s="131"/>
      <c r="Q186" s="131"/>
      <c r="AJ186" s="130"/>
      <c r="AW186" s="130"/>
      <c r="AX186" s="130"/>
    </row>
    <row r="187" spans="1:50" ht="12" customHeight="1" x14ac:dyDescent="0.25">
      <c r="A187" s="131"/>
      <c r="B187" s="268"/>
      <c r="C187" s="131"/>
      <c r="D187" s="131"/>
      <c r="E187" s="131"/>
      <c r="F187" s="131"/>
      <c r="G187" s="131"/>
      <c r="H187" s="131"/>
      <c r="I187" s="131"/>
      <c r="J187" s="296"/>
      <c r="K187" s="253"/>
      <c r="L187" s="131"/>
      <c r="M187" s="315"/>
      <c r="N187" s="131"/>
      <c r="O187" s="131"/>
      <c r="P187" s="131"/>
      <c r="Q187" s="131"/>
      <c r="AJ187" s="130"/>
      <c r="AW187" s="130"/>
      <c r="AX187" s="130"/>
    </row>
    <row r="188" spans="1:50" ht="12" customHeight="1" x14ac:dyDescent="0.25">
      <c r="A188" s="131"/>
      <c r="B188" s="268"/>
      <c r="C188" s="131"/>
      <c r="D188" s="131"/>
      <c r="E188" s="131"/>
      <c r="F188" s="131"/>
      <c r="G188" s="131"/>
      <c r="H188" s="131"/>
      <c r="I188" s="131"/>
      <c r="J188" s="296"/>
      <c r="K188" s="253"/>
      <c r="L188" s="131"/>
      <c r="M188" s="315"/>
      <c r="N188" s="131"/>
      <c r="O188" s="131"/>
      <c r="P188" s="131"/>
      <c r="Q188" s="131"/>
      <c r="AJ188" s="130"/>
      <c r="AW188" s="130"/>
      <c r="AX188" s="130"/>
    </row>
    <row r="189" spans="1:50" ht="12" customHeight="1" x14ac:dyDescent="0.25">
      <c r="A189" s="131"/>
      <c r="B189" s="268"/>
      <c r="C189" s="131"/>
      <c r="D189" s="131"/>
      <c r="E189" s="131"/>
      <c r="F189" s="131"/>
      <c r="G189" s="131"/>
      <c r="H189" s="131"/>
      <c r="I189" s="131"/>
      <c r="J189" s="296"/>
      <c r="K189" s="253"/>
      <c r="L189" s="131"/>
      <c r="M189" s="315"/>
      <c r="N189" s="131"/>
      <c r="O189" s="131"/>
      <c r="P189" s="131"/>
      <c r="Q189" s="131"/>
      <c r="AJ189" s="130"/>
      <c r="AW189" s="130"/>
      <c r="AX189" s="130"/>
    </row>
    <row r="190" spans="1:50" ht="12" customHeight="1" x14ac:dyDescent="0.25">
      <c r="A190" s="131"/>
      <c r="B190" s="268"/>
      <c r="C190" s="131"/>
      <c r="D190" s="131"/>
      <c r="E190" s="131"/>
      <c r="F190" s="131"/>
      <c r="G190" s="131"/>
      <c r="H190" s="131"/>
      <c r="I190" s="131"/>
      <c r="J190" s="296"/>
      <c r="K190" s="253"/>
      <c r="L190" s="131"/>
      <c r="M190" s="315"/>
      <c r="N190" s="131"/>
      <c r="O190" s="131"/>
      <c r="P190" s="131"/>
      <c r="Q190" s="131"/>
      <c r="AJ190" s="130"/>
      <c r="AW190" s="130"/>
      <c r="AX190" s="130"/>
    </row>
    <row r="191" spans="1:50" ht="12" customHeight="1" x14ac:dyDescent="0.25">
      <c r="A191" s="131"/>
      <c r="B191" s="268"/>
      <c r="C191" s="131"/>
      <c r="D191" s="131"/>
      <c r="E191" s="131"/>
      <c r="F191" s="131"/>
      <c r="G191" s="131"/>
      <c r="H191" s="131"/>
      <c r="I191" s="131"/>
      <c r="J191" s="296"/>
      <c r="K191" s="253"/>
      <c r="L191" s="131"/>
      <c r="M191" s="315"/>
      <c r="N191" s="131"/>
      <c r="O191" s="131"/>
      <c r="P191" s="131"/>
      <c r="Q191" s="131"/>
      <c r="AJ191" s="130"/>
      <c r="AW191" s="130"/>
      <c r="AX191" s="130"/>
    </row>
    <row r="192" spans="1:50" ht="12" customHeight="1" x14ac:dyDescent="0.25">
      <c r="A192" s="131"/>
      <c r="B192" s="268"/>
      <c r="C192" s="131"/>
      <c r="D192" s="131"/>
      <c r="E192" s="131"/>
      <c r="F192" s="131"/>
      <c r="G192" s="131"/>
      <c r="H192" s="131"/>
      <c r="I192" s="131"/>
      <c r="J192" s="296"/>
      <c r="K192" s="253"/>
      <c r="L192" s="131"/>
      <c r="M192" s="315"/>
      <c r="N192" s="131"/>
      <c r="O192" s="131"/>
      <c r="P192" s="131"/>
      <c r="Q192" s="131"/>
      <c r="AJ192" s="130"/>
      <c r="AW192" s="130"/>
      <c r="AX192" s="130"/>
    </row>
    <row r="193" spans="1:50" ht="12" customHeight="1" x14ac:dyDescent="0.25">
      <c r="A193" s="131"/>
      <c r="B193" s="268"/>
      <c r="C193" s="131"/>
      <c r="D193" s="131"/>
      <c r="E193" s="131"/>
      <c r="F193" s="131"/>
      <c r="G193" s="131"/>
      <c r="H193" s="131"/>
      <c r="I193" s="131"/>
      <c r="J193" s="296"/>
      <c r="K193" s="253"/>
      <c r="L193" s="131"/>
      <c r="M193" s="315"/>
      <c r="N193" s="131"/>
      <c r="O193" s="131"/>
      <c r="P193" s="131"/>
      <c r="Q193" s="131"/>
      <c r="AJ193" s="130"/>
      <c r="AW193" s="130"/>
      <c r="AX193" s="130"/>
    </row>
    <row r="194" spans="1:50" ht="12" customHeight="1" x14ac:dyDescent="0.25">
      <c r="A194" s="131"/>
      <c r="B194" s="268"/>
      <c r="C194" s="131"/>
      <c r="D194" s="131"/>
      <c r="E194" s="131"/>
      <c r="F194" s="131"/>
      <c r="G194" s="131"/>
      <c r="H194" s="131"/>
      <c r="I194" s="131"/>
      <c r="J194" s="296"/>
      <c r="K194" s="253"/>
      <c r="L194" s="131"/>
      <c r="M194" s="315"/>
      <c r="N194" s="131"/>
      <c r="O194" s="131"/>
      <c r="P194" s="131"/>
      <c r="Q194" s="131"/>
      <c r="AJ194" s="130"/>
      <c r="AW194" s="130"/>
      <c r="AX194" s="130"/>
    </row>
    <row r="195" spans="1:50" ht="12" customHeight="1" x14ac:dyDescent="0.25">
      <c r="A195" s="131"/>
      <c r="B195" s="268"/>
      <c r="C195" s="131"/>
      <c r="D195" s="131"/>
      <c r="E195" s="131"/>
      <c r="F195" s="131"/>
      <c r="G195" s="131"/>
      <c r="H195" s="131"/>
      <c r="I195" s="131"/>
      <c r="J195" s="296"/>
      <c r="K195" s="253"/>
      <c r="L195" s="131"/>
      <c r="M195" s="315"/>
      <c r="N195" s="131"/>
      <c r="O195" s="131"/>
      <c r="P195" s="131"/>
      <c r="Q195" s="131"/>
      <c r="AJ195" s="130"/>
      <c r="AW195" s="130"/>
      <c r="AX195" s="130"/>
    </row>
    <row r="196" spans="1:50" ht="12" customHeight="1" x14ac:dyDescent="0.25">
      <c r="A196" s="131"/>
      <c r="B196" s="268"/>
      <c r="C196" s="131"/>
      <c r="D196" s="131"/>
      <c r="E196" s="131"/>
      <c r="F196" s="131"/>
      <c r="G196" s="131"/>
      <c r="H196" s="131"/>
      <c r="I196" s="131"/>
      <c r="J196" s="296"/>
      <c r="K196" s="253"/>
      <c r="L196" s="131"/>
      <c r="M196" s="315"/>
      <c r="N196" s="131"/>
      <c r="O196" s="131"/>
      <c r="P196" s="131"/>
      <c r="Q196" s="131"/>
      <c r="AJ196" s="130"/>
      <c r="AW196" s="130"/>
      <c r="AX196" s="130"/>
    </row>
    <row r="197" spans="1:50" ht="12" customHeight="1" x14ac:dyDescent="0.25">
      <c r="A197" s="131"/>
      <c r="B197" s="268"/>
      <c r="C197" s="131"/>
      <c r="D197" s="131"/>
      <c r="E197" s="131"/>
      <c r="F197" s="131"/>
      <c r="G197" s="131"/>
      <c r="H197" s="131"/>
      <c r="I197" s="131"/>
      <c r="J197" s="296"/>
      <c r="K197" s="253"/>
      <c r="L197" s="131"/>
      <c r="M197" s="315"/>
      <c r="N197" s="131"/>
      <c r="O197" s="131"/>
      <c r="P197" s="131"/>
      <c r="Q197" s="131"/>
      <c r="AJ197" s="130"/>
      <c r="AW197" s="130"/>
      <c r="AX197" s="130"/>
    </row>
    <row r="198" spans="1:50" ht="12" customHeight="1" x14ac:dyDescent="0.25">
      <c r="A198" s="131"/>
      <c r="B198" s="268"/>
      <c r="C198" s="131"/>
      <c r="D198" s="131"/>
      <c r="E198" s="131"/>
      <c r="F198" s="131"/>
      <c r="G198" s="131"/>
      <c r="H198" s="131"/>
      <c r="I198" s="131"/>
      <c r="J198" s="296"/>
      <c r="K198" s="253"/>
      <c r="L198" s="131"/>
      <c r="M198" s="315"/>
      <c r="N198" s="131"/>
      <c r="O198" s="131"/>
      <c r="P198" s="131"/>
      <c r="Q198" s="131"/>
      <c r="AJ198" s="130"/>
      <c r="AW198" s="130"/>
      <c r="AX198" s="130"/>
    </row>
    <row r="199" spans="1:50" ht="12" customHeight="1" x14ac:dyDescent="0.25">
      <c r="A199" s="131"/>
      <c r="B199" s="268"/>
      <c r="C199" s="131"/>
      <c r="D199" s="131"/>
      <c r="E199" s="131"/>
      <c r="F199" s="131"/>
      <c r="G199" s="131"/>
      <c r="H199" s="131"/>
      <c r="I199" s="131"/>
      <c r="J199" s="296"/>
      <c r="K199" s="253"/>
      <c r="L199" s="131"/>
      <c r="M199" s="315"/>
      <c r="N199" s="131"/>
      <c r="O199" s="131"/>
      <c r="P199" s="131"/>
      <c r="Q199" s="131"/>
      <c r="AJ199" s="130"/>
      <c r="AW199" s="130"/>
      <c r="AX199" s="130"/>
    </row>
    <row r="200" spans="1:50" ht="12" customHeight="1" x14ac:dyDescent="0.25">
      <c r="A200" s="131"/>
      <c r="B200" s="268"/>
      <c r="C200" s="131"/>
      <c r="D200" s="131"/>
      <c r="E200" s="131"/>
      <c r="F200" s="131"/>
      <c r="G200" s="131"/>
      <c r="H200" s="131"/>
      <c r="I200" s="131"/>
      <c r="J200" s="296"/>
      <c r="K200" s="253"/>
      <c r="L200" s="131"/>
      <c r="M200" s="315"/>
      <c r="N200" s="131"/>
      <c r="O200" s="131"/>
      <c r="P200" s="131"/>
      <c r="Q200" s="131"/>
      <c r="AJ200" s="130"/>
      <c r="AW200" s="130"/>
      <c r="AX200" s="130"/>
    </row>
    <row r="201" spans="1:50" ht="12" customHeight="1" x14ac:dyDescent="0.25">
      <c r="A201" s="131"/>
      <c r="B201" s="268"/>
      <c r="C201" s="131"/>
      <c r="D201" s="131"/>
      <c r="E201" s="131"/>
      <c r="F201" s="131"/>
      <c r="G201" s="131"/>
      <c r="H201" s="131"/>
      <c r="I201" s="131"/>
      <c r="J201" s="296"/>
      <c r="K201" s="253"/>
      <c r="L201" s="131"/>
      <c r="M201" s="315"/>
      <c r="N201" s="131"/>
      <c r="O201" s="131"/>
      <c r="P201" s="131"/>
      <c r="Q201" s="131"/>
      <c r="AJ201" s="130"/>
      <c r="AW201" s="130"/>
      <c r="AX201" s="130"/>
    </row>
    <row r="202" spans="1:50" ht="12" customHeight="1" x14ac:dyDescent="0.25">
      <c r="A202" s="131"/>
      <c r="B202" s="268"/>
      <c r="C202" s="131"/>
      <c r="D202" s="131"/>
      <c r="E202" s="131"/>
      <c r="F202" s="131"/>
      <c r="G202" s="131"/>
      <c r="H202" s="131"/>
      <c r="I202" s="131"/>
      <c r="J202" s="296"/>
      <c r="K202" s="253"/>
      <c r="L202" s="131"/>
      <c r="M202" s="315"/>
      <c r="N202" s="131"/>
      <c r="O202" s="131"/>
      <c r="P202" s="131"/>
      <c r="Q202" s="131"/>
      <c r="AJ202" s="130"/>
      <c r="AW202" s="130"/>
      <c r="AX202" s="130"/>
    </row>
    <row r="203" spans="1:50" ht="12" customHeight="1" x14ac:dyDescent="0.25">
      <c r="A203" s="131"/>
      <c r="B203" s="268"/>
      <c r="C203" s="131"/>
      <c r="D203" s="131"/>
      <c r="E203" s="131"/>
      <c r="F203" s="131"/>
      <c r="G203" s="131"/>
      <c r="H203" s="131"/>
      <c r="I203" s="131"/>
      <c r="J203" s="296"/>
      <c r="K203" s="253"/>
      <c r="L203" s="131"/>
      <c r="M203" s="315"/>
      <c r="N203" s="131"/>
      <c r="O203" s="131"/>
      <c r="P203" s="131"/>
      <c r="Q203" s="131"/>
      <c r="AJ203" s="130"/>
      <c r="AW203" s="130"/>
      <c r="AX203" s="130"/>
    </row>
    <row r="204" spans="1:50" ht="12" customHeight="1" x14ac:dyDescent="0.25">
      <c r="A204" s="131"/>
      <c r="B204" s="268"/>
      <c r="C204" s="131"/>
      <c r="D204" s="131"/>
      <c r="E204" s="131"/>
      <c r="F204" s="131"/>
      <c r="G204" s="131"/>
      <c r="H204" s="131"/>
      <c r="I204" s="131"/>
      <c r="J204" s="296"/>
      <c r="K204" s="253"/>
      <c r="L204" s="131"/>
      <c r="M204" s="315"/>
      <c r="N204" s="131"/>
      <c r="O204" s="131"/>
      <c r="P204" s="131"/>
      <c r="Q204" s="131"/>
      <c r="AJ204" s="130"/>
      <c r="AW204" s="130"/>
      <c r="AX204" s="130"/>
    </row>
    <row r="205" spans="1:50" ht="12" customHeight="1" x14ac:dyDescent="0.25">
      <c r="A205" s="131"/>
      <c r="B205" s="268"/>
      <c r="C205" s="131"/>
      <c r="D205" s="131"/>
      <c r="E205" s="131"/>
      <c r="F205" s="131"/>
      <c r="G205" s="131"/>
      <c r="H205" s="131"/>
      <c r="I205" s="131"/>
      <c r="J205" s="296"/>
      <c r="K205" s="253"/>
      <c r="L205" s="131"/>
      <c r="M205" s="315"/>
      <c r="N205" s="131"/>
      <c r="O205" s="131"/>
      <c r="P205" s="131"/>
      <c r="Q205" s="131"/>
      <c r="AJ205" s="130"/>
      <c r="AW205" s="130"/>
      <c r="AX205" s="130"/>
    </row>
    <row r="206" spans="1:50" ht="12" customHeight="1" x14ac:dyDescent="0.25">
      <c r="A206" s="131"/>
      <c r="B206" s="268"/>
      <c r="C206" s="131"/>
      <c r="D206" s="131"/>
      <c r="E206" s="131"/>
      <c r="F206" s="131"/>
      <c r="G206" s="131"/>
      <c r="H206" s="131"/>
      <c r="I206" s="131"/>
      <c r="J206" s="296"/>
      <c r="K206" s="253"/>
      <c r="L206" s="131"/>
      <c r="M206" s="315"/>
      <c r="N206" s="131"/>
      <c r="O206" s="131"/>
      <c r="P206" s="131"/>
      <c r="Q206" s="131"/>
      <c r="AJ206" s="130"/>
      <c r="AW206" s="130"/>
      <c r="AX206" s="130"/>
    </row>
    <row r="207" spans="1:50" ht="12" customHeight="1" x14ac:dyDescent="0.25">
      <c r="A207" s="131"/>
      <c r="B207" s="268"/>
      <c r="C207" s="131"/>
      <c r="D207" s="131"/>
      <c r="E207" s="131"/>
      <c r="F207" s="131"/>
      <c r="G207" s="131"/>
      <c r="H207" s="131"/>
      <c r="I207" s="131"/>
      <c r="J207" s="296"/>
      <c r="K207" s="253"/>
      <c r="L207" s="131"/>
      <c r="M207" s="315"/>
      <c r="N207" s="131"/>
      <c r="O207" s="131"/>
      <c r="P207" s="131"/>
      <c r="Q207" s="131"/>
      <c r="AJ207" s="130"/>
      <c r="AW207" s="130"/>
      <c r="AX207" s="130"/>
    </row>
    <row r="208" spans="1:50" ht="12" customHeight="1" x14ac:dyDescent="0.25">
      <c r="A208" s="131"/>
      <c r="B208" s="268"/>
      <c r="C208" s="131"/>
      <c r="D208" s="131"/>
      <c r="E208" s="131"/>
      <c r="F208" s="131"/>
      <c r="G208" s="131"/>
      <c r="H208" s="131"/>
      <c r="I208" s="131"/>
      <c r="J208" s="296"/>
      <c r="K208" s="253"/>
      <c r="L208" s="131"/>
      <c r="M208" s="315"/>
      <c r="N208" s="131"/>
      <c r="O208" s="131"/>
      <c r="P208" s="131"/>
      <c r="Q208" s="131"/>
      <c r="AJ208" s="130"/>
      <c r="AW208" s="130"/>
      <c r="AX208" s="130"/>
    </row>
    <row r="209" spans="1:50" ht="12" customHeight="1" x14ac:dyDescent="0.25">
      <c r="A209" s="131"/>
      <c r="B209" s="268"/>
      <c r="C209" s="131"/>
      <c r="D209" s="131"/>
      <c r="E209" s="131"/>
      <c r="F209" s="131"/>
      <c r="G209" s="131"/>
      <c r="H209" s="131"/>
      <c r="I209" s="131"/>
      <c r="J209" s="296"/>
      <c r="K209" s="253"/>
      <c r="L209" s="131"/>
      <c r="M209" s="315"/>
      <c r="N209" s="131"/>
      <c r="O209" s="131"/>
      <c r="P209" s="131"/>
      <c r="Q209" s="131"/>
      <c r="AJ209" s="130"/>
      <c r="AW209" s="130"/>
      <c r="AX209" s="130"/>
    </row>
    <row r="210" spans="1:50" ht="12" customHeight="1" x14ac:dyDescent="0.25">
      <c r="A210" s="131"/>
      <c r="B210" s="268"/>
      <c r="C210" s="131"/>
      <c r="D210" s="131"/>
      <c r="E210" s="131"/>
      <c r="F210" s="131"/>
      <c r="G210" s="131"/>
      <c r="H210" s="131"/>
      <c r="I210" s="131"/>
      <c r="J210" s="296"/>
      <c r="K210" s="253"/>
      <c r="L210" s="131"/>
      <c r="M210" s="315"/>
      <c r="N210" s="131"/>
      <c r="O210" s="131"/>
      <c r="P210" s="131"/>
      <c r="Q210" s="131"/>
      <c r="AJ210" s="130"/>
      <c r="AW210" s="130"/>
      <c r="AX210" s="130"/>
    </row>
    <row r="211" spans="1:50" ht="12" customHeight="1" x14ac:dyDescent="0.25">
      <c r="A211" s="131"/>
      <c r="B211" s="268"/>
      <c r="C211" s="131"/>
      <c r="D211" s="131"/>
      <c r="E211" s="131"/>
      <c r="F211" s="131"/>
      <c r="G211" s="131"/>
      <c r="H211" s="131"/>
      <c r="I211" s="131"/>
      <c r="J211" s="296"/>
      <c r="K211" s="253"/>
      <c r="L211" s="131"/>
      <c r="M211" s="315"/>
      <c r="N211" s="131"/>
      <c r="O211" s="131"/>
      <c r="P211" s="131"/>
      <c r="Q211" s="131"/>
      <c r="AJ211" s="130"/>
      <c r="AW211" s="130"/>
      <c r="AX211" s="130"/>
    </row>
    <row r="212" spans="1:50" ht="12" customHeight="1" x14ac:dyDescent="0.25">
      <c r="A212" s="131"/>
      <c r="B212" s="268"/>
      <c r="C212" s="131"/>
      <c r="D212" s="131"/>
      <c r="E212" s="131"/>
      <c r="F212" s="131"/>
      <c r="G212" s="131"/>
      <c r="H212" s="131"/>
      <c r="I212" s="131"/>
      <c r="J212" s="296"/>
      <c r="K212" s="253"/>
      <c r="L212" s="131"/>
      <c r="M212" s="315"/>
      <c r="N212" s="131"/>
      <c r="O212" s="131"/>
      <c r="P212" s="131"/>
      <c r="Q212" s="131"/>
      <c r="AJ212" s="130"/>
      <c r="AW212" s="130"/>
      <c r="AX212" s="130"/>
    </row>
    <row r="213" spans="1:50" ht="12" customHeight="1" x14ac:dyDescent="0.25">
      <c r="A213" s="131"/>
      <c r="B213" s="268"/>
      <c r="C213" s="131"/>
      <c r="D213" s="131"/>
      <c r="E213" s="131"/>
      <c r="F213" s="131"/>
      <c r="G213" s="131"/>
      <c r="H213" s="131"/>
      <c r="I213" s="131"/>
      <c r="J213" s="296"/>
      <c r="K213" s="253"/>
      <c r="L213" s="131"/>
      <c r="M213" s="315"/>
      <c r="N213" s="131"/>
      <c r="O213" s="131"/>
      <c r="P213" s="131"/>
      <c r="Q213" s="131"/>
      <c r="AJ213" s="130"/>
      <c r="AW213" s="130"/>
      <c r="AX213" s="130"/>
    </row>
    <row r="214" spans="1:50" ht="12" customHeight="1" x14ac:dyDescent="0.25">
      <c r="A214" s="131"/>
      <c r="B214" s="268"/>
      <c r="C214" s="131"/>
      <c r="D214" s="131"/>
      <c r="E214" s="131"/>
      <c r="F214" s="131"/>
      <c r="G214" s="131"/>
      <c r="H214" s="131"/>
      <c r="I214" s="131"/>
      <c r="J214" s="296"/>
      <c r="K214" s="253"/>
      <c r="L214" s="131"/>
      <c r="M214" s="315"/>
      <c r="N214" s="131"/>
      <c r="O214" s="131"/>
      <c r="P214" s="131"/>
      <c r="Q214" s="131"/>
      <c r="AJ214" s="130"/>
      <c r="AW214" s="130"/>
      <c r="AX214" s="130"/>
    </row>
    <row r="215" spans="1:50" ht="12" customHeight="1" x14ac:dyDescent="0.25">
      <c r="A215" s="131"/>
      <c r="B215" s="268"/>
      <c r="C215" s="131"/>
      <c r="D215" s="131"/>
      <c r="E215" s="131"/>
      <c r="F215" s="131"/>
      <c r="G215" s="131"/>
      <c r="H215" s="131"/>
      <c r="I215" s="131"/>
      <c r="J215" s="296"/>
      <c r="K215" s="253"/>
      <c r="L215" s="131"/>
      <c r="M215" s="315"/>
      <c r="N215" s="131"/>
      <c r="O215" s="131"/>
      <c r="P215" s="131"/>
      <c r="Q215" s="131"/>
      <c r="AJ215" s="130"/>
      <c r="AW215" s="130"/>
      <c r="AX215" s="130"/>
    </row>
    <row r="216" spans="1:50" ht="12" customHeight="1" x14ac:dyDescent="0.25">
      <c r="A216" s="131"/>
      <c r="B216" s="268"/>
      <c r="C216" s="131"/>
      <c r="D216" s="131"/>
      <c r="E216" s="131"/>
      <c r="F216" s="131"/>
      <c r="G216" s="131"/>
      <c r="H216" s="131"/>
      <c r="I216" s="131"/>
      <c r="J216" s="296"/>
      <c r="K216" s="253"/>
      <c r="L216" s="131"/>
      <c r="M216" s="315"/>
      <c r="N216" s="131"/>
      <c r="O216" s="131"/>
      <c r="P216" s="131"/>
      <c r="Q216" s="131"/>
      <c r="AJ216" s="130"/>
      <c r="AW216" s="130"/>
      <c r="AX216" s="130"/>
    </row>
    <row r="217" spans="1:50" ht="12" customHeight="1" x14ac:dyDescent="0.25">
      <c r="A217" s="131"/>
      <c r="B217" s="268"/>
      <c r="C217" s="131"/>
      <c r="D217" s="131"/>
      <c r="E217" s="131"/>
      <c r="F217" s="131"/>
      <c r="G217" s="131"/>
      <c r="H217" s="131"/>
      <c r="I217" s="131"/>
      <c r="J217" s="296"/>
      <c r="K217" s="253"/>
      <c r="L217" s="131"/>
      <c r="M217" s="315"/>
      <c r="N217" s="131"/>
      <c r="O217" s="131"/>
      <c r="P217" s="131"/>
      <c r="Q217" s="131"/>
      <c r="AJ217" s="130"/>
      <c r="AW217" s="130"/>
      <c r="AX217" s="130"/>
    </row>
    <row r="218" spans="1:50" ht="12" customHeight="1" x14ac:dyDescent="0.25">
      <c r="A218" s="131"/>
      <c r="B218" s="268"/>
      <c r="C218" s="131"/>
      <c r="D218" s="131"/>
      <c r="E218" s="131"/>
      <c r="F218" s="131"/>
      <c r="G218" s="131"/>
      <c r="H218" s="131"/>
      <c r="I218" s="131"/>
      <c r="J218" s="296"/>
      <c r="K218" s="253"/>
      <c r="L218" s="131"/>
      <c r="M218" s="315"/>
      <c r="N218" s="131"/>
      <c r="O218" s="131"/>
      <c r="P218" s="131"/>
      <c r="Q218" s="131"/>
      <c r="AJ218" s="130"/>
      <c r="AW218" s="130"/>
      <c r="AX218" s="130"/>
    </row>
    <row r="219" spans="1:50" ht="13.5" customHeight="1" x14ac:dyDescent="0.25">
      <c r="A219" s="131"/>
      <c r="B219" s="268"/>
      <c r="C219" s="131"/>
      <c r="D219" s="131"/>
      <c r="E219" s="131"/>
      <c r="F219" s="131"/>
      <c r="G219" s="131"/>
      <c r="H219" s="131"/>
      <c r="I219" s="131"/>
      <c r="J219" s="296"/>
      <c r="K219" s="253"/>
      <c r="L219" s="131"/>
      <c r="M219" s="315"/>
      <c r="N219" s="131"/>
      <c r="O219" s="131"/>
      <c r="P219" s="131"/>
      <c r="Q219" s="131"/>
      <c r="AJ219" s="130"/>
      <c r="AW219" s="130"/>
      <c r="AX219" s="130"/>
    </row>
    <row r="220" spans="1:50" ht="12" customHeight="1" x14ac:dyDescent="0.25">
      <c r="A220" s="131"/>
      <c r="B220" s="268"/>
      <c r="C220" s="131"/>
      <c r="D220" s="131"/>
      <c r="E220" s="131"/>
      <c r="F220" s="131"/>
      <c r="G220" s="131"/>
      <c r="H220" s="131"/>
      <c r="I220" s="131"/>
      <c r="J220" s="296"/>
      <c r="K220" s="253"/>
      <c r="L220" s="131"/>
      <c r="M220" s="315"/>
      <c r="N220" s="131"/>
      <c r="O220" s="131"/>
      <c r="P220" s="131"/>
      <c r="Q220" s="131"/>
      <c r="AJ220" s="130"/>
      <c r="AW220" s="130"/>
      <c r="AX220" s="130"/>
    </row>
    <row r="221" spans="1:50" ht="12" customHeight="1" x14ac:dyDescent="0.25">
      <c r="A221" s="131"/>
      <c r="B221" s="268"/>
      <c r="C221" s="131"/>
      <c r="D221" s="131"/>
      <c r="E221" s="131"/>
      <c r="F221" s="131"/>
      <c r="G221" s="131"/>
      <c r="H221" s="131"/>
      <c r="I221" s="131"/>
      <c r="J221" s="296"/>
      <c r="K221" s="253"/>
      <c r="L221" s="131"/>
      <c r="M221" s="315"/>
      <c r="N221" s="131"/>
      <c r="O221" s="131"/>
      <c r="P221" s="131"/>
      <c r="Q221" s="131"/>
      <c r="AJ221" s="130"/>
      <c r="AW221" s="130"/>
      <c r="AX221" s="130"/>
    </row>
    <row r="222" spans="1:50" ht="12" customHeight="1" x14ac:dyDescent="0.25">
      <c r="A222" s="131"/>
      <c r="B222" s="268"/>
      <c r="C222" s="131"/>
      <c r="D222" s="131"/>
      <c r="E222" s="131"/>
      <c r="F222" s="131"/>
      <c r="G222" s="131"/>
      <c r="H222" s="131"/>
      <c r="I222" s="131"/>
      <c r="J222" s="296"/>
      <c r="K222" s="253"/>
      <c r="L222" s="131"/>
      <c r="M222" s="315"/>
      <c r="N222" s="131"/>
      <c r="O222" s="131"/>
      <c r="P222" s="131"/>
      <c r="Q222" s="131"/>
      <c r="AJ222" s="130"/>
      <c r="AW222" s="130"/>
      <c r="AX222" s="130"/>
    </row>
    <row r="223" spans="1:50" ht="12" customHeight="1" x14ac:dyDescent="0.25">
      <c r="A223" s="131"/>
      <c r="B223" s="268"/>
      <c r="C223" s="131"/>
      <c r="D223" s="131"/>
      <c r="E223" s="131"/>
      <c r="F223" s="131"/>
      <c r="G223" s="131"/>
      <c r="H223" s="131"/>
      <c r="I223" s="131"/>
      <c r="J223" s="296"/>
      <c r="K223" s="253"/>
      <c r="L223" s="131"/>
      <c r="M223" s="315"/>
      <c r="N223" s="131"/>
      <c r="O223" s="131"/>
      <c r="P223" s="131"/>
      <c r="Q223" s="131"/>
      <c r="AJ223" s="130"/>
      <c r="AW223" s="130"/>
      <c r="AX223" s="130"/>
    </row>
    <row r="224" spans="1:50" ht="12" customHeight="1" x14ac:dyDescent="0.25">
      <c r="A224" s="131"/>
      <c r="B224" s="268"/>
      <c r="C224" s="131"/>
      <c r="D224" s="131"/>
      <c r="E224" s="131"/>
      <c r="F224" s="131"/>
      <c r="G224" s="131"/>
      <c r="H224" s="131"/>
      <c r="I224" s="131"/>
      <c r="J224" s="296"/>
      <c r="K224" s="253"/>
      <c r="L224" s="131"/>
      <c r="M224" s="315"/>
      <c r="N224" s="131"/>
      <c r="O224" s="131"/>
      <c r="P224" s="131"/>
      <c r="Q224" s="131"/>
      <c r="AJ224" s="130"/>
      <c r="AW224" s="130"/>
      <c r="AX224" s="130"/>
    </row>
    <row r="225" spans="1:50" ht="12" customHeight="1" x14ac:dyDescent="0.25">
      <c r="A225" s="131"/>
      <c r="B225" s="268"/>
      <c r="C225" s="131"/>
      <c r="D225" s="131"/>
      <c r="E225" s="131"/>
      <c r="F225" s="131"/>
      <c r="G225" s="131"/>
      <c r="H225" s="131"/>
      <c r="I225" s="131"/>
      <c r="J225" s="296"/>
      <c r="K225" s="253"/>
      <c r="L225" s="131"/>
      <c r="M225" s="315"/>
      <c r="N225" s="131"/>
      <c r="O225" s="131"/>
      <c r="P225" s="131"/>
      <c r="Q225" s="131"/>
      <c r="AJ225" s="130"/>
      <c r="AW225" s="130"/>
      <c r="AX225" s="130"/>
    </row>
    <row r="226" spans="1:50" ht="12" customHeight="1" x14ac:dyDescent="0.25">
      <c r="A226" s="131"/>
      <c r="B226" s="268"/>
      <c r="C226" s="131"/>
      <c r="D226" s="131"/>
      <c r="E226" s="131"/>
      <c r="F226" s="131"/>
      <c r="G226" s="131"/>
      <c r="H226" s="131"/>
      <c r="I226" s="131"/>
      <c r="J226" s="296"/>
      <c r="K226" s="253"/>
      <c r="L226" s="131"/>
      <c r="M226" s="315"/>
      <c r="N226" s="131"/>
      <c r="O226" s="131"/>
      <c r="P226" s="131"/>
      <c r="Q226" s="131"/>
      <c r="AJ226" s="130"/>
      <c r="AW226" s="130"/>
      <c r="AX226" s="130"/>
    </row>
    <row r="227" spans="1:50" ht="12" customHeight="1" x14ac:dyDescent="0.25">
      <c r="A227" s="131"/>
      <c r="B227" s="268"/>
      <c r="C227" s="131"/>
      <c r="D227" s="131"/>
      <c r="E227" s="131"/>
      <c r="F227" s="131"/>
      <c r="G227" s="131"/>
      <c r="H227" s="131"/>
      <c r="I227" s="131"/>
      <c r="J227" s="296"/>
      <c r="K227" s="253"/>
      <c r="L227" s="131"/>
      <c r="M227" s="315"/>
      <c r="N227" s="131"/>
      <c r="O227" s="131"/>
      <c r="P227" s="131"/>
      <c r="Q227" s="131"/>
      <c r="AJ227" s="130"/>
      <c r="AW227" s="130"/>
      <c r="AX227" s="130"/>
    </row>
    <row r="228" spans="1:50" ht="12" customHeight="1" x14ac:dyDescent="0.25">
      <c r="A228" s="131"/>
      <c r="B228" s="268"/>
      <c r="C228" s="131"/>
      <c r="D228" s="131"/>
      <c r="E228" s="131"/>
      <c r="F228" s="131"/>
      <c r="G228" s="131"/>
      <c r="H228" s="131"/>
      <c r="I228" s="131"/>
      <c r="J228" s="296"/>
      <c r="K228" s="253"/>
      <c r="L228" s="131"/>
      <c r="M228" s="315"/>
      <c r="N228" s="131"/>
      <c r="O228" s="131"/>
      <c r="P228" s="131"/>
      <c r="Q228" s="131"/>
      <c r="AJ228" s="130"/>
      <c r="AW228" s="130"/>
      <c r="AX228" s="130"/>
    </row>
    <row r="229" spans="1:50" ht="12" customHeight="1" x14ac:dyDescent="0.25">
      <c r="A229" s="131"/>
      <c r="B229" s="268"/>
      <c r="C229" s="131"/>
      <c r="D229" s="131"/>
      <c r="E229" s="131"/>
      <c r="F229" s="131"/>
      <c r="G229" s="131"/>
      <c r="H229" s="131"/>
      <c r="I229" s="131"/>
      <c r="J229" s="296"/>
      <c r="K229" s="253"/>
      <c r="L229" s="131"/>
      <c r="M229" s="315"/>
      <c r="N229" s="131"/>
      <c r="O229" s="131"/>
      <c r="P229" s="131"/>
      <c r="Q229" s="131"/>
      <c r="AJ229" s="130"/>
      <c r="AW229" s="130"/>
      <c r="AX229" s="130"/>
    </row>
    <row r="230" spans="1:50" ht="12" customHeight="1" x14ac:dyDescent="0.25">
      <c r="A230" s="111"/>
      <c r="B230" s="268"/>
      <c r="C230" s="131"/>
      <c r="D230" s="131"/>
      <c r="E230" s="131"/>
      <c r="F230" s="131"/>
      <c r="G230" s="131"/>
      <c r="H230" s="131"/>
      <c r="I230" s="131"/>
      <c r="J230" s="296"/>
      <c r="K230" s="253"/>
      <c r="L230" s="131"/>
      <c r="M230" s="315"/>
      <c r="N230" s="131"/>
      <c r="O230" s="131"/>
      <c r="P230" s="131"/>
      <c r="Q230" s="131"/>
      <c r="AJ230" s="130"/>
      <c r="AW230" s="130"/>
      <c r="AX230" s="130"/>
    </row>
    <row r="231" spans="1:50" ht="12" customHeight="1" x14ac:dyDescent="0.25">
      <c r="A231" s="111"/>
      <c r="B231" s="268"/>
      <c r="C231" s="131"/>
      <c r="D231" s="131"/>
      <c r="E231" s="131"/>
      <c r="F231" s="131"/>
      <c r="G231" s="131"/>
      <c r="H231" s="131"/>
      <c r="I231" s="131"/>
      <c r="J231" s="296"/>
      <c r="K231" s="253"/>
      <c r="L231" s="131"/>
      <c r="M231" s="315"/>
      <c r="N231" s="131"/>
      <c r="O231" s="131"/>
      <c r="P231" s="131"/>
      <c r="Q231" s="131"/>
      <c r="AJ231" s="130"/>
      <c r="AW231" s="130"/>
      <c r="AX231" s="130"/>
    </row>
    <row r="232" spans="1:50" ht="12" customHeight="1" x14ac:dyDescent="0.25">
      <c r="A232" s="111"/>
      <c r="B232" s="268"/>
      <c r="C232" s="131"/>
      <c r="D232" s="131"/>
      <c r="E232" s="131"/>
      <c r="F232" s="131"/>
      <c r="G232" s="131"/>
      <c r="H232" s="131"/>
      <c r="I232" s="131"/>
      <c r="J232" s="296"/>
      <c r="K232" s="253"/>
      <c r="L232" s="131"/>
      <c r="M232" s="315"/>
      <c r="N232" s="131"/>
      <c r="O232" s="131"/>
      <c r="P232" s="131"/>
      <c r="Q232" s="131"/>
      <c r="AJ232" s="130"/>
      <c r="AW232" s="130"/>
      <c r="AX232" s="130"/>
    </row>
    <row r="233" spans="1:50" ht="12" customHeight="1" x14ac:dyDescent="0.25">
      <c r="A233" s="111"/>
      <c r="B233" s="111"/>
      <c r="C233" s="111"/>
      <c r="D233" s="115"/>
      <c r="E233" s="131"/>
      <c r="F233" s="131"/>
      <c r="G233" s="131"/>
      <c r="H233" s="131"/>
      <c r="I233" s="131"/>
      <c r="J233" s="296"/>
      <c r="K233" s="253"/>
      <c r="L233" s="131"/>
      <c r="M233" s="315"/>
      <c r="N233" s="131"/>
      <c r="O233" s="131"/>
      <c r="P233" s="131"/>
      <c r="Q233" s="131"/>
      <c r="AJ233" s="130"/>
      <c r="AW233" s="130"/>
      <c r="AX233" s="130"/>
    </row>
    <row r="234" spans="1:50" ht="12" customHeight="1" x14ac:dyDescent="0.25">
      <c r="A234" s="111"/>
      <c r="B234" s="111"/>
      <c r="C234" s="111"/>
      <c r="D234" s="115"/>
      <c r="E234" s="131"/>
      <c r="F234" s="131"/>
      <c r="G234" s="131"/>
      <c r="H234" s="131"/>
      <c r="I234" s="131"/>
      <c r="J234" s="296"/>
      <c r="K234" s="253"/>
      <c r="L234" s="131"/>
      <c r="M234" s="315"/>
      <c r="N234" s="131"/>
      <c r="O234" s="131"/>
      <c r="P234" s="131"/>
      <c r="Q234" s="131"/>
      <c r="AJ234" s="130"/>
      <c r="AW234" s="130"/>
      <c r="AX234" s="130"/>
    </row>
    <row r="235" spans="1:50" ht="12" customHeight="1" x14ac:dyDescent="0.25">
      <c r="A235" s="111"/>
      <c r="B235" s="111"/>
      <c r="C235" s="111"/>
      <c r="D235" s="115"/>
      <c r="E235" s="131"/>
      <c r="F235" s="131"/>
      <c r="G235" s="131"/>
      <c r="H235" s="131"/>
      <c r="I235" s="131"/>
      <c r="J235" s="131"/>
      <c r="K235" s="253"/>
      <c r="L235" s="131"/>
      <c r="M235" s="315"/>
      <c r="N235" s="131"/>
      <c r="O235" s="131"/>
      <c r="P235" s="131"/>
      <c r="Q235" s="131"/>
      <c r="AJ235" s="130"/>
      <c r="AW235" s="130"/>
      <c r="AX235" s="130"/>
    </row>
    <row r="236" spans="1:50" ht="12" customHeight="1" x14ac:dyDescent="0.25">
      <c r="A236" s="111"/>
      <c r="B236" s="111"/>
      <c r="C236" s="111"/>
      <c r="D236" s="115"/>
      <c r="E236" s="131"/>
      <c r="F236" s="131"/>
      <c r="G236" s="131"/>
      <c r="H236" s="131"/>
      <c r="I236" s="131"/>
      <c r="J236" s="131"/>
      <c r="K236" s="253"/>
      <c r="L236" s="131"/>
      <c r="M236" s="315"/>
      <c r="N236" s="131"/>
      <c r="O236" s="131"/>
      <c r="P236" s="131"/>
      <c r="Q236" s="131"/>
      <c r="AJ236" s="130"/>
      <c r="AW236" s="130"/>
      <c r="AX236" s="130"/>
    </row>
    <row r="237" spans="1:50" ht="12" customHeight="1" x14ac:dyDescent="0.25">
      <c r="A237" s="109"/>
      <c r="B237" s="111"/>
      <c r="C237" s="111"/>
      <c r="D237" s="111"/>
      <c r="E237" s="131"/>
      <c r="F237" s="217"/>
      <c r="G237" s="217"/>
      <c r="H237" s="217"/>
      <c r="I237" s="217"/>
      <c r="J237" s="131"/>
      <c r="K237" s="253"/>
      <c r="L237" s="131"/>
      <c r="M237" s="315"/>
      <c r="N237" s="131"/>
      <c r="O237" s="131"/>
      <c r="P237" s="131"/>
      <c r="Q237" s="131"/>
      <c r="AJ237" s="130"/>
      <c r="AW237" s="130"/>
      <c r="AX237" s="130"/>
    </row>
    <row r="238" spans="1:50" ht="12" customHeight="1" x14ac:dyDescent="0.25">
      <c r="A238" s="500" t="e">
        <f>(F15-#REF!)*12%</f>
        <v>#REF!</v>
      </c>
      <c r="B238" s="111"/>
      <c r="C238" s="111"/>
      <c r="D238" s="111"/>
      <c r="E238" s="131"/>
      <c r="F238" s="131"/>
      <c r="G238" s="131"/>
      <c r="H238" s="131"/>
      <c r="I238" s="131"/>
      <c r="J238" s="131"/>
      <c r="K238" s="253"/>
      <c r="L238" s="131"/>
      <c r="M238" s="315"/>
      <c r="N238" s="131"/>
      <c r="O238" s="131"/>
      <c r="P238" s="131"/>
      <c r="Q238" s="131"/>
      <c r="AJ238" s="130"/>
      <c r="AW238" s="130"/>
      <c r="AX238" s="130"/>
    </row>
    <row r="239" spans="1:50" ht="12" customHeight="1" x14ac:dyDescent="0.25">
      <c r="A239" s="501"/>
      <c r="B239" s="111"/>
      <c r="C239" s="111"/>
      <c r="D239" s="329"/>
      <c r="E239" s="330"/>
      <c r="F239" s="330"/>
      <c r="G239" s="330"/>
      <c r="H239" s="330"/>
      <c r="I239" s="331"/>
      <c r="J239" s="131"/>
      <c r="K239" s="253"/>
      <c r="L239" s="131"/>
      <c r="M239" s="315"/>
      <c r="N239" s="131"/>
      <c r="O239" s="131"/>
      <c r="P239" s="131"/>
      <c r="Q239" s="131"/>
      <c r="AJ239" s="130"/>
      <c r="AW239" s="130"/>
      <c r="AX239" s="130"/>
    </row>
    <row r="240" spans="1:50" ht="12" customHeight="1" x14ac:dyDescent="0.25">
      <c r="A240" s="109"/>
      <c r="B240" s="111"/>
      <c r="C240" s="111"/>
      <c r="D240" s="329"/>
      <c r="E240" s="330"/>
      <c r="F240" s="330"/>
      <c r="G240" s="330"/>
      <c r="H240" s="330"/>
      <c r="I240" s="304"/>
      <c r="J240" s="131"/>
      <c r="K240" s="253"/>
      <c r="L240" s="131"/>
      <c r="M240" s="315"/>
      <c r="N240" s="131"/>
      <c r="O240" s="131"/>
      <c r="P240" s="131"/>
      <c r="Q240" s="131"/>
      <c r="AJ240" s="130"/>
      <c r="AW240" s="130"/>
      <c r="AX240" s="130"/>
    </row>
    <row r="241" spans="2:50" ht="12" customHeight="1" x14ac:dyDescent="0.25">
      <c r="B241" s="500"/>
      <c r="C241" s="109"/>
      <c r="D241" s="332"/>
      <c r="E241" s="333"/>
      <c r="F241" s="334"/>
      <c r="G241" s="334"/>
      <c r="H241" s="334"/>
      <c r="I241" s="331"/>
      <c r="J241" s="131"/>
      <c r="K241" s="253"/>
      <c r="L241" s="131"/>
      <c r="M241" s="315"/>
      <c r="N241" s="131"/>
      <c r="O241" s="131"/>
      <c r="P241" s="131"/>
      <c r="Q241" s="131"/>
      <c r="AJ241" s="130"/>
      <c r="AW241" s="130"/>
      <c r="AX241" s="130"/>
    </row>
    <row r="242" spans="2:50" ht="17.25" customHeight="1" x14ac:dyDescent="0.25">
      <c r="B242" s="109"/>
      <c r="C242" s="109"/>
      <c r="D242" s="332"/>
      <c r="F242" s="334"/>
      <c r="G242" s="334"/>
      <c r="H242" s="334"/>
      <c r="I242" s="335"/>
      <c r="J242" s="131"/>
      <c r="K242" s="253"/>
      <c r="L242" s="131"/>
      <c r="M242" s="315"/>
      <c r="N242" s="131"/>
      <c r="O242" s="131"/>
      <c r="P242" s="131"/>
      <c r="Q242" s="131"/>
      <c r="AJ242" s="130"/>
      <c r="AW242" s="130"/>
      <c r="AX242" s="130"/>
    </row>
    <row r="243" spans="2:50" ht="15.75" customHeight="1" x14ac:dyDescent="0.25">
      <c r="B243" s="109"/>
      <c r="C243" s="109"/>
      <c r="D243" s="332"/>
      <c r="E243" s="333"/>
      <c r="F243" s="333"/>
      <c r="G243" s="333"/>
      <c r="H243" s="333"/>
      <c r="K243" s="253"/>
      <c r="L243" s="131"/>
      <c r="M243" s="315"/>
      <c r="N243" s="131"/>
      <c r="O243" s="131"/>
      <c r="P243" s="131"/>
      <c r="Q243" s="131"/>
      <c r="AJ243" s="130"/>
      <c r="AW243" s="130"/>
      <c r="AX243" s="130"/>
    </row>
    <row r="244" spans="2:50" ht="12.75" customHeight="1" x14ac:dyDescent="0.25">
      <c r="D244" s="336"/>
      <c r="E244" s="333"/>
      <c r="F244" s="333"/>
      <c r="G244" s="333"/>
      <c r="H244" s="333"/>
      <c r="K244" s="253"/>
      <c r="L244" s="131"/>
      <c r="M244" s="315"/>
      <c r="N244" s="131"/>
      <c r="O244" s="131"/>
      <c r="P244" s="131"/>
      <c r="Q244" s="131"/>
      <c r="AJ244" s="130"/>
      <c r="AW244" s="130"/>
      <c r="AX244" s="130"/>
    </row>
    <row r="245" spans="2:50" ht="12.75" customHeight="1" x14ac:dyDescent="0.25">
      <c r="D245" s="336"/>
      <c r="E245" s="333"/>
      <c r="F245" s="333"/>
      <c r="G245" s="333"/>
      <c r="H245" s="333"/>
      <c r="J245" s="337"/>
      <c r="K245" s="253"/>
      <c r="L245" s="131"/>
      <c r="M245" s="315"/>
      <c r="N245" s="131"/>
      <c r="O245" s="131"/>
      <c r="P245" s="131"/>
      <c r="Q245" s="131"/>
      <c r="AJ245" s="130"/>
      <c r="AW245" s="130"/>
      <c r="AX245" s="130"/>
    </row>
    <row r="246" spans="2:50" ht="12.75" customHeight="1" x14ac:dyDescent="0.25">
      <c r="D246" s="336"/>
      <c r="E246" s="333"/>
      <c r="F246" s="333"/>
      <c r="G246" s="333"/>
      <c r="H246" s="333"/>
      <c r="J246" s="331"/>
      <c r="K246" s="253"/>
      <c r="L246" s="131"/>
      <c r="M246" s="315"/>
      <c r="N246" s="131"/>
      <c r="O246" s="131"/>
      <c r="P246" s="131"/>
      <c r="Q246" s="131"/>
      <c r="AJ246" s="130"/>
      <c r="AW246" s="130"/>
      <c r="AX246" s="130"/>
    </row>
    <row r="247" spans="2:50" ht="12.75" customHeight="1" x14ac:dyDescent="0.25">
      <c r="D247" s="336"/>
      <c r="E247" s="333"/>
      <c r="F247" s="333"/>
      <c r="G247" s="333"/>
      <c r="H247" s="333"/>
      <c r="J247" s="304"/>
      <c r="K247" s="253"/>
      <c r="L247" s="131"/>
      <c r="M247" s="315"/>
      <c r="N247" s="131"/>
      <c r="O247" s="131"/>
      <c r="P247" s="131"/>
      <c r="Q247" s="131"/>
      <c r="AJ247" s="130"/>
      <c r="AW247" s="130"/>
      <c r="AX247" s="130"/>
    </row>
    <row r="248" spans="2:50" ht="12.75" customHeight="1" x14ac:dyDescent="0.25">
      <c r="D248" s="336"/>
      <c r="E248" s="333"/>
      <c r="F248" s="333"/>
      <c r="G248" s="333"/>
      <c r="H248" s="333"/>
      <c r="J248" s="331"/>
      <c r="K248" s="253"/>
      <c r="L248" s="131"/>
      <c r="M248" s="315"/>
      <c r="N248" s="131"/>
      <c r="O248" s="131"/>
      <c r="P248" s="131"/>
      <c r="Q248" s="131"/>
      <c r="AJ248" s="130"/>
      <c r="AW248" s="130"/>
      <c r="AX248" s="130"/>
    </row>
    <row r="249" spans="2:50" ht="12.75" customHeight="1" x14ac:dyDescent="0.25">
      <c r="D249" s="336"/>
      <c r="E249" s="333"/>
      <c r="F249" s="333"/>
      <c r="G249" s="333"/>
      <c r="H249" s="333"/>
      <c r="J249" s="335"/>
      <c r="K249" s="253"/>
      <c r="L249" s="131"/>
      <c r="M249" s="315"/>
      <c r="N249" s="131"/>
      <c r="O249" s="131"/>
      <c r="P249" s="131"/>
      <c r="Q249" s="131"/>
      <c r="AJ249" s="130"/>
      <c r="AW249" s="130"/>
      <c r="AX249" s="130"/>
    </row>
    <row r="250" spans="2:50" ht="12.75" customHeight="1" x14ac:dyDescent="0.25">
      <c r="D250" s="336"/>
      <c r="E250" s="333"/>
      <c r="F250" s="333"/>
      <c r="G250" s="333"/>
      <c r="H250" s="333"/>
      <c r="K250" s="253"/>
      <c r="L250" s="131"/>
      <c r="M250" s="315"/>
      <c r="N250" s="131"/>
      <c r="O250" s="131"/>
      <c r="P250" s="131"/>
      <c r="Q250" s="131"/>
      <c r="AJ250" s="130"/>
      <c r="AW250" s="130"/>
      <c r="AX250" s="130"/>
    </row>
    <row r="251" spans="2:50" ht="12.75" customHeight="1" x14ac:dyDescent="0.25">
      <c r="D251" s="336"/>
      <c r="E251" s="333"/>
      <c r="F251" s="333"/>
      <c r="G251" s="333"/>
      <c r="H251" s="333"/>
      <c r="K251" s="253"/>
      <c r="L251" s="131"/>
      <c r="M251" s="315"/>
      <c r="N251" s="131"/>
      <c r="O251" s="131"/>
      <c r="P251" s="131"/>
      <c r="Q251" s="131"/>
      <c r="AJ251" s="130"/>
      <c r="AW251" s="130"/>
      <c r="AX251" s="130"/>
    </row>
    <row r="252" spans="2:50" ht="12.75" customHeight="1" x14ac:dyDescent="0.25">
      <c r="D252" s="336"/>
      <c r="E252" s="333"/>
      <c r="F252" s="333"/>
      <c r="G252" s="333"/>
      <c r="H252" s="333"/>
      <c r="K252" s="253"/>
      <c r="L252" s="131"/>
      <c r="M252" s="315"/>
      <c r="N252" s="131"/>
      <c r="O252" s="131"/>
      <c r="P252" s="131"/>
      <c r="Q252" s="131"/>
      <c r="AJ252" s="130"/>
      <c r="AW252" s="130"/>
      <c r="AX252" s="130"/>
    </row>
    <row r="253" spans="2:50" ht="12.75" customHeight="1" x14ac:dyDescent="0.25">
      <c r="D253" s="336"/>
      <c r="E253" s="333"/>
      <c r="F253" s="333"/>
      <c r="G253" s="333"/>
      <c r="H253" s="333"/>
      <c r="K253" s="131"/>
      <c r="L253" s="131"/>
      <c r="M253" s="315"/>
      <c r="N253" s="131"/>
      <c r="O253" s="131"/>
      <c r="P253" s="131"/>
      <c r="Q253" s="131"/>
      <c r="AJ253" s="130"/>
      <c r="AW253" s="130"/>
      <c r="AX253" s="130"/>
    </row>
    <row r="254" spans="2:50" ht="12.75" customHeight="1" x14ac:dyDescent="0.25">
      <c r="D254" s="336"/>
      <c r="E254" s="333"/>
      <c r="F254" s="333"/>
      <c r="G254" s="333"/>
      <c r="H254" s="333"/>
      <c r="K254" s="131"/>
      <c r="L254" s="131"/>
      <c r="M254" s="217"/>
      <c r="N254" s="131"/>
      <c r="O254" s="131"/>
      <c r="P254" s="131"/>
      <c r="Q254" s="131"/>
      <c r="AJ254" s="130"/>
      <c r="AW254" s="130"/>
      <c r="AX254" s="130"/>
    </row>
    <row r="255" spans="2:50" ht="12.75" customHeight="1" x14ac:dyDescent="0.25">
      <c r="D255" s="336"/>
      <c r="E255" s="333"/>
      <c r="F255" s="333"/>
      <c r="G255" s="333"/>
      <c r="H255" s="333"/>
      <c r="K255" s="131"/>
      <c r="L255" s="131"/>
      <c r="M255" s="217"/>
      <c r="N255" s="131"/>
      <c r="O255" s="131"/>
      <c r="P255" s="131"/>
      <c r="Q255" s="131"/>
      <c r="AJ255" s="130"/>
      <c r="AW255" s="130"/>
      <c r="AX255" s="130"/>
    </row>
    <row r="256" spans="2:50" ht="12.75" customHeight="1" x14ac:dyDescent="0.25">
      <c r="D256" s="336"/>
      <c r="E256" s="333"/>
      <c r="F256" s="333"/>
      <c r="G256" s="333"/>
      <c r="H256" s="333"/>
      <c r="K256" s="131"/>
      <c r="L256" s="131"/>
      <c r="M256" s="217"/>
      <c r="N256" s="131"/>
      <c r="O256" s="131"/>
      <c r="P256" s="131"/>
      <c r="Q256" s="131"/>
      <c r="AJ256" s="130"/>
      <c r="AW256" s="130"/>
      <c r="AX256" s="130"/>
    </row>
    <row r="257" spans="4:50" ht="12.75" customHeight="1" x14ac:dyDescent="0.25">
      <c r="D257" s="336"/>
      <c r="E257" s="333"/>
      <c r="F257" s="333"/>
      <c r="G257" s="333"/>
      <c r="H257" s="333"/>
      <c r="K257" s="1134"/>
      <c r="L257" s="1134"/>
      <c r="M257" s="1134"/>
      <c r="N257" s="131"/>
      <c r="O257" s="131"/>
      <c r="P257" s="1134"/>
      <c r="Q257" s="1134"/>
      <c r="AJ257" s="130"/>
      <c r="AW257" s="130"/>
      <c r="AX257" s="130"/>
    </row>
    <row r="258" spans="4:50" ht="12.75" customHeight="1" x14ac:dyDescent="0.25">
      <c r="D258" s="336"/>
      <c r="E258" s="333"/>
      <c r="F258" s="333"/>
      <c r="G258" s="333"/>
      <c r="H258" s="333"/>
      <c r="K258" s="131"/>
      <c r="L258" s="1133"/>
      <c r="M258" s="1133"/>
      <c r="N258" s="131"/>
      <c r="O258" s="131"/>
      <c r="P258" s="131"/>
      <c r="Q258" s="131"/>
      <c r="AJ258" s="130"/>
      <c r="AW258" s="130"/>
      <c r="AX258" s="130"/>
    </row>
    <row r="259" spans="4:50" ht="12.75" customHeight="1" x14ac:dyDescent="0.25">
      <c r="D259" s="336"/>
      <c r="E259" s="333"/>
      <c r="F259" s="333"/>
      <c r="G259" s="333"/>
      <c r="H259" s="333"/>
      <c r="K259" s="331"/>
      <c r="L259" s="117"/>
      <c r="M259" s="131"/>
      <c r="N259" s="131"/>
      <c r="O259" s="131"/>
      <c r="P259" s="131"/>
      <c r="Q259" s="131"/>
      <c r="AJ259" s="130"/>
      <c r="AW259" s="130"/>
      <c r="AX259" s="130"/>
    </row>
    <row r="260" spans="4:50" ht="12.75" customHeight="1" x14ac:dyDescent="0.25">
      <c r="D260" s="336"/>
      <c r="E260" s="333"/>
      <c r="F260" s="333"/>
      <c r="G260" s="333"/>
      <c r="H260" s="333"/>
      <c r="K260" s="304"/>
      <c r="L260" s="117"/>
      <c r="M260" s="131"/>
      <c r="N260" s="131"/>
      <c r="O260" s="131"/>
      <c r="P260" s="131"/>
      <c r="Q260" s="131"/>
      <c r="AJ260" s="130"/>
      <c r="AW260" s="130"/>
      <c r="AX260" s="130"/>
    </row>
    <row r="261" spans="4:50" ht="12.75" customHeight="1" x14ac:dyDescent="0.25">
      <c r="D261" s="336"/>
      <c r="E261" s="333"/>
      <c r="F261" s="333"/>
      <c r="G261" s="333"/>
      <c r="H261" s="333"/>
      <c r="K261" s="331"/>
      <c r="L261" s="335"/>
      <c r="AJ261" s="130"/>
      <c r="AW261" s="130"/>
      <c r="AX261" s="130"/>
    </row>
    <row r="262" spans="4:50" ht="12.75" customHeight="1" x14ac:dyDescent="0.25">
      <c r="D262" s="336"/>
      <c r="E262" s="333"/>
      <c r="F262" s="333"/>
      <c r="G262" s="333"/>
      <c r="H262" s="333"/>
      <c r="K262" s="337"/>
      <c r="L262" s="335"/>
      <c r="AJ262" s="130"/>
      <c r="AW262" s="130"/>
      <c r="AX262" s="130"/>
    </row>
    <row r="263" spans="4:50" ht="12.75" customHeight="1" x14ac:dyDescent="0.25">
      <c r="D263" s="336"/>
      <c r="E263" s="333"/>
      <c r="F263" s="333"/>
      <c r="G263" s="333"/>
      <c r="H263" s="333"/>
      <c r="K263" s="192"/>
      <c r="L263" s="130"/>
      <c r="AJ263" s="130"/>
      <c r="AW263" s="130"/>
      <c r="AX263" s="130"/>
    </row>
    <row r="264" spans="4:50" ht="12.75" customHeight="1" x14ac:dyDescent="0.25">
      <c r="D264" s="336"/>
      <c r="E264" s="333"/>
      <c r="F264" s="333"/>
      <c r="G264" s="333"/>
      <c r="H264" s="333"/>
      <c r="K264" s="192"/>
      <c r="L264" s="130"/>
      <c r="AJ264" s="130"/>
      <c r="AW264" s="130"/>
      <c r="AX264" s="130"/>
    </row>
    <row r="265" spans="4:50" ht="12.75" customHeight="1" x14ac:dyDescent="0.25">
      <c r="D265" s="336"/>
      <c r="E265" s="333"/>
      <c r="F265" s="333"/>
      <c r="G265" s="333"/>
      <c r="H265" s="333"/>
      <c r="K265" s="192"/>
      <c r="L265" s="130"/>
      <c r="AJ265" s="130"/>
      <c r="AW265" s="130"/>
      <c r="AX265" s="130"/>
    </row>
    <row r="266" spans="4:50" ht="12.75" customHeight="1" x14ac:dyDescent="0.25">
      <c r="D266" s="336"/>
      <c r="E266" s="333"/>
      <c r="F266" s="333"/>
      <c r="G266" s="333"/>
      <c r="H266" s="333"/>
      <c r="K266" s="192"/>
      <c r="L266" s="130"/>
      <c r="AJ266" s="130"/>
      <c r="AW266" s="130"/>
      <c r="AX266" s="130"/>
    </row>
    <row r="267" spans="4:50" ht="12.75" customHeight="1" x14ac:dyDescent="0.25">
      <c r="D267" s="336"/>
      <c r="E267" s="333"/>
      <c r="F267" s="333"/>
      <c r="G267" s="333"/>
      <c r="H267" s="333"/>
      <c r="K267" s="192"/>
      <c r="L267" s="130"/>
      <c r="AJ267" s="130"/>
      <c r="AW267" s="130"/>
      <c r="AX267" s="130"/>
    </row>
    <row r="268" spans="4:50" ht="12.75" customHeight="1" x14ac:dyDescent="0.25">
      <c r="D268" s="336"/>
      <c r="E268" s="333"/>
      <c r="F268" s="333"/>
      <c r="G268" s="333"/>
      <c r="H268" s="333"/>
      <c r="K268" s="192"/>
      <c r="L268" s="130"/>
      <c r="AJ268" s="130"/>
      <c r="AW268" s="130"/>
      <c r="AX268" s="130"/>
    </row>
    <row r="269" spans="4:50" ht="12.75" customHeight="1" x14ac:dyDescent="0.25">
      <c r="D269" s="336"/>
      <c r="E269" s="333"/>
      <c r="F269" s="333"/>
      <c r="G269" s="333"/>
      <c r="H269" s="333"/>
      <c r="K269" s="192"/>
      <c r="L269" s="130"/>
      <c r="AJ269" s="130"/>
      <c r="AW269" s="130"/>
      <c r="AX269" s="130"/>
    </row>
    <row r="270" spans="4:50" ht="12.75" customHeight="1" x14ac:dyDescent="0.25">
      <c r="D270" s="336"/>
      <c r="E270" s="333"/>
      <c r="F270" s="333"/>
      <c r="G270" s="333"/>
      <c r="H270" s="333"/>
      <c r="K270" s="192"/>
      <c r="L270" s="130"/>
      <c r="AJ270" s="130"/>
      <c r="AW270" s="130"/>
      <c r="AX270" s="130"/>
    </row>
    <row r="271" spans="4:50" ht="12.75" customHeight="1" x14ac:dyDescent="0.25">
      <c r="D271" s="336"/>
      <c r="E271" s="333"/>
      <c r="F271" s="333"/>
      <c r="G271" s="333"/>
      <c r="H271" s="333"/>
      <c r="K271" s="192"/>
      <c r="L271" s="130"/>
      <c r="AJ271" s="130"/>
      <c r="AW271" s="130"/>
      <c r="AX271" s="130"/>
    </row>
    <row r="272" spans="4:50" ht="12.75" customHeight="1" x14ac:dyDescent="0.25">
      <c r="D272" s="336"/>
      <c r="E272" s="333"/>
      <c r="F272" s="333"/>
      <c r="G272" s="333"/>
      <c r="H272" s="333"/>
      <c r="K272" s="192"/>
      <c r="L272" s="130"/>
      <c r="AJ272" s="130"/>
      <c r="AW272" s="130"/>
      <c r="AX272" s="130"/>
    </row>
    <row r="273" spans="4:50" ht="12.75" customHeight="1" x14ac:dyDescent="0.25">
      <c r="D273" s="336"/>
      <c r="E273" s="333"/>
      <c r="F273" s="333"/>
      <c r="G273" s="333"/>
      <c r="H273" s="333"/>
      <c r="K273" s="192"/>
      <c r="L273" s="130"/>
      <c r="AJ273" s="130"/>
      <c r="AW273" s="130"/>
      <c r="AX273" s="130"/>
    </row>
    <row r="274" spans="4:50" ht="12.75" customHeight="1" x14ac:dyDescent="0.25">
      <c r="D274" s="336"/>
      <c r="E274" s="333"/>
      <c r="F274" s="333"/>
      <c r="G274" s="333"/>
      <c r="H274" s="333"/>
      <c r="K274" s="192"/>
      <c r="L274" s="130"/>
      <c r="AJ274" s="130"/>
      <c r="AW274" s="130"/>
      <c r="AX274" s="130"/>
    </row>
    <row r="275" spans="4:50" ht="12.75" customHeight="1" x14ac:dyDescent="0.25">
      <c r="D275" s="336"/>
      <c r="E275" s="333"/>
      <c r="F275" s="333"/>
      <c r="G275" s="333"/>
      <c r="H275" s="333"/>
      <c r="AJ275" s="130"/>
      <c r="AW275" s="130"/>
      <c r="AX275" s="130"/>
    </row>
    <row r="276" spans="4:50" ht="12.75" customHeight="1" x14ac:dyDescent="0.25">
      <c r="D276" s="336"/>
      <c r="E276" s="333"/>
      <c r="F276" s="333"/>
      <c r="G276" s="333"/>
      <c r="H276" s="333"/>
      <c r="AJ276" s="130"/>
      <c r="AW276" s="130"/>
      <c r="AX276" s="130"/>
    </row>
    <row r="277" spans="4:50" ht="12.75" customHeight="1" x14ac:dyDescent="0.25">
      <c r="D277" s="336"/>
      <c r="E277" s="333"/>
      <c r="F277" s="333"/>
      <c r="G277" s="333"/>
      <c r="H277" s="333"/>
      <c r="AJ277" s="130"/>
      <c r="AW277" s="130"/>
      <c r="AX277" s="130"/>
    </row>
    <row r="278" spans="4:50" ht="12.75" customHeight="1" x14ac:dyDescent="0.25">
      <c r="D278" s="336"/>
      <c r="E278" s="333"/>
      <c r="F278" s="333"/>
      <c r="G278" s="333"/>
      <c r="H278" s="333"/>
      <c r="AJ278" s="130"/>
      <c r="AW278" s="130"/>
      <c r="AX278" s="130"/>
    </row>
    <row r="279" spans="4:50" ht="12.75" customHeight="1" x14ac:dyDescent="0.25">
      <c r="D279" s="336"/>
      <c r="E279" s="333"/>
      <c r="F279" s="333"/>
      <c r="G279" s="333"/>
      <c r="H279" s="333"/>
      <c r="AJ279" s="130"/>
      <c r="AW279" s="130"/>
      <c r="AX279" s="130"/>
    </row>
    <row r="280" spans="4:50" ht="12.75" customHeight="1" x14ac:dyDescent="0.25">
      <c r="D280" s="336"/>
      <c r="E280" s="333"/>
      <c r="F280" s="333"/>
      <c r="G280" s="333"/>
      <c r="H280" s="333"/>
      <c r="AJ280" s="130"/>
      <c r="AW280" s="130"/>
      <c r="AX280" s="130"/>
    </row>
    <row r="281" spans="4:50" ht="12.75" customHeight="1" x14ac:dyDescent="0.25">
      <c r="D281" s="336"/>
      <c r="E281" s="333"/>
      <c r="F281" s="333"/>
      <c r="G281" s="333"/>
      <c r="H281" s="333"/>
      <c r="AJ281" s="130"/>
      <c r="AW281" s="130"/>
      <c r="AX281" s="130"/>
    </row>
    <row r="282" spans="4:50" ht="12.75" customHeight="1" x14ac:dyDescent="0.25">
      <c r="D282" s="336"/>
      <c r="E282" s="333"/>
      <c r="F282" s="333"/>
      <c r="G282" s="333"/>
      <c r="H282" s="333"/>
      <c r="AJ282" s="130"/>
      <c r="AW282" s="130"/>
      <c r="AX282" s="130"/>
    </row>
    <row r="283" spans="4:50" ht="12.75" customHeight="1" x14ac:dyDescent="0.25">
      <c r="D283" s="336"/>
      <c r="E283" s="333"/>
      <c r="F283" s="333"/>
      <c r="G283" s="333"/>
      <c r="H283" s="333"/>
      <c r="AJ283" s="130"/>
      <c r="AW283" s="130"/>
      <c r="AX283" s="130"/>
    </row>
    <row r="284" spans="4:50" ht="12.75" customHeight="1" x14ac:dyDescent="0.25">
      <c r="D284" s="336"/>
      <c r="E284" s="333"/>
      <c r="F284" s="333"/>
      <c r="G284" s="333"/>
      <c r="H284" s="333"/>
      <c r="AJ284" s="130"/>
      <c r="AW284" s="130"/>
      <c r="AX284" s="130"/>
    </row>
    <row r="285" spans="4:50" ht="12.75" customHeight="1" x14ac:dyDescent="0.25">
      <c r="D285" s="336"/>
      <c r="E285" s="333"/>
      <c r="F285" s="333"/>
      <c r="G285" s="333"/>
      <c r="H285" s="333"/>
      <c r="AJ285" s="130"/>
      <c r="AW285" s="130"/>
      <c r="AX285" s="130"/>
    </row>
    <row r="286" spans="4:50" ht="12.75" customHeight="1" x14ac:dyDescent="0.25">
      <c r="D286" s="336"/>
      <c r="E286" s="333"/>
      <c r="F286" s="333"/>
      <c r="G286" s="333"/>
      <c r="H286" s="333"/>
      <c r="AJ286" s="130"/>
      <c r="AW286" s="130"/>
      <c r="AX286" s="130"/>
    </row>
    <row r="287" spans="4:50" ht="12.75" customHeight="1" x14ac:dyDescent="0.25">
      <c r="D287" s="336"/>
      <c r="E287" s="333"/>
      <c r="F287" s="333"/>
      <c r="G287" s="333"/>
      <c r="H287" s="333"/>
      <c r="AJ287" s="130"/>
      <c r="AW287" s="130"/>
      <c r="AX287" s="130"/>
    </row>
    <row r="288" spans="4:50" ht="12.75" customHeight="1" x14ac:dyDescent="0.25">
      <c r="D288" s="336"/>
      <c r="E288" s="333"/>
      <c r="F288" s="333"/>
      <c r="G288" s="333"/>
      <c r="H288" s="333"/>
      <c r="AJ288" s="130"/>
      <c r="AW288" s="130"/>
      <c r="AX288" s="130"/>
    </row>
    <row r="289" spans="4:50" ht="12.75" customHeight="1" x14ac:dyDescent="0.25">
      <c r="D289" s="336"/>
      <c r="E289" s="333"/>
      <c r="F289" s="333"/>
      <c r="G289" s="333"/>
      <c r="H289" s="333"/>
      <c r="AJ289" s="130"/>
      <c r="AW289" s="130"/>
      <c r="AX289" s="130"/>
    </row>
    <row r="290" spans="4:50" ht="12.75" customHeight="1" x14ac:dyDescent="0.25">
      <c r="D290" s="336"/>
      <c r="E290" s="333"/>
      <c r="F290" s="333"/>
      <c r="G290" s="333"/>
      <c r="H290" s="333"/>
      <c r="AJ290" s="130"/>
      <c r="AW290" s="130"/>
      <c r="AX290" s="130"/>
    </row>
    <row r="291" spans="4:50" ht="12.75" customHeight="1" x14ac:dyDescent="0.25">
      <c r="D291" s="336"/>
      <c r="E291" s="333"/>
      <c r="F291" s="333"/>
      <c r="G291" s="333"/>
      <c r="H291" s="333"/>
      <c r="AJ291" s="130"/>
      <c r="AW291" s="130"/>
      <c r="AX291" s="130"/>
    </row>
    <row r="292" spans="4:50" ht="12.75" customHeight="1" x14ac:dyDescent="0.25">
      <c r="D292" s="336"/>
      <c r="E292" s="333"/>
      <c r="F292" s="333"/>
      <c r="G292" s="333"/>
      <c r="H292" s="333"/>
      <c r="AJ292" s="130"/>
      <c r="AW292" s="130"/>
      <c r="AX292" s="130"/>
    </row>
    <row r="293" spans="4:50" ht="12.75" customHeight="1" x14ac:dyDescent="0.25">
      <c r="D293" s="336"/>
      <c r="E293" s="333"/>
      <c r="F293" s="333"/>
      <c r="G293" s="333"/>
      <c r="H293" s="333"/>
      <c r="AJ293" s="130"/>
      <c r="AW293" s="130"/>
      <c r="AX293" s="130"/>
    </row>
    <row r="294" spans="4:50" ht="12.75" customHeight="1" x14ac:dyDescent="0.25">
      <c r="D294" s="336"/>
      <c r="E294" s="333"/>
      <c r="F294" s="333"/>
      <c r="G294" s="333"/>
      <c r="H294" s="333"/>
      <c r="AJ294" s="130"/>
      <c r="AW294" s="130"/>
      <c r="AX294" s="130"/>
    </row>
    <row r="295" spans="4:50" ht="12.75" customHeight="1" x14ac:dyDescent="0.25">
      <c r="D295" s="336"/>
      <c r="E295" s="333"/>
      <c r="F295" s="333"/>
      <c r="G295" s="333"/>
      <c r="H295" s="333"/>
      <c r="AJ295" s="130"/>
      <c r="AW295" s="130"/>
      <c r="AX295" s="130"/>
    </row>
    <row r="296" spans="4:50" ht="12.75" customHeight="1" x14ac:dyDescent="0.25">
      <c r="D296" s="336"/>
      <c r="E296" s="333"/>
      <c r="F296" s="333"/>
      <c r="G296" s="333"/>
      <c r="H296" s="333"/>
      <c r="AJ296" s="130"/>
      <c r="AW296" s="130"/>
      <c r="AX296" s="130"/>
    </row>
    <row r="297" spans="4:50" ht="12.75" customHeight="1" x14ac:dyDescent="0.25">
      <c r="D297" s="336"/>
      <c r="E297" s="333"/>
      <c r="F297" s="333"/>
      <c r="G297" s="333"/>
      <c r="H297" s="333"/>
      <c r="AJ297" s="130"/>
      <c r="AW297" s="130"/>
      <c r="AX297" s="130"/>
    </row>
    <row r="298" spans="4:50" ht="12.75" customHeight="1" x14ac:dyDescent="0.25">
      <c r="D298" s="336"/>
      <c r="E298" s="333"/>
      <c r="F298" s="333"/>
      <c r="G298" s="333"/>
      <c r="H298" s="333"/>
      <c r="AJ298" s="130"/>
      <c r="AW298" s="130"/>
      <c r="AX298" s="130"/>
    </row>
    <row r="299" spans="4:50" ht="12.75" customHeight="1" x14ac:dyDescent="0.25">
      <c r="D299" s="336"/>
      <c r="E299" s="333"/>
      <c r="F299" s="333"/>
      <c r="G299" s="333"/>
      <c r="H299" s="333"/>
      <c r="AJ299" s="130"/>
      <c r="AW299" s="130"/>
      <c r="AX299" s="130"/>
    </row>
    <row r="300" spans="4:50" ht="12.75" customHeight="1" x14ac:dyDescent="0.25">
      <c r="D300" s="336"/>
      <c r="E300" s="333"/>
      <c r="F300" s="333"/>
      <c r="G300" s="333"/>
      <c r="H300" s="333"/>
      <c r="AJ300" s="130"/>
      <c r="AW300" s="130"/>
      <c r="AX300" s="130"/>
    </row>
    <row r="301" spans="4:50" ht="12.75" customHeight="1" x14ac:dyDescent="0.25">
      <c r="D301" s="336"/>
      <c r="E301" s="333"/>
      <c r="F301" s="333"/>
      <c r="G301" s="333"/>
      <c r="H301" s="333"/>
      <c r="AJ301" s="130"/>
      <c r="AW301" s="130"/>
      <c r="AX301" s="130"/>
    </row>
    <row r="302" spans="4:50" ht="12.75" customHeight="1" x14ac:dyDescent="0.25">
      <c r="D302" s="336"/>
      <c r="E302" s="333"/>
      <c r="F302" s="333"/>
      <c r="G302" s="333"/>
      <c r="H302" s="333"/>
      <c r="AJ302" s="130"/>
      <c r="AW302" s="130"/>
      <c r="AX302" s="130"/>
    </row>
    <row r="303" spans="4:50" ht="12.75" customHeight="1" x14ac:dyDescent="0.25">
      <c r="D303" s="336"/>
      <c r="E303" s="333"/>
      <c r="F303" s="333"/>
      <c r="G303" s="333"/>
      <c r="H303" s="333"/>
      <c r="AJ303" s="130"/>
      <c r="AW303" s="130"/>
      <c r="AX303" s="130"/>
    </row>
    <row r="304" spans="4:50" ht="12.75" customHeight="1" x14ac:dyDescent="0.25">
      <c r="D304" s="336"/>
      <c r="E304" s="333"/>
      <c r="F304" s="333"/>
      <c r="G304" s="333"/>
      <c r="H304" s="333"/>
      <c r="AJ304" s="130"/>
      <c r="AW304" s="130"/>
      <c r="AX304" s="130"/>
    </row>
    <row r="305" spans="4:50" ht="12.75" customHeight="1" x14ac:dyDescent="0.25">
      <c r="D305" s="336"/>
      <c r="E305" s="333"/>
      <c r="F305" s="333"/>
      <c r="G305" s="333"/>
      <c r="H305" s="333"/>
      <c r="AJ305" s="130"/>
      <c r="AW305" s="130"/>
      <c r="AX305" s="130"/>
    </row>
    <row r="306" spans="4:50" ht="12.75" customHeight="1" x14ac:dyDescent="0.25">
      <c r="D306" s="336"/>
      <c r="E306" s="333"/>
      <c r="F306" s="333"/>
      <c r="G306" s="333"/>
      <c r="H306" s="333"/>
      <c r="AJ306" s="130"/>
      <c r="AW306" s="130"/>
      <c r="AX306" s="130"/>
    </row>
    <row r="307" spans="4:50" ht="12.75" customHeight="1" x14ac:dyDescent="0.25">
      <c r="D307" s="336"/>
      <c r="E307" s="333"/>
      <c r="F307" s="333"/>
      <c r="G307" s="333"/>
      <c r="H307" s="333"/>
      <c r="AJ307" s="130"/>
      <c r="AW307" s="130"/>
      <c r="AX307" s="130"/>
    </row>
    <row r="308" spans="4:50" ht="12.75" customHeight="1" x14ac:dyDescent="0.25">
      <c r="D308" s="336"/>
      <c r="E308" s="333"/>
      <c r="F308" s="333"/>
      <c r="G308" s="333"/>
      <c r="H308" s="333"/>
      <c r="AJ308" s="130"/>
      <c r="AW308" s="130"/>
      <c r="AX308" s="130"/>
    </row>
    <row r="309" spans="4:50" ht="12.75" customHeight="1" x14ac:dyDescent="0.25">
      <c r="D309" s="336"/>
      <c r="E309" s="333"/>
      <c r="F309" s="333"/>
      <c r="G309" s="333"/>
      <c r="H309" s="333"/>
      <c r="AJ309" s="130"/>
      <c r="AW309" s="130"/>
      <c r="AX309" s="130"/>
    </row>
    <row r="310" spans="4:50" ht="12.75" customHeight="1" x14ac:dyDescent="0.25">
      <c r="D310" s="336"/>
      <c r="E310" s="333"/>
      <c r="F310" s="333"/>
      <c r="G310" s="333"/>
      <c r="H310" s="333"/>
      <c r="AJ310" s="130"/>
      <c r="AW310" s="130"/>
      <c r="AX310" s="130"/>
    </row>
    <row r="311" spans="4:50" ht="12.75" customHeight="1" x14ac:dyDescent="0.25">
      <c r="D311" s="336"/>
      <c r="E311" s="333"/>
      <c r="F311" s="333"/>
      <c r="G311" s="333"/>
      <c r="H311" s="333"/>
      <c r="AJ311" s="130"/>
      <c r="AW311" s="130"/>
      <c r="AX311" s="130"/>
    </row>
    <row r="312" spans="4:50" ht="12.75" customHeight="1" x14ac:dyDescent="0.25">
      <c r="D312" s="336"/>
      <c r="E312" s="333"/>
      <c r="F312" s="333"/>
      <c r="G312" s="333"/>
      <c r="H312" s="333"/>
      <c r="AJ312" s="130"/>
      <c r="AW312" s="130"/>
      <c r="AX312" s="130"/>
    </row>
    <row r="313" spans="4:50" ht="12.75" customHeight="1" x14ac:dyDescent="0.25">
      <c r="D313" s="336"/>
      <c r="E313" s="333"/>
      <c r="F313" s="333"/>
      <c r="G313" s="333"/>
      <c r="H313" s="333"/>
      <c r="AJ313" s="130"/>
      <c r="AW313" s="130"/>
      <c r="AX313" s="130"/>
    </row>
    <row r="314" spans="4:50" ht="12.75" customHeight="1" x14ac:dyDescent="0.25">
      <c r="D314" s="336"/>
      <c r="E314" s="333"/>
      <c r="F314" s="333"/>
      <c r="G314" s="333"/>
      <c r="H314" s="333"/>
      <c r="AJ314" s="130"/>
      <c r="AW314" s="130"/>
      <c r="AX314" s="130"/>
    </row>
    <row r="315" spans="4:50" ht="12.75" customHeight="1" x14ac:dyDescent="0.25">
      <c r="D315" s="336"/>
      <c r="E315" s="333"/>
      <c r="F315" s="333"/>
      <c r="G315" s="333"/>
      <c r="H315" s="333"/>
      <c r="AJ315" s="130"/>
      <c r="AW315" s="130"/>
      <c r="AX315" s="130"/>
    </row>
    <row r="316" spans="4:50" ht="12.75" customHeight="1" x14ac:dyDescent="0.25">
      <c r="D316" s="336"/>
      <c r="E316" s="333"/>
      <c r="F316" s="333"/>
      <c r="G316" s="333"/>
      <c r="H316" s="333"/>
      <c r="AJ316" s="130"/>
      <c r="AW316" s="130"/>
      <c r="AX316" s="130"/>
    </row>
    <row r="317" spans="4:50" ht="12.75" customHeight="1" x14ac:dyDescent="0.25">
      <c r="D317" s="336"/>
      <c r="E317" s="333"/>
      <c r="F317" s="333"/>
      <c r="G317" s="333"/>
      <c r="H317" s="333"/>
      <c r="AJ317" s="130"/>
      <c r="AW317" s="130"/>
      <c r="AX317" s="130"/>
    </row>
    <row r="318" spans="4:50" ht="12.75" customHeight="1" x14ac:dyDescent="0.25">
      <c r="D318" s="336"/>
      <c r="E318" s="333"/>
      <c r="F318" s="333"/>
      <c r="G318" s="333"/>
      <c r="H318" s="333"/>
      <c r="AJ318" s="130"/>
      <c r="AW318" s="130"/>
      <c r="AX318" s="130"/>
    </row>
    <row r="319" spans="4:50" ht="12.75" customHeight="1" x14ac:dyDescent="0.25">
      <c r="D319" s="336"/>
      <c r="E319" s="333"/>
      <c r="F319" s="333"/>
      <c r="G319" s="333"/>
      <c r="H319" s="333"/>
      <c r="AJ319" s="130"/>
      <c r="AW319" s="130"/>
      <c r="AX319" s="130"/>
    </row>
    <row r="320" spans="4:50" ht="12.75" customHeight="1" x14ac:dyDescent="0.25">
      <c r="D320" s="336"/>
      <c r="E320" s="333"/>
      <c r="F320" s="333"/>
      <c r="G320" s="333"/>
      <c r="H320" s="333"/>
      <c r="AJ320" s="130"/>
      <c r="AW320" s="130"/>
      <c r="AX320" s="130"/>
    </row>
    <row r="321" spans="4:50" ht="12.75" customHeight="1" x14ac:dyDescent="0.25">
      <c r="D321" s="336"/>
      <c r="E321" s="333"/>
      <c r="F321" s="333"/>
      <c r="G321" s="333"/>
      <c r="H321" s="333"/>
      <c r="AJ321" s="130"/>
      <c r="AW321" s="130"/>
      <c r="AX321" s="130"/>
    </row>
    <row r="322" spans="4:50" ht="12.75" customHeight="1" x14ac:dyDescent="0.25">
      <c r="D322" s="336"/>
      <c r="E322" s="333"/>
      <c r="F322" s="333"/>
      <c r="G322" s="333"/>
      <c r="H322" s="333"/>
      <c r="AJ322" s="130"/>
      <c r="AW322" s="130"/>
      <c r="AX322" s="130"/>
    </row>
    <row r="323" spans="4:50" ht="12.75" customHeight="1" x14ac:dyDescent="0.25">
      <c r="D323" s="336"/>
      <c r="E323" s="333"/>
      <c r="F323" s="333"/>
      <c r="G323" s="333"/>
      <c r="H323" s="333"/>
      <c r="AJ323" s="130"/>
      <c r="AW323" s="130"/>
      <c r="AX323" s="130"/>
    </row>
    <row r="324" spans="4:50" ht="12.75" customHeight="1" x14ac:dyDescent="0.25">
      <c r="D324" s="336"/>
      <c r="E324" s="333"/>
      <c r="F324" s="333"/>
      <c r="G324" s="333"/>
      <c r="H324" s="333"/>
      <c r="AJ324" s="130"/>
      <c r="AW324" s="130"/>
      <c r="AX324" s="130"/>
    </row>
    <row r="325" spans="4:50" ht="12.75" customHeight="1" x14ac:dyDescent="0.25">
      <c r="D325" s="336"/>
      <c r="E325" s="333"/>
      <c r="F325" s="333"/>
      <c r="G325" s="333"/>
      <c r="H325" s="333"/>
      <c r="AJ325" s="130"/>
      <c r="AW325" s="130"/>
      <c r="AX325" s="130"/>
    </row>
    <row r="326" spans="4:50" ht="12.75" customHeight="1" x14ac:dyDescent="0.25">
      <c r="D326" s="336"/>
      <c r="E326" s="333"/>
      <c r="F326" s="333"/>
      <c r="G326" s="333"/>
      <c r="H326" s="333"/>
      <c r="AJ326" s="130"/>
      <c r="AW326" s="130"/>
      <c r="AX326" s="130"/>
    </row>
    <row r="327" spans="4:50" ht="12.75" customHeight="1" x14ac:dyDescent="0.25">
      <c r="D327" s="336"/>
      <c r="E327" s="333"/>
      <c r="F327" s="333"/>
      <c r="G327" s="333"/>
      <c r="H327" s="333"/>
      <c r="AJ327" s="130"/>
      <c r="AW327" s="130"/>
      <c r="AX327" s="130"/>
    </row>
    <row r="328" spans="4:50" ht="12.75" customHeight="1" x14ac:dyDescent="0.25">
      <c r="D328" s="336"/>
      <c r="E328" s="333"/>
      <c r="F328" s="333"/>
      <c r="G328" s="333"/>
      <c r="H328" s="333"/>
      <c r="AJ328" s="130"/>
      <c r="AW328" s="130"/>
      <c r="AX328" s="130"/>
    </row>
    <row r="329" spans="4:50" ht="12.75" customHeight="1" x14ac:dyDescent="0.25">
      <c r="D329" s="336"/>
      <c r="E329" s="333"/>
      <c r="F329" s="333"/>
      <c r="G329" s="333"/>
      <c r="H329" s="333"/>
      <c r="AJ329" s="130"/>
      <c r="AW329" s="130"/>
      <c r="AX329" s="130"/>
    </row>
    <row r="330" spans="4:50" ht="12.75" customHeight="1" x14ac:dyDescent="0.25">
      <c r="D330" s="336"/>
      <c r="E330" s="333"/>
      <c r="F330" s="333"/>
      <c r="G330" s="333"/>
      <c r="H330" s="333"/>
      <c r="AJ330" s="130"/>
      <c r="AW330" s="130"/>
      <c r="AX330" s="130"/>
    </row>
    <row r="331" spans="4:50" ht="12.75" customHeight="1" x14ac:dyDescent="0.25">
      <c r="D331" s="336"/>
      <c r="E331" s="333"/>
      <c r="F331" s="333"/>
      <c r="G331" s="333"/>
      <c r="H331" s="333"/>
      <c r="AJ331" s="130"/>
      <c r="AW331" s="130"/>
      <c r="AX331" s="130"/>
    </row>
    <row r="332" spans="4:50" ht="12.75" customHeight="1" x14ac:dyDescent="0.25">
      <c r="D332" s="336"/>
      <c r="E332" s="333"/>
      <c r="F332" s="333"/>
      <c r="G332" s="333"/>
      <c r="H332" s="333"/>
      <c r="AJ332" s="130"/>
      <c r="AW332" s="130"/>
      <c r="AX332" s="130"/>
    </row>
    <row r="333" spans="4:50" ht="12.75" customHeight="1" x14ac:dyDescent="0.25">
      <c r="D333" s="336"/>
      <c r="E333" s="333"/>
      <c r="F333" s="333"/>
      <c r="G333" s="333"/>
      <c r="H333" s="333"/>
      <c r="AJ333" s="130"/>
      <c r="AW333" s="130"/>
      <c r="AX333" s="130"/>
    </row>
    <row r="334" spans="4:50" ht="12.75" customHeight="1" x14ac:dyDescent="0.25">
      <c r="D334" s="336"/>
      <c r="E334" s="333"/>
      <c r="F334" s="333"/>
      <c r="G334" s="333"/>
      <c r="H334" s="333"/>
      <c r="AJ334" s="130"/>
      <c r="AW334" s="130"/>
      <c r="AX334" s="130"/>
    </row>
    <row r="335" spans="4:50" ht="12.75" customHeight="1" x14ac:dyDescent="0.25">
      <c r="D335" s="336"/>
      <c r="E335" s="333"/>
      <c r="F335" s="333"/>
      <c r="G335" s="333"/>
      <c r="H335" s="333"/>
      <c r="AJ335" s="130"/>
      <c r="AW335" s="130"/>
      <c r="AX335" s="130"/>
    </row>
    <row r="336" spans="4:50" ht="12.75" customHeight="1" x14ac:dyDescent="0.25">
      <c r="D336" s="336"/>
      <c r="E336" s="333"/>
      <c r="F336" s="333"/>
      <c r="G336" s="333"/>
      <c r="H336" s="333"/>
      <c r="AJ336" s="130"/>
      <c r="AW336" s="130"/>
      <c r="AX336" s="130"/>
    </row>
    <row r="337" spans="4:50" ht="12.75" customHeight="1" x14ac:dyDescent="0.25">
      <c r="D337" s="336"/>
      <c r="E337" s="333"/>
      <c r="F337" s="333"/>
      <c r="G337" s="333"/>
      <c r="H337" s="333"/>
      <c r="AJ337" s="130"/>
      <c r="AW337" s="130"/>
      <c r="AX337" s="130"/>
    </row>
    <row r="338" spans="4:50" ht="12.75" customHeight="1" x14ac:dyDescent="0.25">
      <c r="D338" s="336"/>
      <c r="E338" s="333"/>
      <c r="F338" s="333"/>
      <c r="G338" s="333"/>
      <c r="H338" s="333"/>
      <c r="AJ338" s="130"/>
      <c r="AW338" s="130"/>
      <c r="AX338" s="130"/>
    </row>
    <row r="339" spans="4:50" ht="12.75" customHeight="1" x14ac:dyDescent="0.25">
      <c r="D339" s="336"/>
      <c r="E339" s="333"/>
      <c r="F339" s="333"/>
      <c r="G339" s="333"/>
      <c r="H339" s="333"/>
      <c r="AJ339" s="130"/>
      <c r="AW339" s="130"/>
      <c r="AX339" s="130"/>
    </row>
    <row r="340" spans="4:50" ht="12.75" customHeight="1" x14ac:dyDescent="0.25">
      <c r="D340" s="336"/>
      <c r="E340" s="333"/>
      <c r="F340" s="333"/>
      <c r="G340" s="333"/>
      <c r="H340" s="333"/>
      <c r="AJ340" s="130"/>
      <c r="AW340" s="130"/>
      <c r="AX340" s="130"/>
    </row>
    <row r="341" spans="4:50" ht="12.75" customHeight="1" x14ac:dyDescent="0.25">
      <c r="D341" s="336"/>
      <c r="E341" s="333"/>
      <c r="F341" s="333"/>
      <c r="G341" s="333"/>
      <c r="H341" s="333"/>
      <c r="AJ341" s="130"/>
      <c r="AW341" s="130"/>
      <c r="AX341" s="130"/>
    </row>
    <row r="342" spans="4:50" ht="12.75" customHeight="1" x14ac:dyDescent="0.25">
      <c r="D342" s="336"/>
      <c r="E342" s="333"/>
      <c r="F342" s="333"/>
      <c r="G342" s="333"/>
      <c r="H342" s="333"/>
      <c r="AJ342" s="130"/>
      <c r="AW342" s="130"/>
      <c r="AX342" s="130"/>
    </row>
    <row r="343" spans="4:50" ht="12.75" customHeight="1" x14ac:dyDescent="0.25">
      <c r="D343" s="336"/>
      <c r="E343" s="333"/>
      <c r="F343" s="333"/>
      <c r="G343" s="333"/>
      <c r="H343" s="333"/>
      <c r="AJ343" s="130"/>
      <c r="AW343" s="130"/>
      <c r="AX343" s="130"/>
    </row>
    <row r="344" spans="4:50" ht="12.75" customHeight="1" x14ac:dyDescent="0.25">
      <c r="D344" s="336"/>
      <c r="E344" s="333"/>
      <c r="F344" s="333"/>
      <c r="G344" s="333"/>
      <c r="H344" s="333"/>
      <c r="AJ344" s="130"/>
      <c r="AW344" s="130"/>
      <c r="AX344" s="130"/>
    </row>
    <row r="345" spans="4:50" ht="12.75" customHeight="1" x14ac:dyDescent="0.25">
      <c r="D345" s="336"/>
      <c r="E345" s="333"/>
      <c r="F345" s="333"/>
      <c r="G345" s="333"/>
      <c r="H345" s="333"/>
      <c r="AJ345" s="130"/>
      <c r="AW345" s="130"/>
      <c r="AX345" s="130"/>
    </row>
    <row r="346" spans="4:50" ht="12.75" customHeight="1" x14ac:dyDescent="0.25">
      <c r="D346" s="336"/>
      <c r="E346" s="333"/>
      <c r="F346" s="333"/>
      <c r="G346" s="333"/>
      <c r="H346" s="333"/>
      <c r="AJ346" s="130"/>
      <c r="AW346" s="130"/>
      <c r="AX346" s="130"/>
    </row>
    <row r="347" spans="4:50" ht="12.75" customHeight="1" x14ac:dyDescent="0.25">
      <c r="D347" s="336"/>
      <c r="E347" s="333"/>
      <c r="F347" s="333"/>
      <c r="G347" s="333"/>
      <c r="H347" s="333"/>
      <c r="AJ347" s="130"/>
      <c r="AW347" s="130"/>
      <c r="AX347" s="130"/>
    </row>
    <row r="348" spans="4:50" ht="12.75" customHeight="1" x14ac:dyDescent="0.25">
      <c r="D348" s="336"/>
      <c r="E348" s="333"/>
      <c r="F348" s="333"/>
      <c r="G348" s="333"/>
      <c r="H348" s="333"/>
      <c r="AJ348" s="130"/>
      <c r="AW348" s="130"/>
      <c r="AX348" s="130"/>
    </row>
    <row r="349" spans="4:50" ht="12.75" customHeight="1" x14ac:dyDescent="0.25">
      <c r="D349" s="336"/>
      <c r="E349" s="333"/>
      <c r="F349" s="333"/>
      <c r="G349" s="333"/>
      <c r="H349" s="333"/>
      <c r="AJ349" s="130"/>
      <c r="AW349" s="130"/>
      <c r="AX349" s="130"/>
    </row>
    <row r="350" spans="4:50" ht="12.75" customHeight="1" x14ac:dyDescent="0.25">
      <c r="D350" s="336"/>
      <c r="E350" s="333"/>
      <c r="F350" s="333"/>
      <c r="G350" s="333"/>
      <c r="H350" s="333"/>
      <c r="AJ350" s="130"/>
      <c r="AW350" s="130"/>
      <c r="AX350" s="130"/>
    </row>
    <row r="351" spans="4:50" ht="12.75" customHeight="1" x14ac:dyDescent="0.25">
      <c r="D351" s="336"/>
      <c r="E351" s="333"/>
      <c r="F351" s="333"/>
      <c r="G351" s="333"/>
      <c r="H351" s="333"/>
      <c r="AJ351" s="130"/>
      <c r="AW351" s="130"/>
      <c r="AX351" s="130"/>
    </row>
    <row r="352" spans="4:50" ht="12.75" customHeight="1" x14ac:dyDescent="0.25">
      <c r="D352" s="336"/>
      <c r="E352" s="333"/>
      <c r="F352" s="333"/>
      <c r="G352" s="333"/>
      <c r="H352" s="333"/>
      <c r="AJ352" s="130"/>
      <c r="AW352" s="130"/>
      <c r="AX352" s="130"/>
    </row>
    <row r="353" spans="4:50" ht="12.75" customHeight="1" x14ac:dyDescent="0.25">
      <c r="D353" s="336"/>
      <c r="E353" s="333"/>
      <c r="F353" s="333"/>
      <c r="G353" s="333"/>
      <c r="H353" s="333"/>
      <c r="AJ353" s="130"/>
      <c r="AW353" s="130"/>
      <c r="AX353" s="130"/>
    </row>
    <row r="354" spans="4:50" ht="12.75" customHeight="1" x14ac:dyDescent="0.25">
      <c r="D354" s="336"/>
      <c r="E354" s="333"/>
      <c r="F354" s="333"/>
      <c r="G354" s="333"/>
      <c r="H354" s="333"/>
      <c r="AJ354" s="130"/>
      <c r="AW354" s="130"/>
      <c r="AX354" s="130"/>
    </row>
    <row r="355" spans="4:50" ht="12.75" customHeight="1" x14ac:dyDescent="0.25">
      <c r="D355" s="336"/>
      <c r="E355" s="333"/>
      <c r="F355" s="333"/>
      <c r="G355" s="333"/>
      <c r="H355" s="333"/>
      <c r="AJ355" s="130"/>
      <c r="AW355" s="130"/>
      <c r="AX355" s="130"/>
    </row>
    <row r="356" spans="4:50" ht="12.75" customHeight="1" x14ac:dyDescent="0.25">
      <c r="D356" s="336"/>
      <c r="E356" s="333"/>
      <c r="F356" s="333"/>
      <c r="G356" s="333"/>
      <c r="H356" s="333"/>
      <c r="AJ356" s="130"/>
      <c r="AW356" s="130"/>
      <c r="AX356" s="130"/>
    </row>
    <row r="357" spans="4:50" ht="12.75" customHeight="1" x14ac:dyDescent="0.25">
      <c r="D357" s="336"/>
      <c r="E357" s="333"/>
      <c r="F357" s="333"/>
      <c r="G357" s="333"/>
      <c r="H357" s="333"/>
      <c r="AJ357" s="130"/>
      <c r="AW357" s="130"/>
      <c r="AX357" s="130"/>
    </row>
    <row r="358" spans="4:50" ht="12.75" customHeight="1" x14ac:dyDescent="0.25">
      <c r="D358" s="336"/>
      <c r="E358" s="333"/>
      <c r="F358" s="333"/>
      <c r="G358" s="333"/>
      <c r="H358" s="333"/>
      <c r="AJ358" s="130"/>
      <c r="AW358" s="130"/>
      <c r="AX358" s="130"/>
    </row>
    <row r="359" spans="4:50" ht="12.75" customHeight="1" x14ac:dyDescent="0.25">
      <c r="D359" s="336"/>
      <c r="E359" s="333"/>
      <c r="F359" s="333"/>
      <c r="G359" s="333"/>
      <c r="H359" s="333"/>
      <c r="AJ359" s="130"/>
      <c r="AW359" s="130"/>
      <c r="AX359" s="130"/>
    </row>
    <row r="360" spans="4:50" ht="12.75" customHeight="1" x14ac:dyDescent="0.25">
      <c r="D360" s="336"/>
      <c r="E360" s="333"/>
      <c r="F360" s="333"/>
      <c r="G360" s="333"/>
      <c r="H360" s="333"/>
      <c r="AJ360" s="130"/>
      <c r="AW360" s="130"/>
      <c r="AX360" s="130"/>
    </row>
    <row r="361" spans="4:50" ht="12.75" customHeight="1" x14ac:dyDescent="0.25">
      <c r="D361" s="336"/>
      <c r="E361" s="333"/>
      <c r="F361" s="333"/>
      <c r="G361" s="333"/>
      <c r="H361" s="333"/>
      <c r="AJ361" s="130"/>
      <c r="AW361" s="130"/>
      <c r="AX361" s="130"/>
    </row>
    <row r="362" spans="4:50" ht="12.75" customHeight="1" x14ac:dyDescent="0.25">
      <c r="D362" s="336"/>
      <c r="E362" s="333"/>
      <c r="F362" s="333"/>
      <c r="G362" s="333"/>
      <c r="H362" s="333"/>
      <c r="AJ362" s="130"/>
      <c r="AW362" s="130"/>
      <c r="AX362" s="130"/>
    </row>
    <row r="363" spans="4:50" ht="12.75" customHeight="1" x14ac:dyDescent="0.25">
      <c r="D363" s="336"/>
      <c r="E363" s="333"/>
      <c r="F363" s="333"/>
      <c r="G363" s="333"/>
      <c r="H363" s="333"/>
      <c r="AJ363" s="130"/>
      <c r="AW363" s="130"/>
      <c r="AX363" s="130"/>
    </row>
    <row r="364" spans="4:50" ht="12.75" customHeight="1" x14ac:dyDescent="0.25">
      <c r="D364" s="336"/>
      <c r="E364" s="333"/>
      <c r="F364" s="333"/>
      <c r="G364" s="333"/>
      <c r="H364" s="333"/>
      <c r="AJ364" s="130"/>
      <c r="AW364" s="130"/>
      <c r="AX364" s="130"/>
    </row>
    <row r="365" spans="4:50" ht="12.75" customHeight="1" x14ac:dyDescent="0.25">
      <c r="D365" s="336"/>
      <c r="E365" s="333"/>
      <c r="F365" s="333"/>
      <c r="G365" s="333"/>
      <c r="H365" s="333"/>
      <c r="AJ365" s="130"/>
      <c r="AW365" s="130"/>
      <c r="AX365" s="130"/>
    </row>
    <row r="366" spans="4:50" ht="12.75" customHeight="1" x14ac:dyDescent="0.25">
      <c r="D366" s="336"/>
      <c r="E366" s="333"/>
      <c r="F366" s="333"/>
      <c r="G366" s="333"/>
      <c r="H366" s="333"/>
      <c r="AJ366" s="130"/>
      <c r="AW366" s="130"/>
      <c r="AX366" s="130"/>
    </row>
    <row r="367" spans="4:50" ht="12.75" customHeight="1" x14ac:dyDescent="0.25">
      <c r="D367" s="336"/>
      <c r="E367" s="333"/>
      <c r="F367" s="333"/>
      <c r="G367" s="333"/>
      <c r="H367" s="333"/>
      <c r="AJ367" s="130"/>
      <c r="AW367" s="130"/>
      <c r="AX367" s="130"/>
    </row>
    <row r="368" spans="4:50" ht="12.75" customHeight="1" x14ac:dyDescent="0.25">
      <c r="D368" s="336"/>
      <c r="E368" s="333"/>
      <c r="F368" s="333"/>
      <c r="G368" s="333"/>
      <c r="H368" s="333"/>
      <c r="AJ368" s="130"/>
      <c r="AW368" s="130"/>
      <c r="AX368" s="130"/>
    </row>
    <row r="369" spans="4:50" ht="12.75" customHeight="1" x14ac:dyDescent="0.25">
      <c r="D369" s="336"/>
      <c r="E369" s="333"/>
      <c r="F369" s="333"/>
      <c r="G369" s="333"/>
      <c r="H369" s="333"/>
      <c r="AJ369" s="130"/>
      <c r="AW369" s="130"/>
      <c r="AX369" s="130"/>
    </row>
    <row r="370" spans="4:50" ht="12.75" customHeight="1" x14ac:dyDescent="0.25">
      <c r="D370" s="336"/>
      <c r="E370" s="333"/>
      <c r="F370" s="333"/>
      <c r="G370" s="333"/>
      <c r="H370" s="333"/>
      <c r="AJ370" s="130"/>
      <c r="AW370" s="130"/>
      <c r="AX370" s="130"/>
    </row>
    <row r="371" spans="4:50" ht="12.75" customHeight="1" x14ac:dyDescent="0.25">
      <c r="D371" s="336"/>
      <c r="E371" s="333"/>
      <c r="F371" s="333"/>
      <c r="G371" s="333"/>
      <c r="H371" s="333"/>
      <c r="AJ371" s="130"/>
      <c r="AW371" s="130"/>
      <c r="AX371" s="130"/>
    </row>
    <row r="372" spans="4:50" ht="12.75" customHeight="1" x14ac:dyDescent="0.25">
      <c r="D372" s="336"/>
      <c r="E372" s="333"/>
      <c r="F372" s="333"/>
      <c r="G372" s="333"/>
      <c r="H372" s="333"/>
      <c r="AJ372" s="130"/>
      <c r="AW372" s="130"/>
      <c r="AX372" s="130"/>
    </row>
    <row r="373" spans="4:50" ht="12.75" customHeight="1" x14ac:dyDescent="0.25">
      <c r="D373" s="336"/>
      <c r="E373" s="333"/>
      <c r="F373" s="333"/>
      <c r="G373" s="333"/>
      <c r="H373" s="333"/>
      <c r="AJ373" s="130"/>
      <c r="AW373" s="130"/>
      <c r="AX373" s="130"/>
    </row>
    <row r="374" spans="4:50" ht="12.75" customHeight="1" x14ac:dyDescent="0.25">
      <c r="D374" s="336"/>
      <c r="E374" s="333"/>
      <c r="F374" s="333"/>
      <c r="G374" s="333"/>
      <c r="H374" s="333"/>
      <c r="AJ374" s="130"/>
      <c r="AW374" s="130"/>
      <c r="AX374" s="130"/>
    </row>
    <row r="375" spans="4:50" ht="12.75" customHeight="1" x14ac:dyDescent="0.25">
      <c r="D375" s="336"/>
      <c r="E375" s="333"/>
      <c r="F375" s="333"/>
      <c r="G375" s="333"/>
      <c r="H375" s="333"/>
      <c r="AJ375" s="130"/>
      <c r="AW375" s="130"/>
      <c r="AX375" s="130"/>
    </row>
    <row r="376" spans="4:50" ht="12.75" customHeight="1" x14ac:dyDescent="0.25">
      <c r="D376" s="336"/>
      <c r="E376" s="333"/>
      <c r="F376" s="333"/>
      <c r="G376" s="333"/>
      <c r="H376" s="333"/>
      <c r="AJ376" s="130"/>
      <c r="AW376" s="130"/>
      <c r="AX376" s="130"/>
    </row>
    <row r="377" spans="4:50" ht="12.75" customHeight="1" x14ac:dyDescent="0.25">
      <c r="D377" s="336"/>
      <c r="E377" s="333"/>
      <c r="F377" s="333"/>
      <c r="G377" s="333"/>
      <c r="H377" s="333"/>
      <c r="AJ377" s="130"/>
      <c r="AW377" s="130"/>
      <c r="AX377" s="130"/>
    </row>
    <row r="378" spans="4:50" ht="12.75" customHeight="1" x14ac:dyDescent="0.25">
      <c r="D378" s="336"/>
      <c r="E378" s="333"/>
      <c r="F378" s="333"/>
      <c r="G378" s="333"/>
      <c r="H378" s="333"/>
      <c r="AJ378" s="130"/>
      <c r="AW378" s="130"/>
      <c r="AX378" s="130"/>
    </row>
    <row r="379" spans="4:50" ht="12.75" customHeight="1" x14ac:dyDescent="0.25">
      <c r="D379" s="336"/>
      <c r="E379" s="333"/>
      <c r="F379" s="333"/>
      <c r="G379" s="333"/>
      <c r="H379" s="333"/>
      <c r="AJ379" s="130"/>
      <c r="AW379" s="130"/>
      <c r="AX379" s="130"/>
    </row>
    <row r="380" spans="4:50" ht="12.75" customHeight="1" x14ac:dyDescent="0.25">
      <c r="D380" s="336"/>
      <c r="E380" s="333"/>
      <c r="F380" s="333"/>
      <c r="G380" s="333"/>
      <c r="H380" s="333"/>
      <c r="AJ380" s="130"/>
      <c r="AW380" s="130"/>
      <c r="AX380" s="130"/>
    </row>
    <row r="381" spans="4:50" ht="12.75" customHeight="1" x14ac:dyDescent="0.25">
      <c r="D381" s="336"/>
      <c r="E381" s="333"/>
      <c r="F381" s="333"/>
      <c r="G381" s="333"/>
      <c r="H381" s="333"/>
      <c r="AJ381" s="130"/>
      <c r="AW381" s="130"/>
      <c r="AX381" s="130"/>
    </row>
    <row r="382" spans="4:50" ht="12.75" customHeight="1" x14ac:dyDescent="0.25">
      <c r="D382" s="336"/>
      <c r="E382" s="333"/>
      <c r="F382" s="333"/>
      <c r="G382" s="333"/>
      <c r="H382" s="333"/>
      <c r="AJ382" s="130"/>
      <c r="AW382" s="130"/>
      <c r="AX382" s="130"/>
    </row>
    <row r="383" spans="4:50" ht="12.75" customHeight="1" x14ac:dyDescent="0.25">
      <c r="D383" s="336"/>
      <c r="E383" s="333"/>
      <c r="F383" s="333"/>
      <c r="G383" s="333"/>
      <c r="H383" s="333"/>
      <c r="AJ383" s="130"/>
      <c r="AW383" s="130"/>
      <c r="AX383" s="130"/>
    </row>
    <row r="384" spans="4:50" ht="12.75" customHeight="1" x14ac:dyDescent="0.25">
      <c r="D384" s="336"/>
      <c r="E384" s="333"/>
      <c r="F384" s="333"/>
      <c r="G384" s="333"/>
      <c r="H384" s="333"/>
      <c r="AF384" s="502"/>
      <c r="AG384" s="503"/>
      <c r="AH384" s="502"/>
      <c r="AJ384" s="130"/>
      <c r="AW384" s="130"/>
      <c r="AX384" s="130"/>
    </row>
    <row r="385" spans="4:53" ht="12.75" customHeight="1" x14ac:dyDescent="0.25">
      <c r="D385" s="336"/>
      <c r="E385" s="333"/>
      <c r="F385" s="333"/>
      <c r="G385" s="333"/>
      <c r="H385" s="333"/>
      <c r="AF385" s="504"/>
      <c r="AG385" s="504"/>
      <c r="AH385" s="502"/>
      <c r="AI385" s="503"/>
      <c r="AJ385" s="505"/>
      <c r="AK385" s="506"/>
      <c r="AL385" s="507"/>
      <c r="AM385" s="508"/>
      <c r="AN385" s="508"/>
      <c r="AO385" s="509"/>
      <c r="AP385" s="510"/>
      <c r="AQ385" s="508"/>
      <c r="AR385" s="508"/>
      <c r="AS385" s="511">
        <v>20000</v>
      </c>
      <c r="AT385" s="508"/>
      <c r="AU385" s="502">
        <v>24</v>
      </c>
      <c r="AV385" s="512"/>
      <c r="AW385" s="513"/>
      <c r="AX385" s="512"/>
      <c r="AY385" s="508"/>
      <c r="AZ385" s="508"/>
      <c r="BA385" s="508"/>
    </row>
    <row r="386" spans="4:53" ht="12.75" customHeight="1" x14ac:dyDescent="0.25">
      <c r="D386" s="336"/>
      <c r="E386" s="333"/>
      <c r="F386" s="333"/>
      <c r="G386" s="333"/>
      <c r="H386" s="333"/>
      <c r="AF386" s="504"/>
      <c r="AG386" s="504"/>
      <c r="AH386" s="502"/>
      <c r="AI386" s="504"/>
      <c r="AJ386" s="514"/>
      <c r="AK386" s="515"/>
      <c r="AL386" s="516"/>
      <c r="AM386" s="511"/>
      <c r="AN386" s="511"/>
      <c r="AO386" s="517"/>
      <c r="AP386" s="518"/>
      <c r="AQ386" s="511"/>
      <c r="AR386" s="511"/>
      <c r="AS386" s="511">
        <v>15000</v>
      </c>
      <c r="AT386" s="511"/>
      <c r="AU386" s="504"/>
      <c r="AV386" s="519"/>
      <c r="AW386" s="520"/>
      <c r="AX386" s="519"/>
      <c r="AY386" s="511"/>
      <c r="AZ386" s="511"/>
      <c r="BA386" s="511"/>
    </row>
    <row r="387" spans="4:53" ht="12.75" customHeight="1" x14ac:dyDescent="0.25">
      <c r="D387" s="336"/>
      <c r="E387" s="333"/>
      <c r="F387" s="333"/>
      <c r="G387" s="333"/>
      <c r="H387" s="333"/>
      <c r="AF387" s="504"/>
      <c r="AG387" s="504"/>
      <c r="AH387" s="502"/>
      <c r="AI387" s="504"/>
      <c r="AJ387" s="514"/>
      <c r="AK387" s="515"/>
      <c r="AL387" s="516"/>
      <c r="AM387" s="511"/>
      <c r="AN387" s="511"/>
      <c r="AO387" s="517"/>
      <c r="AP387" s="518"/>
      <c r="AQ387" s="511"/>
      <c r="AR387" s="511"/>
      <c r="AS387" s="511"/>
      <c r="AT387" s="511"/>
      <c r="AU387" s="504"/>
      <c r="AV387" s="519"/>
      <c r="AW387" s="520"/>
      <c r="AX387" s="519"/>
      <c r="AY387" s="511"/>
      <c r="AZ387" s="511"/>
      <c r="BA387" s="511"/>
    </row>
    <row r="388" spans="4:53" ht="12.75" customHeight="1" x14ac:dyDescent="0.25">
      <c r="D388" s="336"/>
      <c r="E388" s="333"/>
      <c r="F388" s="333"/>
      <c r="G388" s="333"/>
      <c r="H388" s="333"/>
      <c r="AF388" s="504"/>
      <c r="AG388" s="504"/>
      <c r="AH388" s="502"/>
      <c r="AI388" s="504"/>
      <c r="AJ388" s="514"/>
      <c r="AK388" s="515"/>
      <c r="AL388" s="516"/>
      <c r="AM388" s="511"/>
      <c r="AN388" s="511"/>
      <c r="AO388" s="517"/>
      <c r="AP388" s="518"/>
      <c r="AQ388" s="511"/>
      <c r="AR388" s="511"/>
      <c r="AS388" s="511"/>
      <c r="AT388" s="511"/>
      <c r="AU388" s="504"/>
      <c r="AV388" s="519"/>
      <c r="AW388" s="520"/>
      <c r="AX388" s="519"/>
      <c r="AY388" s="511"/>
      <c r="AZ388" s="511"/>
      <c r="BA388" s="511"/>
    </row>
    <row r="389" spans="4:53" ht="12.75" customHeight="1" x14ac:dyDescent="0.25">
      <c r="D389" s="336"/>
      <c r="E389" s="333"/>
      <c r="F389" s="333"/>
      <c r="G389" s="333"/>
      <c r="H389" s="333"/>
      <c r="AF389" s="504"/>
      <c r="AG389" s="504"/>
      <c r="AH389" s="502"/>
      <c r="AI389" s="504"/>
      <c r="AJ389" s="514"/>
      <c r="AK389" s="515"/>
      <c r="AL389" s="516"/>
      <c r="AM389" s="511"/>
      <c r="AN389" s="511"/>
      <c r="AO389" s="517"/>
      <c r="AP389" s="518"/>
      <c r="AQ389" s="511"/>
      <c r="AR389" s="511"/>
      <c r="AS389" s="511"/>
      <c r="AT389" s="511"/>
      <c r="AU389" s="504"/>
      <c r="AV389" s="519"/>
      <c r="AW389" s="520"/>
      <c r="AX389" s="519"/>
      <c r="AY389" s="511"/>
      <c r="AZ389" s="511"/>
      <c r="BA389" s="511"/>
    </row>
    <row r="390" spans="4:53" ht="12.75" customHeight="1" x14ac:dyDescent="0.25">
      <c r="D390" s="336"/>
      <c r="E390" s="333"/>
      <c r="F390" s="333"/>
      <c r="G390" s="333"/>
      <c r="H390" s="333"/>
      <c r="AF390" s="504"/>
      <c r="AG390" s="504"/>
      <c r="AH390" s="502"/>
      <c r="AI390" s="504"/>
      <c r="AJ390" s="514"/>
      <c r="AK390" s="515"/>
      <c r="AL390" s="516"/>
      <c r="AM390" s="511"/>
      <c r="AN390" s="511"/>
      <c r="AO390" s="517"/>
      <c r="AP390" s="518"/>
      <c r="AQ390" s="511"/>
      <c r="AR390" s="511"/>
      <c r="AS390" s="511"/>
      <c r="AT390" s="511"/>
      <c r="AU390" s="504"/>
      <c r="AV390" s="519"/>
      <c r="AW390" s="520"/>
      <c r="AX390" s="519"/>
      <c r="AY390" s="511"/>
      <c r="AZ390" s="511"/>
      <c r="BA390" s="511"/>
    </row>
    <row r="391" spans="4:53" ht="12.75" customHeight="1" x14ac:dyDescent="0.25">
      <c r="D391" s="336"/>
      <c r="E391" s="333"/>
      <c r="F391" s="333"/>
      <c r="G391" s="333"/>
      <c r="H391" s="333"/>
      <c r="AF391" s="504"/>
      <c r="AG391" s="504"/>
      <c r="AH391" s="502"/>
      <c r="AI391" s="504"/>
      <c r="AJ391" s="514"/>
      <c r="AK391" s="515"/>
      <c r="AL391" s="516"/>
      <c r="AM391" s="511"/>
      <c r="AN391" s="511"/>
      <c r="AO391" s="517"/>
      <c r="AP391" s="518"/>
      <c r="AQ391" s="511"/>
      <c r="AR391" s="511"/>
      <c r="AS391" s="511"/>
      <c r="AT391" s="511"/>
      <c r="AU391" s="504"/>
      <c r="AV391" s="519"/>
      <c r="AW391" s="520"/>
      <c r="AX391" s="519"/>
      <c r="AY391" s="511"/>
      <c r="AZ391" s="511"/>
      <c r="BA391" s="511"/>
    </row>
    <row r="392" spans="4:53" ht="12.75" customHeight="1" x14ac:dyDescent="0.25">
      <c r="D392" s="336"/>
      <c r="E392" s="333"/>
      <c r="F392" s="333"/>
      <c r="G392" s="333"/>
      <c r="H392" s="333"/>
      <c r="AF392" s="504"/>
      <c r="AG392" s="504"/>
      <c r="AH392" s="502"/>
      <c r="AI392" s="504"/>
      <c r="AJ392" s="514"/>
      <c r="AK392" s="515"/>
      <c r="AL392" s="516"/>
      <c r="AM392" s="511"/>
      <c r="AN392" s="511"/>
      <c r="AO392" s="517"/>
      <c r="AP392" s="518"/>
      <c r="AQ392" s="511"/>
      <c r="AR392" s="511"/>
      <c r="AS392" s="511"/>
      <c r="AT392" s="511"/>
      <c r="AU392" s="504"/>
      <c r="AV392" s="519"/>
      <c r="AW392" s="520"/>
      <c r="AX392" s="519"/>
      <c r="AY392" s="511"/>
      <c r="AZ392" s="511"/>
      <c r="BA392" s="511"/>
    </row>
    <row r="393" spans="4:53" ht="12.75" customHeight="1" x14ac:dyDescent="0.25">
      <c r="D393" s="336"/>
      <c r="E393" s="333"/>
      <c r="F393" s="333"/>
      <c r="G393" s="333"/>
      <c r="H393" s="333"/>
      <c r="AF393" s="504"/>
      <c r="AG393" s="504"/>
      <c r="AH393" s="502"/>
      <c r="AI393" s="504"/>
      <c r="AJ393" s="514"/>
      <c r="AK393" s="515"/>
      <c r="AL393" s="516"/>
      <c r="AM393" s="511"/>
      <c r="AN393" s="511"/>
      <c r="AO393" s="517"/>
      <c r="AP393" s="518"/>
      <c r="AQ393" s="511"/>
      <c r="AR393" s="511"/>
      <c r="AS393" s="511"/>
      <c r="AT393" s="511"/>
      <c r="AU393" s="504"/>
      <c r="AV393" s="519"/>
      <c r="AW393" s="520"/>
      <c r="AX393" s="519"/>
      <c r="AY393" s="511"/>
      <c r="AZ393" s="511"/>
      <c r="BA393" s="511"/>
    </row>
    <row r="394" spans="4:53" ht="12.75" customHeight="1" x14ac:dyDescent="0.25">
      <c r="D394" s="336"/>
      <c r="E394" s="333"/>
      <c r="F394" s="333"/>
      <c r="G394" s="333"/>
      <c r="H394" s="333"/>
      <c r="AF394" s="192"/>
      <c r="AI394" s="504"/>
      <c r="AJ394" s="514"/>
      <c r="AK394" s="515"/>
      <c r="AL394" s="516"/>
      <c r="AM394" s="511"/>
      <c r="AN394" s="511"/>
      <c r="AO394" s="517"/>
      <c r="AP394" s="518"/>
      <c r="AQ394" s="511"/>
      <c r="AR394" s="511"/>
      <c r="AS394" s="511"/>
      <c r="AT394" s="511"/>
      <c r="AU394" s="504"/>
      <c r="AV394" s="519"/>
      <c r="AW394" s="520"/>
      <c r="AX394" s="519"/>
      <c r="AY394" s="511"/>
      <c r="AZ394" s="511"/>
      <c r="BA394" s="511"/>
    </row>
    <row r="395" spans="4:53" ht="12.75" customHeight="1" x14ac:dyDescent="0.25">
      <c r="D395" s="336"/>
      <c r="E395" s="333"/>
      <c r="F395" s="333"/>
      <c r="G395" s="333"/>
      <c r="H395" s="333"/>
      <c r="AF395" s="192"/>
      <c r="AJ395" s="521"/>
      <c r="AS395" s="297"/>
    </row>
    <row r="396" spans="4:53" ht="12.75" customHeight="1" x14ac:dyDescent="0.25">
      <c r="D396" s="336"/>
      <c r="E396" s="333"/>
      <c r="F396" s="333"/>
      <c r="G396" s="333"/>
      <c r="H396" s="333"/>
      <c r="AF396" s="192"/>
      <c r="AJ396" s="521"/>
      <c r="AS396" s="297"/>
    </row>
    <row r="397" spans="4:53" ht="12.75" customHeight="1" x14ac:dyDescent="0.25">
      <c r="D397" s="336"/>
      <c r="E397" s="333"/>
      <c r="F397" s="333"/>
      <c r="G397" s="333"/>
      <c r="H397" s="333"/>
      <c r="AF397" s="192"/>
      <c r="AJ397" s="521"/>
      <c r="AS397" s="297"/>
    </row>
    <row r="398" spans="4:53" ht="12.75" customHeight="1" x14ac:dyDescent="0.25">
      <c r="D398" s="336"/>
      <c r="E398" s="333"/>
      <c r="F398" s="333"/>
      <c r="G398" s="333"/>
      <c r="H398" s="333"/>
      <c r="AF398" s="192"/>
      <c r="AJ398" s="521"/>
      <c r="AS398" s="297"/>
    </row>
    <row r="399" spans="4:53" ht="12.75" customHeight="1" x14ac:dyDescent="0.25">
      <c r="D399" s="336"/>
      <c r="E399" s="333"/>
      <c r="F399" s="333"/>
      <c r="G399" s="333"/>
      <c r="H399" s="333"/>
      <c r="AF399" s="192"/>
      <c r="AJ399" s="521"/>
      <c r="AS399" s="297"/>
    </row>
    <row r="400" spans="4:53" ht="12.75" customHeight="1" x14ac:dyDescent="0.25">
      <c r="D400" s="336"/>
      <c r="E400" s="333"/>
      <c r="F400" s="333"/>
      <c r="G400" s="333"/>
      <c r="H400" s="333"/>
      <c r="AF400" s="192"/>
      <c r="AJ400" s="521"/>
      <c r="AS400" s="297"/>
    </row>
    <row r="401" spans="4:45" ht="12.75" customHeight="1" x14ac:dyDescent="0.25">
      <c r="D401" s="336"/>
      <c r="E401" s="333"/>
      <c r="F401" s="333"/>
      <c r="G401" s="333"/>
      <c r="H401" s="333"/>
      <c r="AF401" s="192"/>
      <c r="AJ401" s="521"/>
      <c r="AS401" s="297"/>
    </row>
    <row r="402" spans="4:45" ht="12.75" customHeight="1" x14ac:dyDescent="0.25">
      <c r="D402" s="336"/>
      <c r="E402" s="333"/>
      <c r="F402" s="333"/>
      <c r="G402" s="333"/>
      <c r="H402" s="333"/>
      <c r="AJ402" s="521"/>
      <c r="AS402" s="297"/>
    </row>
    <row r="403" spans="4:45" ht="12.75" customHeight="1" x14ac:dyDescent="0.25">
      <c r="D403" s="336"/>
      <c r="E403" s="333"/>
      <c r="F403" s="333"/>
      <c r="G403" s="333"/>
      <c r="H403" s="333"/>
      <c r="AJ403" s="521"/>
    </row>
    <row r="404" spans="4:45" ht="12.75" customHeight="1" x14ac:dyDescent="0.25">
      <c r="D404" s="336"/>
      <c r="E404" s="333"/>
      <c r="F404" s="333"/>
      <c r="G404" s="333"/>
      <c r="H404" s="333"/>
      <c r="AJ404" s="521"/>
    </row>
    <row r="405" spans="4:45" ht="12.75" customHeight="1" x14ac:dyDescent="0.25">
      <c r="D405" s="336"/>
      <c r="E405" s="333"/>
      <c r="F405" s="333"/>
      <c r="G405" s="333"/>
      <c r="H405" s="333"/>
      <c r="AJ405" s="521"/>
    </row>
    <row r="406" spans="4:45" ht="12.75" customHeight="1" x14ac:dyDescent="0.25">
      <c r="D406" s="336"/>
      <c r="E406" s="333"/>
      <c r="F406" s="333"/>
      <c r="G406" s="333"/>
      <c r="H406" s="333"/>
      <c r="AJ406" s="521"/>
    </row>
    <row r="407" spans="4:45" ht="12.75" customHeight="1" x14ac:dyDescent="0.25">
      <c r="D407" s="336"/>
      <c r="E407" s="333"/>
      <c r="F407" s="333"/>
      <c r="G407" s="333"/>
      <c r="H407" s="333"/>
      <c r="AJ407" s="521"/>
    </row>
    <row r="408" spans="4:45" ht="12.75" customHeight="1" x14ac:dyDescent="0.25">
      <c r="D408" s="336"/>
      <c r="E408" s="333"/>
      <c r="F408" s="333"/>
      <c r="G408" s="333"/>
      <c r="H408" s="333"/>
      <c r="AJ408" s="521"/>
    </row>
    <row r="409" spans="4:45" ht="12.75" customHeight="1" x14ac:dyDescent="0.25">
      <c r="D409" s="336"/>
      <c r="E409" s="333"/>
      <c r="F409" s="333"/>
      <c r="G409" s="333"/>
      <c r="H409" s="333"/>
      <c r="AJ409" s="521"/>
    </row>
    <row r="410" spans="4:45" ht="12.75" customHeight="1" x14ac:dyDescent="0.25">
      <c r="D410" s="336"/>
      <c r="E410" s="333"/>
      <c r="F410" s="333"/>
      <c r="G410" s="333"/>
      <c r="H410" s="333"/>
    </row>
    <row r="411" spans="4:45" ht="12.75" customHeight="1" x14ac:dyDescent="0.25">
      <c r="D411" s="336"/>
      <c r="E411" s="333"/>
      <c r="F411" s="333"/>
      <c r="G411" s="333"/>
      <c r="H411" s="333"/>
    </row>
    <row r="412" spans="4:45" ht="12.75" customHeight="1" x14ac:dyDescent="0.25">
      <c r="D412" s="336"/>
      <c r="E412" s="333"/>
      <c r="F412" s="333"/>
      <c r="G412" s="333"/>
      <c r="H412" s="333"/>
    </row>
    <row r="413" spans="4:45" ht="12.75" customHeight="1" x14ac:dyDescent="0.25">
      <c r="D413" s="336"/>
      <c r="E413" s="333"/>
      <c r="F413" s="333"/>
      <c r="G413" s="333"/>
      <c r="H413" s="333"/>
    </row>
    <row r="414" spans="4:45" ht="12.75" customHeight="1" x14ac:dyDescent="0.25">
      <c r="D414" s="336"/>
      <c r="E414" s="333"/>
      <c r="F414" s="333"/>
      <c r="G414" s="333"/>
      <c r="H414" s="333"/>
    </row>
    <row r="415" spans="4:45" ht="12.75" customHeight="1" x14ac:dyDescent="0.25">
      <c r="D415" s="336"/>
      <c r="E415" s="333"/>
      <c r="F415" s="333"/>
      <c r="G415" s="333"/>
      <c r="H415" s="333"/>
    </row>
    <row r="416" spans="4:45" ht="12.75" customHeight="1" x14ac:dyDescent="0.25">
      <c r="D416" s="336"/>
      <c r="E416" s="333"/>
      <c r="F416" s="333"/>
      <c r="G416" s="333"/>
      <c r="H416" s="333"/>
    </row>
    <row r="417" spans="4:8" ht="12.75" customHeight="1" x14ac:dyDescent="0.25">
      <c r="D417" s="336"/>
      <c r="E417" s="333"/>
      <c r="F417" s="333"/>
      <c r="G417" s="333"/>
      <c r="H417" s="333"/>
    </row>
    <row r="418" spans="4:8" ht="12.75" customHeight="1" x14ac:dyDescent="0.25">
      <c r="D418" s="336"/>
      <c r="E418" s="333"/>
      <c r="F418" s="333"/>
      <c r="G418" s="333"/>
      <c r="H418" s="333"/>
    </row>
    <row r="419" spans="4:8" ht="12.75" customHeight="1" x14ac:dyDescent="0.25">
      <c r="D419" s="336"/>
      <c r="E419" s="333"/>
      <c r="F419" s="333"/>
      <c r="G419" s="333"/>
      <c r="H419" s="333"/>
    </row>
    <row r="420" spans="4:8" ht="12.75" customHeight="1" x14ac:dyDescent="0.25">
      <c r="D420" s="336"/>
      <c r="E420" s="333"/>
      <c r="F420" s="333"/>
      <c r="G420" s="333"/>
      <c r="H420" s="333"/>
    </row>
    <row r="421" spans="4:8" ht="12.75" customHeight="1" x14ac:dyDescent="0.25">
      <c r="D421" s="336"/>
      <c r="E421" s="333"/>
      <c r="F421" s="333"/>
      <c r="G421" s="333"/>
      <c r="H421" s="333"/>
    </row>
    <row r="422" spans="4:8" ht="12.75" customHeight="1" x14ac:dyDescent="0.25">
      <c r="D422" s="336"/>
      <c r="E422" s="333"/>
      <c r="F422" s="333"/>
      <c r="G422" s="333"/>
      <c r="H422" s="333"/>
    </row>
    <row r="423" spans="4:8" ht="12.75" customHeight="1" x14ac:dyDescent="0.25">
      <c r="D423" s="336"/>
      <c r="E423" s="333"/>
      <c r="F423" s="333"/>
      <c r="G423" s="333"/>
      <c r="H423" s="333"/>
    </row>
    <row r="424" spans="4:8" ht="12.75" customHeight="1" x14ac:dyDescent="0.25">
      <c r="D424" s="336"/>
      <c r="E424" s="333"/>
      <c r="F424" s="333"/>
      <c r="G424" s="333"/>
      <c r="H424" s="333"/>
    </row>
    <row r="425" spans="4:8" ht="12.75" customHeight="1" x14ac:dyDescent="0.25">
      <c r="D425" s="336"/>
      <c r="E425" s="333"/>
      <c r="F425" s="333"/>
      <c r="G425" s="333"/>
      <c r="H425" s="333"/>
    </row>
    <row r="426" spans="4:8" ht="12.75" customHeight="1" x14ac:dyDescent="0.25">
      <c r="D426" s="336"/>
      <c r="E426" s="333"/>
      <c r="F426" s="333"/>
      <c r="G426" s="333"/>
      <c r="H426" s="333"/>
    </row>
    <row r="427" spans="4:8" ht="12.75" customHeight="1" x14ac:dyDescent="0.25">
      <c r="D427" s="336"/>
      <c r="E427" s="333"/>
      <c r="F427" s="333"/>
      <c r="G427" s="333"/>
      <c r="H427" s="333"/>
    </row>
    <row r="428" spans="4:8" ht="12.75" customHeight="1" x14ac:dyDescent="0.25">
      <c r="D428" s="336"/>
      <c r="E428" s="333"/>
      <c r="F428" s="333"/>
      <c r="G428" s="333"/>
      <c r="H428" s="333"/>
    </row>
    <row r="429" spans="4:8" ht="12.75" customHeight="1" x14ac:dyDescent="0.25">
      <c r="D429" s="336"/>
      <c r="E429" s="333"/>
      <c r="F429" s="333"/>
      <c r="G429" s="333"/>
      <c r="H429" s="333"/>
    </row>
    <row r="430" spans="4:8" ht="12.75" customHeight="1" x14ac:dyDescent="0.25">
      <c r="D430" s="336"/>
      <c r="E430" s="333"/>
      <c r="F430" s="333"/>
      <c r="G430" s="333"/>
      <c r="H430" s="333"/>
    </row>
    <row r="431" spans="4:8" ht="12.75" customHeight="1" x14ac:dyDescent="0.25">
      <c r="D431" s="336"/>
      <c r="E431" s="333"/>
      <c r="F431" s="333"/>
      <c r="G431" s="333"/>
      <c r="H431" s="333"/>
    </row>
    <row r="432" spans="4:8" ht="12.75" customHeight="1" x14ac:dyDescent="0.25">
      <c r="D432" s="336"/>
      <c r="E432" s="333"/>
      <c r="F432" s="333"/>
      <c r="G432" s="333"/>
      <c r="H432" s="333"/>
    </row>
    <row r="433" spans="4:8" ht="12.75" customHeight="1" x14ac:dyDescent="0.25">
      <c r="D433" s="336"/>
      <c r="E433" s="333"/>
      <c r="F433" s="333"/>
      <c r="G433" s="333"/>
      <c r="H433" s="333"/>
    </row>
    <row r="434" spans="4:8" ht="12.75" customHeight="1" x14ac:dyDescent="0.25">
      <c r="D434" s="336"/>
      <c r="E434" s="333"/>
      <c r="F434" s="333"/>
      <c r="G434" s="333"/>
      <c r="H434" s="333"/>
    </row>
    <row r="435" spans="4:8" ht="12.75" customHeight="1" x14ac:dyDescent="0.25">
      <c r="D435" s="336"/>
      <c r="E435" s="333"/>
      <c r="F435" s="333"/>
      <c r="G435" s="333"/>
      <c r="H435" s="333"/>
    </row>
    <row r="436" spans="4:8" ht="12.75" customHeight="1" x14ac:dyDescent="0.25">
      <c r="D436" s="336"/>
      <c r="E436" s="333"/>
      <c r="F436" s="333"/>
      <c r="G436" s="333"/>
      <c r="H436" s="333"/>
    </row>
    <row r="437" spans="4:8" ht="12.75" customHeight="1" x14ac:dyDescent="0.25">
      <c r="D437" s="336"/>
      <c r="E437" s="333"/>
      <c r="F437" s="333"/>
      <c r="G437" s="333"/>
      <c r="H437" s="333"/>
    </row>
    <row r="438" spans="4:8" ht="12.75" customHeight="1" x14ac:dyDescent="0.25">
      <c r="D438" s="336"/>
      <c r="E438" s="333"/>
      <c r="F438" s="333"/>
      <c r="G438" s="333"/>
      <c r="H438" s="333"/>
    </row>
    <row r="439" spans="4:8" ht="12.75" customHeight="1" x14ac:dyDescent="0.25">
      <c r="D439" s="336"/>
      <c r="E439" s="333"/>
      <c r="F439" s="333"/>
      <c r="G439" s="333"/>
      <c r="H439" s="333"/>
    </row>
    <row r="440" spans="4:8" ht="12.75" customHeight="1" x14ac:dyDescent="0.25">
      <c r="D440" s="336"/>
      <c r="E440" s="333"/>
      <c r="F440" s="333"/>
      <c r="G440" s="333"/>
      <c r="H440" s="333"/>
    </row>
    <row r="441" spans="4:8" ht="12.75" customHeight="1" x14ac:dyDescent="0.25">
      <c r="D441" s="336"/>
      <c r="E441" s="333"/>
      <c r="F441" s="333"/>
      <c r="G441" s="333"/>
      <c r="H441" s="333"/>
    </row>
    <row r="442" spans="4:8" ht="12.75" customHeight="1" x14ac:dyDescent="0.25">
      <c r="D442" s="336"/>
      <c r="E442" s="333"/>
      <c r="F442" s="333"/>
      <c r="G442" s="333"/>
      <c r="H442" s="333"/>
    </row>
    <row r="443" spans="4:8" ht="12.75" customHeight="1" x14ac:dyDescent="0.25">
      <c r="D443" s="336"/>
      <c r="E443" s="333"/>
      <c r="F443" s="333"/>
      <c r="G443" s="333"/>
      <c r="H443" s="333"/>
    </row>
    <row r="444" spans="4:8" ht="12.75" customHeight="1" x14ac:dyDescent="0.25">
      <c r="D444" s="336"/>
      <c r="E444" s="333"/>
      <c r="F444" s="333"/>
      <c r="G444" s="333"/>
      <c r="H444" s="333"/>
    </row>
    <row r="445" spans="4:8" ht="12.75" customHeight="1" x14ac:dyDescent="0.25">
      <c r="D445" s="336"/>
      <c r="E445" s="333"/>
      <c r="F445" s="333"/>
      <c r="G445" s="333"/>
      <c r="H445" s="333"/>
    </row>
    <row r="446" spans="4:8" ht="12.75" customHeight="1" x14ac:dyDescent="0.25">
      <c r="D446" s="336"/>
      <c r="E446" s="333"/>
      <c r="F446" s="333"/>
      <c r="G446" s="333"/>
      <c r="H446" s="333"/>
    </row>
    <row r="447" spans="4:8" ht="12.75" customHeight="1" x14ac:dyDescent="0.25">
      <c r="D447" s="336"/>
      <c r="E447" s="333"/>
      <c r="F447" s="333"/>
      <c r="G447" s="333"/>
      <c r="H447" s="333"/>
    </row>
    <row r="448" spans="4:8" ht="12.75" customHeight="1" x14ac:dyDescent="0.25">
      <c r="D448" s="336"/>
      <c r="E448" s="333"/>
      <c r="F448" s="333"/>
      <c r="G448" s="333"/>
      <c r="H448" s="333"/>
    </row>
    <row r="449" spans="4:8" ht="12.75" customHeight="1" x14ac:dyDescent="0.25">
      <c r="D449" s="336"/>
      <c r="E449" s="333"/>
      <c r="F449" s="333"/>
      <c r="G449" s="333"/>
      <c r="H449" s="333"/>
    </row>
    <row r="450" spans="4:8" ht="12.75" customHeight="1" x14ac:dyDescent="0.25">
      <c r="D450" s="336"/>
      <c r="E450" s="333"/>
      <c r="F450" s="333"/>
      <c r="G450" s="333"/>
      <c r="H450" s="333"/>
    </row>
    <row r="451" spans="4:8" ht="12.75" customHeight="1" x14ac:dyDescent="0.25">
      <c r="D451" s="336"/>
      <c r="E451" s="333"/>
      <c r="F451" s="333"/>
      <c r="G451" s="333"/>
      <c r="H451" s="333"/>
    </row>
    <row r="452" spans="4:8" ht="12.75" customHeight="1" x14ac:dyDescent="0.25">
      <c r="D452" s="336"/>
      <c r="E452" s="333"/>
      <c r="F452" s="333"/>
      <c r="G452" s="333"/>
      <c r="H452" s="333"/>
    </row>
    <row r="453" spans="4:8" ht="12.75" customHeight="1" x14ac:dyDescent="0.25">
      <c r="D453" s="336"/>
      <c r="E453" s="333"/>
      <c r="F453" s="333"/>
      <c r="G453" s="333"/>
      <c r="H453" s="333"/>
    </row>
    <row r="454" spans="4:8" ht="12.75" customHeight="1" x14ac:dyDescent="0.25">
      <c r="D454" s="336"/>
      <c r="E454" s="333"/>
      <c r="F454" s="333"/>
      <c r="G454" s="333"/>
      <c r="H454" s="333"/>
    </row>
    <row r="455" spans="4:8" ht="12.75" customHeight="1" x14ac:dyDescent="0.25">
      <c r="D455" s="336"/>
      <c r="E455" s="333"/>
      <c r="F455" s="333"/>
      <c r="G455" s="333"/>
      <c r="H455" s="333"/>
    </row>
    <row r="456" spans="4:8" ht="12.75" customHeight="1" x14ac:dyDescent="0.25">
      <c r="D456" s="336"/>
      <c r="E456" s="333"/>
      <c r="F456" s="333"/>
      <c r="G456" s="333"/>
      <c r="H456" s="333"/>
    </row>
    <row r="457" spans="4:8" ht="12.75" customHeight="1" x14ac:dyDescent="0.25">
      <c r="D457" s="336"/>
      <c r="E457" s="333"/>
      <c r="F457" s="333"/>
      <c r="G457" s="333"/>
      <c r="H457" s="333"/>
    </row>
    <row r="458" spans="4:8" ht="12.75" customHeight="1" x14ac:dyDescent="0.25">
      <c r="D458" s="336"/>
      <c r="E458" s="333"/>
      <c r="F458" s="333"/>
      <c r="G458" s="333"/>
      <c r="H458" s="333"/>
    </row>
    <row r="459" spans="4:8" ht="12.75" customHeight="1" x14ac:dyDescent="0.25">
      <c r="D459" s="336"/>
      <c r="E459" s="333"/>
      <c r="F459" s="333"/>
      <c r="G459" s="333"/>
      <c r="H459" s="333"/>
    </row>
    <row r="460" spans="4:8" ht="12.75" customHeight="1" x14ac:dyDescent="0.25">
      <c r="D460" s="336"/>
      <c r="E460" s="333"/>
      <c r="F460" s="333"/>
      <c r="G460" s="333"/>
      <c r="H460" s="333"/>
    </row>
    <row r="461" spans="4:8" ht="12.75" customHeight="1" x14ac:dyDescent="0.25">
      <c r="D461" s="336"/>
      <c r="E461" s="333"/>
      <c r="F461" s="333"/>
      <c r="G461" s="333"/>
      <c r="H461" s="333"/>
    </row>
    <row r="462" spans="4:8" ht="12.75" customHeight="1" x14ac:dyDescent="0.25">
      <c r="D462" s="336"/>
      <c r="E462" s="333"/>
      <c r="F462" s="333"/>
      <c r="G462" s="333"/>
      <c r="H462" s="333"/>
    </row>
    <row r="463" spans="4:8" ht="12.75" customHeight="1" x14ac:dyDescent="0.25">
      <c r="D463" s="336"/>
      <c r="E463" s="333"/>
      <c r="F463" s="333"/>
      <c r="G463" s="333"/>
      <c r="H463" s="333"/>
    </row>
    <row r="464" spans="4:8" ht="12.75" customHeight="1" x14ac:dyDescent="0.25">
      <c r="D464" s="336"/>
      <c r="E464" s="333"/>
      <c r="F464" s="333"/>
      <c r="G464" s="333"/>
      <c r="H464" s="333"/>
    </row>
    <row r="465" spans="4:8" ht="12.75" customHeight="1" x14ac:dyDescent="0.25">
      <c r="D465" s="336"/>
      <c r="E465" s="333"/>
      <c r="F465" s="333"/>
      <c r="G465" s="333"/>
      <c r="H465" s="333"/>
    </row>
    <row r="466" spans="4:8" ht="12.75" customHeight="1" x14ac:dyDescent="0.25">
      <c r="D466" s="336"/>
      <c r="E466" s="333"/>
      <c r="F466" s="333"/>
      <c r="G466" s="333"/>
      <c r="H466" s="333"/>
    </row>
    <row r="467" spans="4:8" ht="12.75" customHeight="1" x14ac:dyDescent="0.25">
      <c r="D467" s="336"/>
      <c r="E467" s="333"/>
      <c r="F467" s="333"/>
      <c r="G467" s="333"/>
      <c r="H467" s="333"/>
    </row>
    <row r="468" spans="4:8" ht="12.75" customHeight="1" x14ac:dyDescent="0.25">
      <c r="D468" s="336"/>
      <c r="E468" s="333"/>
      <c r="F468" s="333"/>
      <c r="G468" s="333"/>
      <c r="H468" s="333"/>
    </row>
    <row r="469" spans="4:8" ht="12.75" customHeight="1" x14ac:dyDescent="0.25">
      <c r="D469" s="336"/>
      <c r="E469" s="333"/>
      <c r="F469" s="333"/>
      <c r="G469" s="333"/>
      <c r="H469" s="333"/>
    </row>
    <row r="470" spans="4:8" ht="12.75" customHeight="1" x14ac:dyDescent="0.25">
      <c r="D470" s="336"/>
      <c r="E470" s="333"/>
      <c r="F470" s="333"/>
      <c r="G470" s="333"/>
      <c r="H470" s="333"/>
    </row>
    <row r="471" spans="4:8" ht="12.75" customHeight="1" x14ac:dyDescent="0.25">
      <c r="D471" s="336"/>
      <c r="E471" s="333"/>
      <c r="F471" s="333"/>
      <c r="G471" s="333"/>
      <c r="H471" s="333"/>
    </row>
    <row r="472" spans="4:8" ht="12.75" customHeight="1" x14ac:dyDescent="0.25">
      <c r="D472" s="336"/>
      <c r="E472" s="333"/>
      <c r="F472" s="333"/>
      <c r="G472" s="333"/>
      <c r="H472" s="333"/>
    </row>
    <row r="473" spans="4:8" ht="12.75" customHeight="1" x14ac:dyDescent="0.25">
      <c r="D473" s="336"/>
      <c r="E473" s="333"/>
      <c r="F473" s="333"/>
      <c r="G473" s="333"/>
      <c r="H473" s="333"/>
    </row>
    <row r="474" spans="4:8" ht="12.75" customHeight="1" x14ac:dyDescent="0.25">
      <c r="D474" s="336"/>
      <c r="E474" s="333"/>
      <c r="F474" s="333"/>
      <c r="G474" s="333"/>
      <c r="H474" s="333"/>
    </row>
    <row r="475" spans="4:8" ht="12.75" customHeight="1" x14ac:dyDescent="0.25">
      <c r="D475" s="336"/>
      <c r="E475" s="333"/>
      <c r="F475" s="333"/>
      <c r="G475" s="333"/>
      <c r="H475" s="333"/>
    </row>
    <row r="476" spans="4:8" ht="12.75" customHeight="1" x14ac:dyDescent="0.25">
      <c r="D476" s="336"/>
      <c r="E476" s="333"/>
      <c r="F476" s="333"/>
      <c r="G476" s="333"/>
      <c r="H476" s="333"/>
    </row>
    <row r="477" spans="4:8" ht="12.75" customHeight="1" x14ac:dyDescent="0.25">
      <c r="D477" s="336"/>
      <c r="E477" s="333"/>
      <c r="F477" s="333"/>
      <c r="G477" s="333"/>
      <c r="H477" s="333"/>
    </row>
    <row r="478" spans="4:8" ht="12.75" customHeight="1" x14ac:dyDescent="0.25">
      <c r="D478" s="336"/>
      <c r="E478" s="333"/>
      <c r="F478" s="333"/>
      <c r="G478" s="333"/>
      <c r="H478" s="333"/>
    </row>
    <row r="479" spans="4:8" ht="12.75" customHeight="1" x14ac:dyDescent="0.25">
      <c r="D479" s="336"/>
      <c r="E479" s="333"/>
      <c r="F479" s="333"/>
      <c r="G479" s="333"/>
      <c r="H479" s="333"/>
    </row>
    <row r="480" spans="4:8" ht="12.75" customHeight="1" x14ac:dyDescent="0.25">
      <c r="D480" s="336"/>
      <c r="E480" s="333"/>
      <c r="F480" s="333"/>
      <c r="G480" s="333"/>
      <c r="H480" s="333"/>
    </row>
    <row r="481" spans="4:8" ht="12.75" customHeight="1" x14ac:dyDescent="0.25">
      <c r="D481" s="336"/>
      <c r="E481" s="333"/>
      <c r="F481" s="333"/>
      <c r="G481" s="333"/>
      <c r="H481" s="333"/>
    </row>
    <row r="482" spans="4:8" ht="12.75" customHeight="1" x14ac:dyDescent="0.25">
      <c r="D482" s="336"/>
      <c r="E482" s="333"/>
      <c r="F482" s="333"/>
      <c r="G482" s="333"/>
      <c r="H482" s="333"/>
    </row>
    <row r="483" spans="4:8" ht="12.75" customHeight="1" x14ac:dyDescent="0.25">
      <c r="D483" s="336"/>
      <c r="E483" s="333"/>
      <c r="F483" s="333"/>
      <c r="G483" s="333"/>
      <c r="H483" s="333"/>
    </row>
    <row r="484" spans="4:8" ht="12.75" customHeight="1" x14ac:dyDescent="0.25">
      <c r="D484" s="336"/>
      <c r="E484" s="333"/>
      <c r="F484" s="333"/>
      <c r="G484" s="333"/>
      <c r="H484" s="333"/>
    </row>
    <row r="485" spans="4:8" ht="12.75" customHeight="1" x14ac:dyDescent="0.25">
      <c r="D485" s="336"/>
      <c r="E485" s="333"/>
      <c r="F485" s="333"/>
      <c r="G485" s="333"/>
      <c r="H485" s="333"/>
    </row>
    <row r="486" spans="4:8" ht="12.75" customHeight="1" x14ac:dyDescent="0.25">
      <c r="D486" s="336"/>
      <c r="E486" s="333"/>
      <c r="F486" s="333"/>
      <c r="G486" s="333"/>
      <c r="H486" s="333"/>
    </row>
    <row r="487" spans="4:8" ht="12.75" customHeight="1" x14ac:dyDescent="0.25">
      <c r="D487" s="336"/>
      <c r="E487" s="333"/>
      <c r="F487" s="333"/>
      <c r="G487" s="333"/>
      <c r="H487" s="333"/>
    </row>
    <row r="488" spans="4:8" ht="12.75" customHeight="1" x14ac:dyDescent="0.25">
      <c r="D488" s="336"/>
      <c r="E488" s="333"/>
      <c r="F488" s="333"/>
      <c r="G488" s="333"/>
      <c r="H488" s="333"/>
    </row>
    <row r="489" spans="4:8" ht="12.75" customHeight="1" x14ac:dyDescent="0.25">
      <c r="D489" s="336"/>
      <c r="E489" s="333"/>
      <c r="F489" s="333"/>
      <c r="G489" s="333"/>
      <c r="H489" s="333"/>
    </row>
    <row r="490" spans="4:8" ht="12.75" customHeight="1" x14ac:dyDescent="0.25">
      <c r="D490" s="336"/>
      <c r="E490" s="333"/>
      <c r="F490" s="333"/>
      <c r="G490" s="333"/>
      <c r="H490" s="333"/>
    </row>
    <row r="491" spans="4:8" ht="12.75" customHeight="1" x14ac:dyDescent="0.25">
      <c r="D491" s="336"/>
      <c r="E491" s="333"/>
      <c r="F491" s="333"/>
      <c r="G491" s="333"/>
      <c r="H491" s="333"/>
    </row>
    <row r="492" spans="4:8" ht="12.75" customHeight="1" x14ac:dyDescent="0.25">
      <c r="D492" s="336"/>
      <c r="E492" s="333"/>
      <c r="F492" s="333"/>
      <c r="G492" s="333"/>
      <c r="H492" s="333"/>
    </row>
    <row r="493" spans="4:8" ht="12.75" customHeight="1" x14ac:dyDescent="0.25">
      <c r="D493" s="336"/>
      <c r="E493" s="333"/>
      <c r="F493" s="333"/>
      <c r="G493" s="333"/>
      <c r="H493" s="333"/>
    </row>
    <row r="494" spans="4:8" ht="12.75" customHeight="1" x14ac:dyDescent="0.25">
      <c r="D494" s="336"/>
      <c r="E494" s="333"/>
      <c r="F494" s="333"/>
      <c r="G494" s="333"/>
      <c r="H494" s="333"/>
    </row>
    <row r="495" spans="4:8" ht="12.75" customHeight="1" x14ac:dyDescent="0.25">
      <c r="D495" s="336"/>
      <c r="E495" s="333"/>
      <c r="F495" s="333"/>
      <c r="G495" s="333"/>
      <c r="H495" s="333"/>
    </row>
    <row r="496" spans="4:8" ht="12.75" customHeight="1" x14ac:dyDescent="0.25">
      <c r="D496" s="336"/>
      <c r="E496" s="333"/>
      <c r="F496" s="333"/>
      <c r="G496" s="333"/>
      <c r="H496" s="333"/>
    </row>
    <row r="497" spans="4:8" ht="12.75" customHeight="1" x14ac:dyDescent="0.25">
      <c r="D497" s="336"/>
      <c r="E497" s="333"/>
      <c r="F497" s="333"/>
      <c r="G497" s="333"/>
      <c r="H497" s="333"/>
    </row>
    <row r="498" spans="4:8" ht="12.75" customHeight="1" x14ac:dyDescent="0.25">
      <c r="D498" s="336"/>
      <c r="E498" s="333"/>
      <c r="F498" s="333"/>
      <c r="G498" s="333"/>
      <c r="H498" s="333"/>
    </row>
    <row r="499" spans="4:8" ht="12.75" customHeight="1" x14ac:dyDescent="0.25">
      <c r="D499" s="336"/>
      <c r="E499" s="333"/>
      <c r="F499" s="333"/>
      <c r="G499" s="333"/>
      <c r="H499" s="333"/>
    </row>
    <row r="500" spans="4:8" ht="12.75" customHeight="1" x14ac:dyDescent="0.25">
      <c r="D500" s="336"/>
      <c r="E500" s="333"/>
      <c r="F500" s="333"/>
      <c r="G500" s="333"/>
      <c r="H500" s="333"/>
    </row>
    <row r="501" spans="4:8" ht="12.75" customHeight="1" x14ac:dyDescent="0.25">
      <c r="D501" s="336"/>
      <c r="E501" s="333"/>
      <c r="F501" s="333"/>
      <c r="G501" s="333"/>
      <c r="H501" s="333"/>
    </row>
    <row r="502" spans="4:8" ht="12.75" customHeight="1" x14ac:dyDescent="0.25">
      <c r="D502" s="336"/>
      <c r="E502" s="333"/>
      <c r="F502" s="333"/>
      <c r="G502" s="333"/>
      <c r="H502" s="333"/>
    </row>
    <row r="503" spans="4:8" ht="12.75" customHeight="1" x14ac:dyDescent="0.25">
      <c r="D503" s="336"/>
      <c r="E503" s="333"/>
      <c r="F503" s="333"/>
      <c r="G503" s="333"/>
      <c r="H503" s="333"/>
    </row>
    <row r="504" spans="4:8" ht="12.75" customHeight="1" x14ac:dyDescent="0.25">
      <c r="D504" s="336"/>
      <c r="E504" s="333"/>
      <c r="F504" s="333"/>
      <c r="G504" s="333"/>
      <c r="H504" s="333"/>
    </row>
    <row r="505" spans="4:8" ht="12.75" customHeight="1" x14ac:dyDescent="0.25">
      <c r="D505" s="336"/>
      <c r="E505" s="333"/>
      <c r="F505" s="333"/>
      <c r="G505" s="333"/>
      <c r="H505" s="333"/>
    </row>
    <row r="506" spans="4:8" ht="12.75" customHeight="1" x14ac:dyDescent="0.25">
      <c r="D506" s="336"/>
      <c r="E506" s="333"/>
      <c r="F506" s="333"/>
      <c r="G506" s="333"/>
      <c r="H506" s="333"/>
    </row>
    <row r="507" spans="4:8" ht="12.75" customHeight="1" x14ac:dyDescent="0.25">
      <c r="D507" s="336"/>
      <c r="E507" s="333"/>
      <c r="F507" s="333"/>
      <c r="G507" s="333"/>
      <c r="H507" s="333"/>
    </row>
    <row r="508" spans="4:8" ht="12.75" customHeight="1" x14ac:dyDescent="0.25">
      <c r="D508" s="336"/>
      <c r="E508" s="333"/>
      <c r="F508" s="333"/>
      <c r="G508" s="333"/>
      <c r="H508" s="333"/>
    </row>
    <row r="509" spans="4:8" ht="12.75" customHeight="1" x14ac:dyDescent="0.25">
      <c r="D509" s="336"/>
      <c r="E509" s="333"/>
      <c r="F509" s="333"/>
      <c r="G509" s="333"/>
      <c r="H509" s="333"/>
    </row>
    <row r="510" spans="4:8" ht="12.75" customHeight="1" x14ac:dyDescent="0.25">
      <c r="D510" s="336"/>
      <c r="E510" s="333"/>
      <c r="F510" s="333"/>
      <c r="G510" s="333"/>
      <c r="H510" s="333"/>
    </row>
    <row r="511" spans="4:8" ht="12.75" customHeight="1" x14ac:dyDescent="0.25">
      <c r="D511" s="336"/>
      <c r="E511" s="333"/>
      <c r="F511" s="333"/>
      <c r="G511" s="333"/>
      <c r="H511" s="333"/>
    </row>
    <row r="512" spans="4:8" ht="12.75" customHeight="1" x14ac:dyDescent="0.25">
      <c r="D512" s="336"/>
      <c r="E512" s="333"/>
      <c r="F512" s="333"/>
      <c r="G512" s="333"/>
      <c r="H512" s="333"/>
    </row>
    <row r="513" spans="4:8" ht="12.75" customHeight="1" x14ac:dyDescent="0.25">
      <c r="D513" s="336"/>
      <c r="E513" s="333"/>
      <c r="F513" s="333"/>
      <c r="G513" s="333"/>
      <c r="H513" s="333"/>
    </row>
    <row r="514" spans="4:8" ht="12.75" customHeight="1" x14ac:dyDescent="0.25">
      <c r="D514" s="336"/>
      <c r="E514" s="333"/>
      <c r="F514" s="333"/>
      <c r="G514" s="333"/>
      <c r="H514" s="333"/>
    </row>
    <row r="515" spans="4:8" ht="12.75" customHeight="1" x14ac:dyDescent="0.25">
      <c r="D515" s="336"/>
      <c r="E515" s="333"/>
      <c r="F515" s="333"/>
      <c r="G515" s="333"/>
      <c r="H515" s="333"/>
    </row>
    <row r="516" spans="4:8" ht="12.75" customHeight="1" x14ac:dyDescent="0.25">
      <c r="D516" s="336"/>
      <c r="E516" s="333"/>
      <c r="F516" s="333"/>
      <c r="G516" s="333"/>
      <c r="H516" s="333"/>
    </row>
    <row r="517" spans="4:8" ht="12.75" customHeight="1" x14ac:dyDescent="0.25">
      <c r="D517" s="336"/>
      <c r="E517" s="333"/>
      <c r="F517" s="333"/>
      <c r="G517" s="333"/>
      <c r="H517" s="333"/>
    </row>
    <row r="518" spans="4:8" ht="12.75" customHeight="1" x14ac:dyDescent="0.25">
      <c r="D518" s="336"/>
      <c r="E518" s="333"/>
      <c r="F518" s="333"/>
      <c r="G518" s="333"/>
      <c r="H518" s="333"/>
    </row>
    <row r="519" spans="4:8" ht="12.75" customHeight="1" x14ac:dyDescent="0.25">
      <c r="D519" s="336"/>
      <c r="E519" s="333"/>
      <c r="F519" s="333"/>
      <c r="G519" s="333"/>
      <c r="H519" s="333"/>
    </row>
    <row r="520" spans="4:8" ht="12.75" customHeight="1" x14ac:dyDescent="0.25">
      <c r="D520" s="336"/>
      <c r="E520" s="333"/>
      <c r="F520" s="333"/>
      <c r="G520" s="333"/>
      <c r="H520" s="333"/>
    </row>
    <row r="521" spans="4:8" ht="12.75" customHeight="1" x14ac:dyDescent="0.25">
      <c r="D521" s="336"/>
      <c r="E521" s="333"/>
      <c r="F521" s="333"/>
      <c r="G521" s="333"/>
      <c r="H521" s="333"/>
    </row>
    <row r="522" spans="4:8" ht="12.75" customHeight="1" x14ac:dyDescent="0.25">
      <c r="D522" s="336"/>
      <c r="E522" s="333"/>
      <c r="F522" s="333"/>
      <c r="G522" s="333"/>
      <c r="H522" s="333"/>
    </row>
    <row r="523" spans="4:8" ht="12.75" customHeight="1" x14ac:dyDescent="0.25">
      <c r="D523" s="336"/>
      <c r="E523" s="333"/>
      <c r="F523" s="333"/>
      <c r="G523" s="333"/>
      <c r="H523" s="333"/>
    </row>
    <row r="524" spans="4:8" ht="12.75" customHeight="1" x14ac:dyDescent="0.25">
      <c r="D524" s="336"/>
      <c r="E524" s="333"/>
      <c r="F524" s="333"/>
      <c r="G524" s="333"/>
      <c r="H524" s="333"/>
    </row>
    <row r="525" spans="4:8" ht="12.75" customHeight="1" x14ac:dyDescent="0.25">
      <c r="D525" s="336"/>
      <c r="E525" s="333"/>
      <c r="F525" s="333"/>
      <c r="G525" s="333"/>
      <c r="H525" s="333"/>
    </row>
    <row r="526" spans="4:8" ht="12.75" customHeight="1" x14ac:dyDescent="0.25">
      <c r="D526" s="336"/>
      <c r="E526" s="333"/>
      <c r="F526" s="333"/>
      <c r="G526" s="333"/>
      <c r="H526" s="333"/>
    </row>
    <row r="527" spans="4:8" ht="12.75" customHeight="1" x14ac:dyDescent="0.25">
      <c r="D527" s="336"/>
      <c r="E527" s="333"/>
      <c r="F527" s="333"/>
      <c r="G527" s="333"/>
      <c r="H527" s="333"/>
    </row>
    <row r="528" spans="4:8" ht="12.75" customHeight="1" x14ac:dyDescent="0.25">
      <c r="D528" s="336"/>
      <c r="E528" s="333"/>
      <c r="F528" s="333"/>
      <c r="G528" s="333"/>
      <c r="H528" s="333"/>
    </row>
    <row r="529" spans="4:8" ht="12.75" customHeight="1" x14ac:dyDescent="0.25">
      <c r="D529" s="336"/>
      <c r="E529" s="333"/>
      <c r="F529" s="333"/>
      <c r="G529" s="333"/>
      <c r="H529" s="333"/>
    </row>
    <row r="530" spans="4:8" ht="12.75" customHeight="1" x14ac:dyDescent="0.25">
      <c r="D530" s="336"/>
      <c r="E530" s="333"/>
      <c r="F530" s="333"/>
      <c r="G530" s="333"/>
      <c r="H530" s="333"/>
    </row>
    <row r="531" spans="4:8" ht="12.75" customHeight="1" x14ac:dyDescent="0.25">
      <c r="D531" s="336"/>
      <c r="E531" s="333"/>
      <c r="F531" s="333"/>
      <c r="G531" s="333"/>
      <c r="H531" s="333"/>
    </row>
    <row r="532" spans="4:8" ht="12.75" customHeight="1" x14ac:dyDescent="0.25">
      <c r="D532" s="336"/>
      <c r="E532" s="333"/>
      <c r="F532" s="333"/>
      <c r="G532" s="333"/>
      <c r="H532" s="333"/>
    </row>
    <row r="533" spans="4:8" ht="12.75" customHeight="1" x14ac:dyDescent="0.25">
      <c r="D533" s="336"/>
      <c r="E533" s="333"/>
      <c r="F533" s="333"/>
      <c r="G533" s="333"/>
      <c r="H533" s="333"/>
    </row>
    <row r="534" spans="4:8" ht="12.75" customHeight="1" x14ac:dyDescent="0.25">
      <c r="D534" s="336"/>
      <c r="E534" s="333"/>
      <c r="F534" s="333"/>
      <c r="G534" s="333"/>
      <c r="H534" s="333"/>
    </row>
    <row r="535" spans="4:8" ht="12.75" customHeight="1" x14ac:dyDescent="0.25">
      <c r="D535" s="336"/>
      <c r="E535" s="333"/>
      <c r="F535" s="333"/>
      <c r="G535" s="333"/>
      <c r="H535" s="333"/>
    </row>
    <row r="536" spans="4:8" ht="12.75" customHeight="1" x14ac:dyDescent="0.25">
      <c r="D536" s="336"/>
      <c r="E536" s="333"/>
      <c r="F536" s="333"/>
      <c r="G536" s="333"/>
      <c r="H536" s="333"/>
    </row>
    <row r="537" spans="4:8" ht="12.75" customHeight="1" x14ac:dyDescent="0.25">
      <c r="D537" s="336"/>
      <c r="E537" s="333"/>
      <c r="F537" s="333"/>
      <c r="G537" s="333"/>
      <c r="H537" s="333"/>
    </row>
    <row r="538" spans="4:8" ht="12.75" customHeight="1" x14ac:dyDescent="0.25">
      <c r="D538" s="336"/>
      <c r="E538" s="333"/>
      <c r="F538" s="333"/>
      <c r="G538" s="333"/>
      <c r="H538" s="333"/>
    </row>
    <row r="539" spans="4:8" ht="12.75" customHeight="1" x14ac:dyDescent="0.25">
      <c r="D539" s="336"/>
      <c r="E539" s="333"/>
      <c r="F539" s="333"/>
      <c r="G539" s="333"/>
      <c r="H539" s="333"/>
    </row>
    <row r="540" spans="4:8" ht="12.75" customHeight="1" x14ac:dyDescent="0.25">
      <c r="D540" s="336"/>
      <c r="E540" s="333"/>
      <c r="F540" s="333"/>
      <c r="G540" s="333"/>
      <c r="H540" s="333"/>
    </row>
    <row r="541" spans="4:8" ht="12.75" customHeight="1" x14ac:dyDescent="0.25">
      <c r="D541" s="336"/>
      <c r="E541" s="333"/>
      <c r="F541" s="333"/>
      <c r="G541" s="333"/>
      <c r="H541" s="333"/>
    </row>
    <row r="542" spans="4:8" ht="12.75" customHeight="1" x14ac:dyDescent="0.25">
      <c r="D542" s="336"/>
      <c r="E542" s="333"/>
      <c r="F542" s="333"/>
      <c r="G542" s="333"/>
      <c r="H542" s="333"/>
    </row>
    <row r="543" spans="4:8" ht="12.75" customHeight="1" x14ac:dyDescent="0.25">
      <c r="D543" s="336"/>
      <c r="E543" s="333"/>
      <c r="F543" s="333"/>
      <c r="G543" s="333"/>
      <c r="H543" s="333"/>
    </row>
    <row r="544" spans="4:8" ht="12.75" customHeight="1" x14ac:dyDescent="0.25">
      <c r="D544" s="336"/>
      <c r="E544" s="333"/>
      <c r="F544" s="333"/>
      <c r="G544" s="333"/>
      <c r="H544" s="333"/>
    </row>
    <row r="545" spans="4:8" ht="12.75" customHeight="1" x14ac:dyDescent="0.25">
      <c r="D545" s="336"/>
      <c r="E545" s="333"/>
      <c r="F545" s="333"/>
      <c r="G545" s="333"/>
      <c r="H545" s="333"/>
    </row>
    <row r="546" spans="4:8" ht="12.75" customHeight="1" x14ac:dyDescent="0.25">
      <c r="D546" s="336"/>
      <c r="E546" s="333"/>
      <c r="F546" s="333"/>
      <c r="G546" s="333"/>
      <c r="H546" s="333"/>
    </row>
    <row r="547" spans="4:8" ht="12.75" customHeight="1" x14ac:dyDescent="0.25">
      <c r="D547" s="336"/>
      <c r="E547" s="333"/>
      <c r="F547" s="333"/>
      <c r="G547" s="333"/>
      <c r="H547" s="333"/>
    </row>
    <row r="548" spans="4:8" ht="12.75" customHeight="1" x14ac:dyDescent="0.25">
      <c r="D548" s="336"/>
      <c r="E548" s="333"/>
      <c r="F548" s="333"/>
      <c r="G548" s="333"/>
      <c r="H548" s="333"/>
    </row>
    <row r="549" spans="4:8" ht="12.75" customHeight="1" x14ac:dyDescent="0.25">
      <c r="D549" s="336"/>
      <c r="E549" s="333"/>
      <c r="F549" s="333"/>
      <c r="G549" s="333"/>
      <c r="H549" s="333"/>
    </row>
    <row r="550" spans="4:8" ht="12.75" customHeight="1" x14ac:dyDescent="0.25">
      <c r="D550" s="336"/>
      <c r="E550" s="333"/>
      <c r="F550" s="333"/>
      <c r="G550" s="333"/>
      <c r="H550" s="333"/>
    </row>
    <row r="551" spans="4:8" ht="12.75" customHeight="1" x14ac:dyDescent="0.25">
      <c r="D551" s="336"/>
      <c r="E551" s="333"/>
      <c r="F551" s="333"/>
      <c r="G551" s="333"/>
      <c r="H551" s="333"/>
    </row>
    <row r="552" spans="4:8" ht="12.75" customHeight="1" x14ac:dyDescent="0.25">
      <c r="D552" s="336"/>
      <c r="E552" s="333"/>
      <c r="F552" s="333"/>
      <c r="G552" s="333"/>
      <c r="H552" s="333"/>
    </row>
    <row r="553" spans="4:8" ht="12.75" customHeight="1" x14ac:dyDescent="0.25">
      <c r="D553" s="336"/>
      <c r="E553" s="333"/>
      <c r="F553" s="333"/>
      <c r="G553" s="333"/>
      <c r="H553" s="333"/>
    </row>
    <row r="554" spans="4:8" ht="12.75" customHeight="1" x14ac:dyDescent="0.25">
      <c r="D554" s="336"/>
      <c r="E554" s="333"/>
      <c r="F554" s="333"/>
      <c r="G554" s="333"/>
      <c r="H554" s="333"/>
    </row>
    <row r="555" spans="4:8" ht="12.75" customHeight="1" x14ac:dyDescent="0.25">
      <c r="D555" s="336"/>
      <c r="E555" s="333"/>
      <c r="F555" s="333"/>
      <c r="G555" s="333"/>
      <c r="H555" s="333"/>
    </row>
    <row r="556" spans="4:8" ht="12.75" customHeight="1" x14ac:dyDescent="0.25">
      <c r="D556" s="336"/>
      <c r="E556" s="333"/>
      <c r="F556" s="333"/>
      <c r="G556" s="333"/>
      <c r="H556" s="333"/>
    </row>
    <row r="557" spans="4:8" ht="12.75" customHeight="1" x14ac:dyDescent="0.25">
      <c r="D557" s="336"/>
      <c r="E557" s="333"/>
      <c r="F557" s="333"/>
      <c r="G557" s="333"/>
      <c r="H557" s="333"/>
    </row>
    <row r="558" spans="4:8" ht="12.75" customHeight="1" x14ac:dyDescent="0.25">
      <c r="D558" s="336"/>
      <c r="E558" s="333"/>
      <c r="F558" s="333"/>
      <c r="G558" s="333"/>
      <c r="H558" s="333"/>
    </row>
    <row r="559" spans="4:8" ht="12.75" customHeight="1" x14ac:dyDescent="0.25">
      <c r="D559" s="336"/>
      <c r="E559" s="333"/>
      <c r="F559" s="333"/>
      <c r="G559" s="333"/>
      <c r="H559" s="333"/>
    </row>
    <row r="560" spans="4:8" ht="12.75" customHeight="1" x14ac:dyDescent="0.25">
      <c r="D560" s="336"/>
      <c r="E560" s="333"/>
      <c r="F560" s="333"/>
      <c r="G560" s="333"/>
      <c r="H560" s="333"/>
    </row>
    <row r="561" spans="4:8" ht="12.75" customHeight="1" x14ac:dyDescent="0.25">
      <c r="D561" s="336"/>
      <c r="E561" s="333"/>
      <c r="F561" s="333"/>
      <c r="G561" s="333"/>
      <c r="H561" s="333"/>
    </row>
    <row r="562" spans="4:8" ht="12.75" customHeight="1" x14ac:dyDescent="0.25">
      <c r="D562" s="336"/>
      <c r="E562" s="333"/>
      <c r="F562" s="333"/>
      <c r="G562" s="333"/>
      <c r="H562" s="333"/>
    </row>
    <row r="563" spans="4:8" ht="12.75" customHeight="1" x14ac:dyDescent="0.25">
      <c r="D563" s="336"/>
      <c r="E563" s="333"/>
      <c r="F563" s="333"/>
      <c r="G563" s="333"/>
      <c r="H563" s="333"/>
    </row>
    <row r="564" spans="4:8" ht="12.75" customHeight="1" x14ac:dyDescent="0.25">
      <c r="D564" s="336"/>
      <c r="E564" s="333"/>
      <c r="F564" s="333"/>
      <c r="G564" s="333"/>
      <c r="H564" s="333"/>
    </row>
    <row r="565" spans="4:8" ht="12.75" customHeight="1" x14ac:dyDescent="0.25">
      <c r="D565" s="336"/>
      <c r="E565" s="333"/>
      <c r="F565" s="333"/>
      <c r="G565" s="333"/>
      <c r="H565" s="333"/>
    </row>
    <row r="566" spans="4:8" ht="12.75" customHeight="1" x14ac:dyDescent="0.25">
      <c r="D566" s="336"/>
      <c r="E566" s="333"/>
      <c r="F566" s="333"/>
      <c r="G566" s="333"/>
      <c r="H566" s="333"/>
    </row>
    <row r="567" spans="4:8" ht="12.75" customHeight="1" x14ac:dyDescent="0.25">
      <c r="D567" s="336"/>
      <c r="E567" s="333"/>
      <c r="F567" s="333"/>
      <c r="G567" s="333"/>
      <c r="H567" s="333"/>
    </row>
    <row r="568" spans="4:8" ht="12.75" customHeight="1" x14ac:dyDescent="0.25">
      <c r="D568" s="336"/>
      <c r="E568" s="333"/>
      <c r="F568" s="333"/>
      <c r="G568" s="333"/>
      <c r="H568" s="333"/>
    </row>
    <row r="569" spans="4:8" ht="12.75" customHeight="1" x14ac:dyDescent="0.25">
      <c r="D569" s="336"/>
      <c r="E569" s="333"/>
      <c r="F569" s="333"/>
      <c r="G569" s="333"/>
      <c r="H569" s="333"/>
    </row>
    <row r="570" spans="4:8" ht="12.75" customHeight="1" x14ac:dyDescent="0.25">
      <c r="D570" s="336"/>
      <c r="E570" s="333"/>
      <c r="F570" s="333"/>
      <c r="G570" s="333"/>
      <c r="H570" s="333"/>
    </row>
    <row r="571" spans="4:8" ht="12.75" customHeight="1" x14ac:dyDescent="0.25">
      <c r="D571" s="336"/>
      <c r="E571" s="333"/>
      <c r="F571" s="333"/>
      <c r="G571" s="333"/>
      <c r="H571" s="333"/>
    </row>
    <row r="572" spans="4:8" ht="12.75" customHeight="1" x14ac:dyDescent="0.25">
      <c r="D572" s="336"/>
      <c r="E572" s="333"/>
      <c r="F572" s="333"/>
      <c r="G572" s="333"/>
      <c r="H572" s="333"/>
    </row>
    <row r="573" spans="4:8" ht="12.75" customHeight="1" x14ac:dyDescent="0.25">
      <c r="D573" s="336"/>
      <c r="E573" s="333"/>
      <c r="F573" s="333"/>
      <c r="G573" s="333"/>
      <c r="H573" s="333"/>
    </row>
    <row r="574" spans="4:8" ht="12.75" customHeight="1" x14ac:dyDescent="0.25">
      <c r="D574" s="336"/>
      <c r="E574" s="333"/>
      <c r="F574" s="333"/>
      <c r="G574" s="333"/>
      <c r="H574" s="333"/>
    </row>
    <row r="575" spans="4:8" ht="12.75" customHeight="1" x14ac:dyDescent="0.25">
      <c r="D575" s="336"/>
      <c r="E575" s="333"/>
      <c r="F575" s="333"/>
      <c r="G575" s="333"/>
      <c r="H575" s="333"/>
    </row>
    <row r="576" spans="4:8" ht="12.75" customHeight="1" x14ac:dyDescent="0.25">
      <c r="D576" s="336"/>
      <c r="E576" s="333"/>
      <c r="F576" s="333"/>
      <c r="G576" s="333"/>
      <c r="H576" s="333"/>
    </row>
    <row r="577" spans="4:8" ht="12.75" customHeight="1" x14ac:dyDescent="0.25">
      <c r="D577" s="336"/>
      <c r="E577" s="333"/>
      <c r="F577" s="333"/>
      <c r="G577" s="333"/>
      <c r="H577" s="333"/>
    </row>
    <row r="578" spans="4:8" ht="12.75" customHeight="1" x14ac:dyDescent="0.25">
      <c r="D578" s="336"/>
      <c r="E578" s="333"/>
      <c r="F578" s="333"/>
      <c r="G578" s="333"/>
      <c r="H578" s="333"/>
    </row>
    <row r="579" spans="4:8" ht="12.75" customHeight="1" x14ac:dyDescent="0.25">
      <c r="D579" s="336"/>
      <c r="E579" s="333"/>
      <c r="F579" s="333"/>
      <c r="G579" s="333"/>
      <c r="H579" s="333"/>
    </row>
    <row r="580" spans="4:8" ht="12.75" customHeight="1" x14ac:dyDescent="0.25">
      <c r="D580" s="336"/>
      <c r="E580" s="333"/>
      <c r="F580" s="333"/>
      <c r="G580" s="333"/>
      <c r="H580" s="333"/>
    </row>
    <row r="581" spans="4:8" ht="12.75" customHeight="1" x14ac:dyDescent="0.25">
      <c r="D581" s="336"/>
      <c r="E581" s="333"/>
      <c r="F581" s="333"/>
      <c r="G581" s="333"/>
      <c r="H581" s="333"/>
    </row>
    <row r="582" spans="4:8" ht="12.75" customHeight="1" x14ac:dyDescent="0.25">
      <c r="D582" s="336"/>
      <c r="E582" s="333"/>
      <c r="F582" s="333"/>
      <c r="G582" s="333"/>
      <c r="H582" s="333"/>
    </row>
    <row r="583" spans="4:8" ht="12.75" customHeight="1" x14ac:dyDescent="0.25">
      <c r="D583" s="336"/>
      <c r="E583" s="333"/>
      <c r="F583" s="333"/>
      <c r="G583" s="333"/>
      <c r="H583" s="333"/>
    </row>
    <row r="584" spans="4:8" ht="12.75" customHeight="1" x14ac:dyDescent="0.25">
      <c r="D584" s="336"/>
      <c r="E584" s="333"/>
      <c r="F584" s="333"/>
      <c r="G584" s="333"/>
      <c r="H584" s="333"/>
    </row>
    <row r="585" spans="4:8" ht="12.75" customHeight="1" x14ac:dyDescent="0.25">
      <c r="D585" s="336"/>
      <c r="E585" s="333"/>
      <c r="F585" s="333"/>
      <c r="G585" s="333"/>
      <c r="H585" s="333"/>
    </row>
    <row r="586" spans="4:8" ht="12.75" customHeight="1" x14ac:dyDescent="0.25">
      <c r="D586" s="336"/>
      <c r="E586" s="333"/>
      <c r="F586" s="333"/>
      <c r="G586" s="333"/>
      <c r="H586" s="333"/>
    </row>
    <row r="587" spans="4:8" ht="12.75" customHeight="1" x14ac:dyDescent="0.25">
      <c r="D587" s="336"/>
      <c r="E587" s="333"/>
      <c r="F587" s="333"/>
      <c r="G587" s="333"/>
      <c r="H587" s="333"/>
    </row>
    <row r="588" spans="4:8" ht="12.75" customHeight="1" x14ac:dyDescent="0.25">
      <c r="D588" s="336"/>
      <c r="E588" s="333"/>
      <c r="F588" s="333"/>
      <c r="G588" s="333"/>
      <c r="H588" s="333"/>
    </row>
    <row r="589" spans="4:8" ht="12.75" customHeight="1" x14ac:dyDescent="0.25">
      <c r="D589" s="336"/>
      <c r="E589" s="333"/>
      <c r="F589" s="333"/>
      <c r="G589" s="333"/>
      <c r="H589" s="333"/>
    </row>
    <row r="590" spans="4:8" ht="12.75" customHeight="1" x14ac:dyDescent="0.25">
      <c r="D590" s="336"/>
      <c r="E590" s="333"/>
      <c r="F590" s="333"/>
      <c r="G590" s="333"/>
      <c r="H590" s="333"/>
    </row>
    <row r="591" spans="4:8" ht="12.75" customHeight="1" x14ac:dyDescent="0.25">
      <c r="D591" s="336"/>
      <c r="E591" s="333"/>
      <c r="F591" s="333"/>
      <c r="G591" s="333"/>
      <c r="H591" s="333"/>
    </row>
    <row r="592" spans="4:8" ht="12.75" customHeight="1" x14ac:dyDescent="0.25">
      <c r="D592" s="336"/>
      <c r="E592" s="333"/>
      <c r="F592" s="333"/>
      <c r="G592" s="333"/>
      <c r="H592" s="333"/>
    </row>
    <row r="593" spans="4:8" ht="12.75" customHeight="1" x14ac:dyDescent="0.25">
      <c r="D593" s="336"/>
      <c r="E593" s="333"/>
      <c r="F593" s="333"/>
      <c r="G593" s="333"/>
      <c r="H593" s="333"/>
    </row>
    <row r="594" spans="4:8" ht="12.75" customHeight="1" x14ac:dyDescent="0.25">
      <c r="D594" s="336"/>
      <c r="E594" s="333"/>
      <c r="F594" s="333"/>
      <c r="G594" s="333"/>
      <c r="H594" s="333"/>
    </row>
    <row r="595" spans="4:8" ht="12.75" customHeight="1" x14ac:dyDescent="0.25">
      <c r="D595" s="336"/>
      <c r="E595" s="333"/>
      <c r="F595" s="333"/>
      <c r="G595" s="333"/>
      <c r="H595" s="333"/>
    </row>
    <row r="596" spans="4:8" ht="12.75" customHeight="1" x14ac:dyDescent="0.25">
      <c r="D596" s="336"/>
      <c r="E596" s="333"/>
      <c r="F596" s="333"/>
      <c r="G596" s="333"/>
      <c r="H596" s="333"/>
    </row>
    <row r="597" spans="4:8" ht="12.75" customHeight="1" x14ac:dyDescent="0.25">
      <c r="D597" s="336"/>
      <c r="E597" s="333"/>
      <c r="F597" s="333"/>
      <c r="G597" s="333"/>
      <c r="H597" s="333"/>
    </row>
    <row r="598" spans="4:8" ht="12.75" customHeight="1" x14ac:dyDescent="0.25">
      <c r="D598" s="336"/>
      <c r="E598" s="333"/>
      <c r="F598" s="333"/>
      <c r="G598" s="333"/>
      <c r="H598" s="333"/>
    </row>
    <row r="599" spans="4:8" ht="12.75" customHeight="1" x14ac:dyDescent="0.25">
      <c r="D599" s="336"/>
      <c r="E599" s="333"/>
      <c r="F599" s="333"/>
      <c r="G599" s="333"/>
      <c r="H599" s="333"/>
    </row>
    <row r="600" spans="4:8" ht="12.75" customHeight="1" x14ac:dyDescent="0.25">
      <c r="D600" s="336"/>
      <c r="E600" s="333"/>
      <c r="F600" s="333"/>
      <c r="G600" s="333"/>
      <c r="H600" s="333"/>
    </row>
    <row r="601" spans="4:8" ht="12.75" customHeight="1" x14ac:dyDescent="0.25">
      <c r="D601" s="336"/>
      <c r="E601" s="333"/>
      <c r="F601" s="333"/>
      <c r="G601" s="333"/>
      <c r="H601" s="333"/>
    </row>
    <row r="602" spans="4:8" ht="12.75" customHeight="1" x14ac:dyDescent="0.25">
      <c r="D602" s="336"/>
      <c r="E602" s="333"/>
      <c r="F602" s="333"/>
      <c r="G602" s="333"/>
      <c r="H602" s="333"/>
    </row>
    <row r="603" spans="4:8" ht="12.75" customHeight="1" x14ac:dyDescent="0.25">
      <c r="D603" s="336"/>
      <c r="E603" s="333"/>
      <c r="F603" s="333"/>
      <c r="G603" s="333"/>
      <c r="H603" s="333"/>
    </row>
    <row r="604" spans="4:8" ht="12.75" customHeight="1" x14ac:dyDescent="0.25">
      <c r="D604" s="336"/>
      <c r="E604" s="333"/>
      <c r="F604" s="333"/>
      <c r="G604" s="333"/>
      <c r="H604" s="333"/>
    </row>
    <row r="605" spans="4:8" ht="12.75" customHeight="1" x14ac:dyDescent="0.25">
      <c r="D605" s="336"/>
      <c r="E605" s="333"/>
      <c r="F605" s="333"/>
      <c r="G605" s="333"/>
      <c r="H605" s="333"/>
    </row>
    <row r="606" spans="4:8" ht="12.75" customHeight="1" x14ac:dyDescent="0.25">
      <c r="D606" s="336"/>
      <c r="E606" s="333"/>
      <c r="F606" s="333"/>
      <c r="G606" s="333"/>
      <c r="H606" s="333"/>
    </row>
    <row r="607" spans="4:8" ht="12.75" customHeight="1" x14ac:dyDescent="0.25">
      <c r="D607" s="336"/>
      <c r="E607" s="333"/>
      <c r="F607" s="333"/>
      <c r="G607" s="333"/>
      <c r="H607" s="333"/>
    </row>
    <row r="608" spans="4:8" ht="12.75" customHeight="1" x14ac:dyDescent="0.25">
      <c r="D608" s="336"/>
      <c r="E608" s="333"/>
      <c r="F608" s="333"/>
      <c r="G608" s="333"/>
      <c r="H608" s="333"/>
    </row>
    <row r="609" spans="4:8" ht="12.75" customHeight="1" x14ac:dyDescent="0.25">
      <c r="D609" s="336"/>
      <c r="E609" s="333"/>
      <c r="F609" s="333"/>
      <c r="G609" s="333"/>
      <c r="H609" s="333"/>
    </row>
    <row r="610" spans="4:8" ht="12.75" customHeight="1" x14ac:dyDescent="0.25">
      <c r="D610" s="336"/>
      <c r="E610" s="333"/>
      <c r="F610" s="333"/>
      <c r="G610" s="333"/>
      <c r="H610" s="333"/>
    </row>
    <row r="611" spans="4:8" ht="12.75" customHeight="1" x14ac:dyDescent="0.25">
      <c r="D611" s="336"/>
      <c r="E611" s="333"/>
      <c r="F611" s="333"/>
      <c r="G611" s="333"/>
      <c r="H611" s="333"/>
    </row>
    <row r="612" spans="4:8" ht="12.75" customHeight="1" x14ac:dyDescent="0.25">
      <c r="D612" s="336"/>
      <c r="E612" s="333"/>
      <c r="F612" s="333"/>
      <c r="G612" s="333"/>
      <c r="H612" s="333"/>
    </row>
    <row r="613" spans="4:8" ht="12.75" customHeight="1" x14ac:dyDescent="0.25">
      <c r="D613" s="336"/>
      <c r="E613" s="333"/>
      <c r="F613" s="333"/>
      <c r="G613" s="333"/>
      <c r="H613" s="333"/>
    </row>
    <row r="614" spans="4:8" ht="12.75" customHeight="1" x14ac:dyDescent="0.25">
      <c r="D614" s="336"/>
      <c r="E614" s="333"/>
      <c r="F614" s="333"/>
      <c r="G614" s="333"/>
      <c r="H614" s="333"/>
    </row>
    <row r="615" spans="4:8" ht="12.75" customHeight="1" x14ac:dyDescent="0.25">
      <c r="D615" s="336"/>
      <c r="E615" s="333"/>
      <c r="F615" s="333"/>
      <c r="G615" s="333"/>
      <c r="H615" s="333"/>
    </row>
    <row r="616" spans="4:8" ht="12.75" customHeight="1" x14ac:dyDescent="0.25">
      <c r="D616" s="336"/>
      <c r="E616" s="333"/>
      <c r="F616" s="333"/>
      <c r="G616" s="333"/>
      <c r="H616" s="333"/>
    </row>
    <row r="617" spans="4:8" ht="12.75" customHeight="1" x14ac:dyDescent="0.25">
      <c r="D617" s="336"/>
      <c r="E617" s="333"/>
      <c r="F617" s="333"/>
      <c r="G617" s="333"/>
      <c r="H617" s="333"/>
    </row>
    <row r="618" spans="4:8" ht="12.75" customHeight="1" x14ac:dyDescent="0.25">
      <c r="D618" s="336"/>
      <c r="E618" s="333"/>
      <c r="F618" s="333"/>
      <c r="G618" s="333"/>
      <c r="H618" s="333"/>
    </row>
    <row r="619" spans="4:8" ht="12.75" customHeight="1" x14ac:dyDescent="0.25">
      <c r="D619" s="336"/>
      <c r="E619" s="333"/>
      <c r="F619" s="333"/>
      <c r="G619" s="333"/>
      <c r="H619" s="333"/>
    </row>
    <row r="620" spans="4:8" ht="12.75" customHeight="1" x14ac:dyDescent="0.25">
      <c r="D620" s="336"/>
      <c r="E620" s="333"/>
      <c r="F620" s="333"/>
      <c r="G620" s="333"/>
      <c r="H620" s="333"/>
    </row>
    <row r="621" spans="4:8" ht="12.75" customHeight="1" x14ac:dyDescent="0.25">
      <c r="D621" s="336"/>
      <c r="E621" s="333"/>
      <c r="F621" s="333"/>
      <c r="G621" s="333"/>
      <c r="H621" s="333"/>
    </row>
    <row r="622" spans="4:8" ht="12.75" customHeight="1" x14ac:dyDescent="0.25">
      <c r="D622" s="336"/>
      <c r="E622" s="333"/>
      <c r="F622" s="333"/>
      <c r="G622" s="333"/>
      <c r="H622" s="333"/>
    </row>
    <row r="623" spans="4:8" ht="12.75" customHeight="1" x14ac:dyDescent="0.25">
      <c r="D623" s="336"/>
      <c r="E623" s="333"/>
      <c r="F623" s="333"/>
      <c r="G623" s="333"/>
      <c r="H623" s="333"/>
    </row>
    <row r="624" spans="4:8" ht="12.75" customHeight="1" x14ac:dyDescent="0.25">
      <c r="D624" s="336"/>
      <c r="E624" s="333"/>
      <c r="F624" s="333"/>
      <c r="G624" s="333"/>
      <c r="H624" s="333"/>
    </row>
    <row r="625" spans="4:8" ht="12.75" customHeight="1" x14ac:dyDescent="0.25">
      <c r="D625" s="336"/>
      <c r="E625" s="333"/>
      <c r="F625" s="333"/>
      <c r="G625" s="333"/>
      <c r="H625" s="333"/>
    </row>
    <row r="626" spans="4:8" ht="12.75" customHeight="1" x14ac:dyDescent="0.25">
      <c r="D626" s="336"/>
      <c r="E626" s="333"/>
      <c r="F626" s="333"/>
      <c r="G626" s="333"/>
      <c r="H626" s="333"/>
    </row>
    <row r="627" spans="4:8" ht="12.75" customHeight="1" x14ac:dyDescent="0.25">
      <c r="D627" s="336"/>
      <c r="E627" s="333"/>
      <c r="F627" s="333"/>
      <c r="G627" s="333"/>
      <c r="H627" s="333"/>
    </row>
    <row r="628" spans="4:8" ht="12.75" customHeight="1" x14ac:dyDescent="0.25">
      <c r="D628" s="336"/>
      <c r="E628" s="333"/>
      <c r="F628" s="333"/>
      <c r="G628" s="333"/>
      <c r="H628" s="333"/>
    </row>
    <row r="629" spans="4:8" ht="12.75" customHeight="1" x14ac:dyDescent="0.25">
      <c r="D629" s="336"/>
      <c r="E629" s="333"/>
      <c r="F629" s="333"/>
      <c r="G629" s="333"/>
      <c r="H629" s="333"/>
    </row>
    <row r="630" spans="4:8" ht="12.75" customHeight="1" x14ac:dyDescent="0.25">
      <c r="D630" s="336"/>
      <c r="E630" s="333"/>
      <c r="F630" s="333"/>
      <c r="G630" s="333"/>
      <c r="H630" s="333"/>
    </row>
    <row r="631" spans="4:8" ht="12.75" customHeight="1" x14ac:dyDescent="0.25">
      <c r="D631" s="336"/>
      <c r="E631" s="333"/>
      <c r="F631" s="333"/>
      <c r="G631" s="333"/>
      <c r="H631" s="333"/>
    </row>
    <row r="632" spans="4:8" ht="12.75" customHeight="1" x14ac:dyDescent="0.25">
      <c r="D632" s="336"/>
      <c r="E632" s="333"/>
      <c r="F632" s="333"/>
      <c r="G632" s="333"/>
      <c r="H632" s="333"/>
    </row>
    <row r="633" spans="4:8" ht="12.75" customHeight="1" x14ac:dyDescent="0.25">
      <c r="D633" s="336"/>
      <c r="E633" s="333"/>
      <c r="F633" s="333"/>
      <c r="G633" s="333"/>
      <c r="H633" s="333"/>
    </row>
    <row r="634" spans="4:8" ht="12.75" customHeight="1" x14ac:dyDescent="0.25">
      <c r="D634" s="336"/>
      <c r="E634" s="333"/>
      <c r="F634" s="333"/>
      <c r="G634" s="333"/>
      <c r="H634" s="333"/>
    </row>
    <row r="635" spans="4:8" ht="12.75" customHeight="1" x14ac:dyDescent="0.25">
      <c r="D635" s="336"/>
      <c r="E635" s="333"/>
      <c r="F635" s="333"/>
      <c r="G635" s="333"/>
      <c r="H635" s="333"/>
    </row>
    <row r="636" spans="4:8" ht="12.75" customHeight="1" x14ac:dyDescent="0.25">
      <c r="D636" s="336"/>
      <c r="E636" s="333"/>
      <c r="F636" s="333"/>
      <c r="G636" s="333"/>
      <c r="H636" s="333"/>
    </row>
    <row r="637" spans="4:8" ht="12.75" customHeight="1" x14ac:dyDescent="0.25">
      <c r="D637" s="336"/>
      <c r="E637" s="333"/>
      <c r="F637" s="333"/>
      <c r="G637" s="333"/>
      <c r="H637" s="333"/>
    </row>
    <row r="638" spans="4:8" ht="12.75" customHeight="1" x14ac:dyDescent="0.25">
      <c r="D638" s="336"/>
      <c r="E638" s="333"/>
      <c r="F638" s="333"/>
      <c r="G638" s="333"/>
      <c r="H638" s="333"/>
    </row>
    <row r="639" spans="4:8" ht="12.75" customHeight="1" x14ac:dyDescent="0.25">
      <c r="D639" s="336"/>
      <c r="E639" s="333"/>
      <c r="F639" s="333"/>
      <c r="G639" s="333"/>
      <c r="H639" s="333"/>
    </row>
    <row r="640" spans="4:8" ht="12.75" customHeight="1" x14ac:dyDescent="0.25">
      <c r="D640" s="336"/>
      <c r="E640" s="333"/>
      <c r="F640" s="333"/>
      <c r="G640" s="333"/>
      <c r="H640" s="333"/>
    </row>
    <row r="641" spans="4:8" ht="12.75" customHeight="1" x14ac:dyDescent="0.25">
      <c r="D641" s="336"/>
      <c r="E641" s="333"/>
      <c r="F641" s="333"/>
      <c r="G641" s="333"/>
      <c r="H641" s="333"/>
    </row>
    <row r="642" spans="4:8" ht="12.75" customHeight="1" x14ac:dyDescent="0.25">
      <c r="D642" s="336"/>
      <c r="E642" s="333"/>
      <c r="F642" s="333"/>
      <c r="G642" s="333"/>
      <c r="H642" s="333"/>
    </row>
    <row r="643" spans="4:8" ht="12.75" customHeight="1" x14ac:dyDescent="0.25">
      <c r="D643" s="336"/>
      <c r="E643" s="333"/>
      <c r="F643" s="333"/>
      <c r="G643" s="333"/>
      <c r="H643" s="333"/>
    </row>
    <row r="644" spans="4:8" ht="12.75" customHeight="1" x14ac:dyDescent="0.25">
      <c r="D644" s="336"/>
      <c r="E644" s="333"/>
      <c r="F644" s="333"/>
      <c r="G644" s="333"/>
      <c r="H644" s="333"/>
    </row>
    <row r="645" spans="4:8" ht="12.75" customHeight="1" x14ac:dyDescent="0.25">
      <c r="D645" s="336"/>
      <c r="E645" s="333"/>
      <c r="F645" s="333"/>
      <c r="G645" s="333"/>
      <c r="H645" s="333"/>
    </row>
    <row r="646" spans="4:8" ht="12.75" customHeight="1" x14ac:dyDescent="0.25">
      <c r="D646" s="336"/>
      <c r="E646" s="333"/>
      <c r="F646" s="333"/>
      <c r="G646" s="333"/>
      <c r="H646" s="333"/>
    </row>
    <row r="647" spans="4:8" ht="12.75" customHeight="1" x14ac:dyDescent="0.25">
      <c r="D647" s="336"/>
      <c r="E647" s="333"/>
      <c r="F647" s="333"/>
      <c r="G647" s="333"/>
      <c r="H647" s="333"/>
    </row>
    <row r="648" spans="4:8" ht="12.75" customHeight="1" x14ac:dyDescent="0.25">
      <c r="D648" s="336"/>
      <c r="E648" s="333"/>
      <c r="F648" s="333"/>
      <c r="G648" s="333"/>
      <c r="H648" s="333"/>
    </row>
    <row r="649" spans="4:8" ht="12.75" customHeight="1" x14ac:dyDescent="0.25">
      <c r="D649" s="336"/>
      <c r="E649" s="333"/>
      <c r="F649" s="333"/>
      <c r="G649" s="333"/>
      <c r="H649" s="333"/>
    </row>
    <row r="650" spans="4:8" ht="12.75" customHeight="1" x14ac:dyDescent="0.25">
      <c r="D650" s="336"/>
      <c r="E650" s="333"/>
      <c r="F650" s="333"/>
      <c r="G650" s="333"/>
      <c r="H650" s="333"/>
    </row>
    <row r="651" spans="4:8" ht="12.75" customHeight="1" x14ac:dyDescent="0.25">
      <c r="D651" s="336"/>
      <c r="E651" s="333"/>
      <c r="F651" s="333"/>
      <c r="G651" s="333"/>
      <c r="H651" s="333"/>
    </row>
    <row r="652" spans="4:8" ht="12.75" customHeight="1" x14ac:dyDescent="0.25">
      <c r="D652" s="336"/>
      <c r="E652" s="333"/>
      <c r="F652" s="333"/>
      <c r="G652" s="333"/>
      <c r="H652" s="333"/>
    </row>
    <row r="653" spans="4:8" ht="12.75" customHeight="1" x14ac:dyDescent="0.25">
      <c r="D653" s="336"/>
      <c r="E653" s="333"/>
      <c r="F653" s="333"/>
      <c r="G653" s="333"/>
      <c r="H653" s="333"/>
    </row>
    <row r="654" spans="4:8" ht="12.75" customHeight="1" x14ac:dyDescent="0.25">
      <c r="D654" s="336"/>
      <c r="E654" s="333"/>
      <c r="F654" s="333"/>
      <c r="G654" s="333"/>
      <c r="H654" s="333"/>
    </row>
    <row r="655" spans="4:8" ht="12.75" customHeight="1" x14ac:dyDescent="0.25">
      <c r="D655" s="336"/>
      <c r="E655" s="333"/>
      <c r="F655" s="333"/>
      <c r="G655" s="333"/>
      <c r="H655" s="333"/>
    </row>
    <row r="656" spans="4:8" ht="12.75" customHeight="1" x14ac:dyDescent="0.25">
      <c r="D656" s="336"/>
      <c r="E656" s="333"/>
      <c r="F656" s="333"/>
      <c r="G656" s="333"/>
      <c r="H656" s="333"/>
    </row>
    <row r="657" spans="4:8" ht="12.75" customHeight="1" x14ac:dyDescent="0.25">
      <c r="D657" s="336"/>
      <c r="E657" s="333"/>
      <c r="F657" s="333"/>
      <c r="G657" s="333"/>
      <c r="H657" s="333"/>
    </row>
    <row r="658" spans="4:8" ht="12.75" customHeight="1" x14ac:dyDescent="0.25">
      <c r="D658" s="336"/>
      <c r="E658" s="333"/>
      <c r="F658" s="333"/>
      <c r="G658" s="333"/>
      <c r="H658" s="333"/>
    </row>
    <row r="659" spans="4:8" ht="12.75" customHeight="1" x14ac:dyDescent="0.25">
      <c r="D659" s="336"/>
      <c r="E659" s="333"/>
      <c r="F659" s="333"/>
      <c r="G659" s="333"/>
      <c r="H659" s="333"/>
    </row>
    <row r="660" spans="4:8" ht="12.75" customHeight="1" x14ac:dyDescent="0.25">
      <c r="D660" s="336"/>
      <c r="E660" s="333"/>
      <c r="F660" s="333"/>
      <c r="G660" s="333"/>
      <c r="H660" s="333"/>
    </row>
    <row r="661" spans="4:8" ht="12.75" customHeight="1" x14ac:dyDescent="0.25">
      <c r="D661" s="336"/>
      <c r="E661" s="333"/>
      <c r="F661" s="333"/>
      <c r="G661" s="333"/>
      <c r="H661" s="333"/>
    </row>
    <row r="662" spans="4:8" ht="12.75" customHeight="1" x14ac:dyDescent="0.25">
      <c r="D662" s="336"/>
      <c r="E662" s="333"/>
      <c r="F662" s="333"/>
      <c r="G662" s="333"/>
      <c r="H662" s="333"/>
    </row>
    <row r="663" spans="4:8" ht="12.75" customHeight="1" x14ac:dyDescent="0.25">
      <c r="D663" s="336"/>
      <c r="E663" s="333"/>
      <c r="F663" s="333"/>
      <c r="G663" s="333"/>
      <c r="H663" s="333"/>
    </row>
    <row r="664" spans="4:8" ht="12.75" customHeight="1" x14ac:dyDescent="0.25">
      <c r="D664" s="336"/>
      <c r="E664" s="333"/>
      <c r="F664" s="333"/>
      <c r="G664" s="333"/>
      <c r="H664" s="333"/>
    </row>
    <row r="665" spans="4:8" ht="12.75" customHeight="1" x14ac:dyDescent="0.25">
      <c r="D665" s="336"/>
      <c r="E665" s="333"/>
      <c r="F665" s="333"/>
      <c r="G665" s="333"/>
      <c r="H665" s="333"/>
    </row>
    <row r="666" spans="4:8" ht="12.75" customHeight="1" x14ac:dyDescent="0.25">
      <c r="D666" s="336"/>
      <c r="E666" s="333"/>
      <c r="F666" s="333"/>
      <c r="G666" s="333"/>
      <c r="H666" s="333"/>
    </row>
    <row r="667" spans="4:8" ht="12.75" customHeight="1" x14ac:dyDescent="0.25">
      <c r="D667" s="336"/>
      <c r="E667" s="333"/>
      <c r="F667" s="333"/>
      <c r="G667" s="333"/>
      <c r="H667" s="333"/>
    </row>
    <row r="668" spans="4:8" ht="12.75" customHeight="1" x14ac:dyDescent="0.25">
      <c r="D668" s="336"/>
      <c r="E668" s="333"/>
      <c r="F668" s="333"/>
      <c r="G668" s="333"/>
      <c r="H668" s="333"/>
    </row>
    <row r="669" spans="4:8" ht="12.75" customHeight="1" x14ac:dyDescent="0.25">
      <c r="D669" s="336"/>
      <c r="E669" s="333"/>
      <c r="F669" s="333"/>
      <c r="G669" s="333"/>
      <c r="H669" s="333"/>
    </row>
    <row r="670" spans="4:8" ht="12.75" customHeight="1" x14ac:dyDescent="0.25">
      <c r="D670" s="336"/>
      <c r="E670" s="333"/>
      <c r="F670" s="333"/>
      <c r="G670" s="333"/>
      <c r="H670" s="333"/>
    </row>
    <row r="671" spans="4:8" ht="12.75" customHeight="1" x14ac:dyDescent="0.25">
      <c r="D671" s="336"/>
      <c r="E671" s="333"/>
      <c r="F671" s="333"/>
      <c r="G671" s="333"/>
      <c r="H671" s="333"/>
    </row>
    <row r="672" spans="4:8" ht="12.75" customHeight="1" x14ac:dyDescent="0.25">
      <c r="D672" s="336"/>
      <c r="E672" s="333"/>
      <c r="F672" s="333"/>
      <c r="G672" s="333"/>
      <c r="H672" s="333"/>
    </row>
    <row r="673" spans="4:8" ht="12.75" customHeight="1" x14ac:dyDescent="0.25">
      <c r="D673" s="336"/>
      <c r="E673" s="333"/>
      <c r="F673" s="333"/>
      <c r="G673" s="333"/>
      <c r="H673" s="333"/>
    </row>
    <row r="674" spans="4:8" ht="12.75" customHeight="1" x14ac:dyDescent="0.25">
      <c r="D674" s="336"/>
      <c r="E674" s="333"/>
      <c r="F674" s="333"/>
      <c r="G674" s="333"/>
      <c r="H674" s="333"/>
    </row>
    <row r="675" spans="4:8" ht="12.75" customHeight="1" x14ac:dyDescent="0.25">
      <c r="D675" s="336"/>
      <c r="E675" s="333"/>
      <c r="F675" s="333"/>
      <c r="G675" s="333"/>
      <c r="H675" s="333"/>
    </row>
    <row r="676" spans="4:8" ht="12.75" customHeight="1" x14ac:dyDescent="0.25">
      <c r="D676" s="336"/>
      <c r="E676" s="333"/>
      <c r="F676" s="333"/>
      <c r="G676" s="333"/>
      <c r="H676" s="333"/>
    </row>
    <row r="677" spans="4:8" ht="12.75" customHeight="1" x14ac:dyDescent="0.25">
      <c r="D677" s="336"/>
      <c r="E677" s="333"/>
      <c r="F677" s="333"/>
      <c r="G677" s="333"/>
      <c r="H677" s="333"/>
    </row>
    <row r="678" spans="4:8" ht="12.75" customHeight="1" x14ac:dyDescent="0.25">
      <c r="D678" s="336"/>
      <c r="E678" s="333"/>
      <c r="F678" s="333"/>
      <c r="G678" s="333"/>
      <c r="H678" s="333"/>
    </row>
    <row r="679" spans="4:8" ht="12.75" customHeight="1" x14ac:dyDescent="0.25">
      <c r="D679" s="336"/>
      <c r="E679" s="333"/>
      <c r="F679" s="333"/>
      <c r="G679" s="333"/>
      <c r="H679" s="333"/>
    </row>
    <row r="680" spans="4:8" ht="12.75" customHeight="1" x14ac:dyDescent="0.25">
      <c r="D680" s="336"/>
      <c r="E680" s="333"/>
      <c r="F680" s="333"/>
      <c r="G680" s="333"/>
      <c r="H680" s="333"/>
    </row>
    <row r="681" spans="4:8" ht="12.75" customHeight="1" x14ac:dyDescent="0.25">
      <c r="D681" s="336"/>
      <c r="E681" s="333"/>
      <c r="F681" s="333"/>
      <c r="G681" s="333"/>
      <c r="H681" s="333"/>
    </row>
    <row r="682" spans="4:8" ht="12.75" customHeight="1" x14ac:dyDescent="0.25">
      <c r="D682" s="336"/>
      <c r="E682" s="333"/>
      <c r="F682" s="333"/>
      <c r="G682" s="333"/>
      <c r="H682" s="333"/>
    </row>
    <row r="683" spans="4:8" ht="12.75" customHeight="1" x14ac:dyDescent="0.25">
      <c r="D683" s="336"/>
      <c r="E683" s="333"/>
      <c r="F683" s="333"/>
      <c r="G683" s="333"/>
      <c r="H683" s="333"/>
    </row>
    <row r="684" spans="4:8" ht="12.75" customHeight="1" x14ac:dyDescent="0.25">
      <c r="D684" s="336"/>
      <c r="E684" s="333"/>
      <c r="F684" s="333"/>
      <c r="G684" s="333"/>
      <c r="H684" s="333"/>
    </row>
    <row r="685" spans="4:8" ht="12.75" customHeight="1" x14ac:dyDescent="0.25">
      <c r="D685" s="336"/>
      <c r="E685" s="333"/>
      <c r="F685" s="333"/>
      <c r="G685" s="333"/>
      <c r="H685" s="333"/>
    </row>
    <row r="686" spans="4:8" ht="12.75" customHeight="1" x14ac:dyDescent="0.25">
      <c r="D686" s="336"/>
      <c r="E686" s="333"/>
      <c r="F686" s="333"/>
      <c r="G686" s="333"/>
      <c r="H686" s="333"/>
    </row>
    <row r="687" spans="4:8" ht="12.75" customHeight="1" x14ac:dyDescent="0.25">
      <c r="D687" s="336"/>
      <c r="E687" s="333"/>
      <c r="F687" s="333"/>
      <c r="G687" s="333"/>
      <c r="H687" s="333"/>
    </row>
    <row r="688" spans="4:8" ht="12.75" customHeight="1" x14ac:dyDescent="0.25">
      <c r="D688" s="336"/>
      <c r="E688" s="333"/>
      <c r="F688" s="333"/>
      <c r="G688" s="333"/>
      <c r="H688" s="333"/>
    </row>
    <row r="689" spans="4:8" ht="12.75" customHeight="1" x14ac:dyDescent="0.25">
      <c r="D689" s="336"/>
      <c r="E689" s="333"/>
      <c r="F689" s="333"/>
      <c r="G689" s="333"/>
      <c r="H689" s="333"/>
    </row>
    <row r="690" spans="4:8" ht="12.75" customHeight="1" x14ac:dyDescent="0.25">
      <c r="D690" s="336"/>
      <c r="E690" s="333"/>
      <c r="F690" s="333"/>
      <c r="G690" s="333"/>
      <c r="H690" s="333"/>
    </row>
    <row r="691" spans="4:8" ht="12.75" customHeight="1" x14ac:dyDescent="0.25">
      <c r="D691" s="336"/>
      <c r="E691" s="333"/>
      <c r="F691" s="333"/>
      <c r="G691" s="333"/>
      <c r="H691" s="333"/>
    </row>
    <row r="692" spans="4:8" ht="12.75" customHeight="1" x14ac:dyDescent="0.25">
      <c r="D692" s="336"/>
      <c r="E692" s="333"/>
      <c r="F692" s="333"/>
      <c r="G692" s="333"/>
      <c r="H692" s="333"/>
    </row>
    <row r="693" spans="4:8" ht="12.75" customHeight="1" x14ac:dyDescent="0.25">
      <c r="D693" s="336"/>
      <c r="E693" s="333"/>
      <c r="F693" s="333"/>
      <c r="G693" s="333"/>
      <c r="H693" s="333"/>
    </row>
    <row r="694" spans="4:8" ht="12.75" customHeight="1" x14ac:dyDescent="0.25">
      <c r="D694" s="336"/>
      <c r="E694" s="333"/>
      <c r="F694" s="333"/>
      <c r="G694" s="333"/>
      <c r="H694" s="333"/>
    </row>
    <row r="695" spans="4:8" ht="12.75" customHeight="1" x14ac:dyDescent="0.25">
      <c r="D695" s="336"/>
      <c r="E695" s="333"/>
      <c r="F695" s="333"/>
      <c r="G695" s="333"/>
      <c r="H695" s="333"/>
    </row>
    <row r="696" spans="4:8" ht="12.75" customHeight="1" x14ac:dyDescent="0.25">
      <c r="D696" s="336"/>
      <c r="E696" s="333"/>
      <c r="F696" s="333"/>
      <c r="G696" s="333"/>
      <c r="H696" s="333"/>
    </row>
    <row r="697" spans="4:8" ht="12.75" customHeight="1" x14ac:dyDescent="0.25">
      <c r="D697" s="336"/>
      <c r="E697" s="333"/>
      <c r="F697" s="333"/>
      <c r="G697" s="333"/>
      <c r="H697" s="333"/>
    </row>
    <row r="698" spans="4:8" ht="12.75" customHeight="1" x14ac:dyDescent="0.25">
      <c r="D698" s="336"/>
      <c r="E698" s="333"/>
      <c r="F698" s="333"/>
      <c r="G698" s="333"/>
      <c r="H698" s="333"/>
    </row>
    <row r="699" spans="4:8" ht="12.75" customHeight="1" x14ac:dyDescent="0.25">
      <c r="D699" s="336"/>
      <c r="E699" s="333"/>
      <c r="F699" s="333"/>
      <c r="G699" s="333"/>
      <c r="H699" s="333"/>
    </row>
    <row r="700" spans="4:8" ht="12.75" customHeight="1" x14ac:dyDescent="0.25">
      <c r="D700" s="336"/>
      <c r="E700" s="333"/>
      <c r="F700" s="333"/>
      <c r="G700" s="333"/>
      <c r="H700" s="333"/>
    </row>
    <row r="701" spans="4:8" ht="12.75" customHeight="1" x14ac:dyDescent="0.25">
      <c r="D701" s="336"/>
      <c r="E701" s="333"/>
      <c r="F701" s="333"/>
      <c r="G701" s="333"/>
      <c r="H701" s="333"/>
    </row>
    <row r="702" spans="4:8" ht="12.75" customHeight="1" x14ac:dyDescent="0.25">
      <c r="D702" s="336"/>
      <c r="E702" s="333"/>
      <c r="F702" s="333"/>
      <c r="G702" s="333"/>
      <c r="H702" s="333"/>
    </row>
    <row r="703" spans="4:8" ht="12.75" customHeight="1" x14ac:dyDescent="0.25">
      <c r="D703" s="336"/>
      <c r="E703" s="333"/>
      <c r="F703" s="333"/>
      <c r="G703" s="333"/>
      <c r="H703" s="333"/>
    </row>
    <row r="704" spans="4:8" ht="12.75" customHeight="1" x14ac:dyDescent="0.25">
      <c r="D704" s="336"/>
      <c r="E704" s="333"/>
      <c r="F704" s="333"/>
      <c r="G704" s="333"/>
      <c r="H704" s="333"/>
    </row>
    <row r="705" spans="4:8" ht="12.75" customHeight="1" x14ac:dyDescent="0.25">
      <c r="D705" s="336"/>
      <c r="E705" s="333"/>
      <c r="F705" s="333"/>
      <c r="G705" s="333"/>
      <c r="H705" s="333"/>
    </row>
    <row r="706" spans="4:8" ht="12.75" customHeight="1" x14ac:dyDescent="0.25">
      <c r="D706" s="336"/>
      <c r="E706" s="333"/>
      <c r="F706" s="333"/>
      <c r="G706" s="333"/>
      <c r="H706" s="333"/>
    </row>
    <row r="707" spans="4:8" ht="12.75" customHeight="1" x14ac:dyDescent="0.25">
      <c r="D707" s="336"/>
      <c r="E707" s="333"/>
      <c r="F707" s="333"/>
      <c r="G707" s="333"/>
      <c r="H707" s="333"/>
    </row>
    <row r="708" spans="4:8" ht="12.75" customHeight="1" x14ac:dyDescent="0.25">
      <c r="D708" s="336"/>
      <c r="E708" s="333"/>
      <c r="F708" s="333"/>
      <c r="G708" s="333"/>
      <c r="H708" s="333"/>
    </row>
    <row r="709" spans="4:8" ht="12.75" customHeight="1" x14ac:dyDescent="0.25">
      <c r="D709" s="336"/>
      <c r="E709" s="333"/>
      <c r="F709" s="333"/>
      <c r="G709" s="333"/>
      <c r="H709" s="333"/>
    </row>
    <row r="710" spans="4:8" ht="12.75" customHeight="1" x14ac:dyDescent="0.25">
      <c r="D710" s="336"/>
      <c r="E710" s="333"/>
      <c r="F710" s="333"/>
      <c r="G710" s="333"/>
      <c r="H710" s="333"/>
    </row>
    <row r="711" spans="4:8" ht="12.75" customHeight="1" x14ac:dyDescent="0.25">
      <c r="D711" s="336"/>
      <c r="E711" s="333"/>
      <c r="F711" s="333"/>
      <c r="G711" s="333"/>
      <c r="H711" s="333"/>
    </row>
    <row r="712" spans="4:8" ht="12.75" customHeight="1" x14ac:dyDescent="0.25">
      <c r="D712" s="336"/>
      <c r="E712" s="333"/>
      <c r="F712" s="333"/>
      <c r="G712" s="333"/>
      <c r="H712" s="333"/>
    </row>
    <row r="713" spans="4:8" ht="12.75" customHeight="1" x14ac:dyDescent="0.25">
      <c r="D713" s="336"/>
      <c r="E713" s="333"/>
      <c r="F713" s="333"/>
      <c r="G713" s="333"/>
      <c r="H713" s="333"/>
    </row>
    <row r="714" spans="4:8" ht="12.75" customHeight="1" x14ac:dyDescent="0.25">
      <c r="D714" s="336"/>
      <c r="E714" s="333"/>
      <c r="F714" s="333"/>
      <c r="G714" s="333"/>
      <c r="H714" s="333"/>
    </row>
    <row r="715" spans="4:8" ht="12.75" customHeight="1" x14ac:dyDescent="0.25">
      <c r="D715" s="336"/>
      <c r="E715" s="333"/>
      <c r="F715" s="333"/>
      <c r="G715" s="333"/>
      <c r="H715" s="333"/>
    </row>
    <row r="716" spans="4:8" ht="12.75" customHeight="1" x14ac:dyDescent="0.25">
      <c r="D716" s="336"/>
      <c r="E716" s="333"/>
      <c r="F716" s="333"/>
      <c r="G716" s="333"/>
      <c r="H716" s="333"/>
    </row>
    <row r="717" spans="4:8" ht="12.75" customHeight="1" x14ac:dyDescent="0.25">
      <c r="D717" s="336"/>
      <c r="E717" s="333"/>
      <c r="F717" s="333"/>
      <c r="G717" s="333"/>
      <c r="H717" s="333"/>
    </row>
    <row r="718" spans="4:8" ht="12.75" customHeight="1" x14ac:dyDescent="0.25">
      <c r="D718" s="336"/>
      <c r="E718" s="333"/>
      <c r="F718" s="333"/>
      <c r="G718" s="333"/>
      <c r="H718" s="333"/>
    </row>
    <row r="719" spans="4:8" ht="12.75" customHeight="1" x14ac:dyDescent="0.25">
      <c r="D719" s="336"/>
      <c r="E719" s="333"/>
      <c r="F719" s="333"/>
      <c r="G719" s="333"/>
      <c r="H719" s="333"/>
    </row>
    <row r="720" spans="4:8" ht="12.75" customHeight="1" x14ac:dyDescent="0.25">
      <c r="D720" s="336"/>
      <c r="E720" s="333"/>
      <c r="F720" s="333"/>
      <c r="G720" s="333"/>
      <c r="H720" s="333"/>
    </row>
    <row r="721" spans="4:8" ht="12.75" customHeight="1" x14ac:dyDescent="0.25">
      <c r="D721" s="336"/>
      <c r="E721" s="333"/>
      <c r="F721" s="333"/>
      <c r="G721" s="333"/>
      <c r="H721" s="333"/>
    </row>
    <row r="722" spans="4:8" ht="12.75" customHeight="1" x14ac:dyDescent="0.25">
      <c r="D722" s="336"/>
      <c r="E722" s="333"/>
      <c r="F722" s="333"/>
      <c r="G722" s="333"/>
      <c r="H722" s="333"/>
    </row>
    <row r="723" spans="4:8" ht="12.75" customHeight="1" x14ac:dyDescent="0.25">
      <c r="D723" s="336"/>
      <c r="E723" s="333"/>
      <c r="F723" s="333"/>
      <c r="G723" s="333"/>
      <c r="H723" s="333"/>
    </row>
    <row r="724" spans="4:8" ht="12.75" customHeight="1" x14ac:dyDescent="0.25">
      <c r="D724" s="336"/>
      <c r="E724" s="333"/>
      <c r="F724" s="333"/>
      <c r="G724" s="333"/>
      <c r="H724" s="333"/>
    </row>
    <row r="725" spans="4:8" ht="12.75" customHeight="1" x14ac:dyDescent="0.25">
      <c r="D725" s="336"/>
      <c r="E725" s="333"/>
      <c r="F725" s="333"/>
      <c r="G725" s="333"/>
      <c r="H725" s="333"/>
    </row>
    <row r="726" spans="4:8" ht="12.75" customHeight="1" x14ac:dyDescent="0.25">
      <c r="D726" s="336"/>
      <c r="E726" s="333"/>
      <c r="F726" s="333"/>
      <c r="G726" s="333"/>
      <c r="H726" s="333"/>
    </row>
    <row r="727" spans="4:8" ht="12.75" customHeight="1" x14ac:dyDescent="0.25">
      <c r="D727" s="336"/>
      <c r="E727" s="333"/>
      <c r="F727" s="333"/>
      <c r="G727" s="333"/>
      <c r="H727" s="333"/>
    </row>
    <row r="728" spans="4:8" ht="12.75" customHeight="1" x14ac:dyDescent="0.25">
      <c r="D728" s="336"/>
      <c r="E728" s="333"/>
      <c r="F728" s="333"/>
      <c r="G728" s="333"/>
      <c r="H728" s="333"/>
    </row>
    <row r="729" spans="4:8" ht="12.75" customHeight="1" x14ac:dyDescent="0.25">
      <c r="D729" s="336"/>
      <c r="E729" s="333"/>
      <c r="F729" s="333"/>
      <c r="G729" s="333"/>
      <c r="H729" s="333"/>
    </row>
    <row r="730" spans="4:8" ht="12.75" customHeight="1" x14ac:dyDescent="0.25">
      <c r="D730" s="336"/>
      <c r="E730" s="333"/>
      <c r="F730" s="333"/>
      <c r="G730" s="333"/>
      <c r="H730" s="333"/>
    </row>
    <row r="731" spans="4:8" ht="12.75" customHeight="1" x14ac:dyDescent="0.25">
      <c r="D731" s="336"/>
      <c r="E731" s="333"/>
      <c r="F731" s="333"/>
      <c r="G731" s="333"/>
      <c r="H731" s="333"/>
    </row>
    <row r="732" spans="4:8" ht="12.75" customHeight="1" x14ac:dyDescent="0.25">
      <c r="D732" s="336"/>
      <c r="E732" s="333"/>
      <c r="F732" s="333"/>
      <c r="G732" s="333"/>
      <c r="H732" s="333"/>
    </row>
    <row r="733" spans="4:8" ht="12.75" customHeight="1" x14ac:dyDescent="0.25">
      <c r="D733" s="336"/>
      <c r="E733" s="333"/>
      <c r="F733" s="333"/>
      <c r="G733" s="333"/>
      <c r="H733" s="333"/>
    </row>
    <row r="734" spans="4:8" ht="12.75" customHeight="1" x14ac:dyDescent="0.25">
      <c r="D734" s="336"/>
      <c r="E734" s="333"/>
      <c r="F734" s="333"/>
      <c r="G734" s="333"/>
      <c r="H734" s="333"/>
    </row>
    <row r="735" spans="4:8" ht="12.75" customHeight="1" x14ac:dyDescent="0.25">
      <c r="D735" s="336"/>
      <c r="E735" s="333"/>
      <c r="F735" s="333"/>
      <c r="G735" s="333"/>
      <c r="H735" s="333"/>
    </row>
    <row r="736" spans="4:8" ht="12.75" customHeight="1" x14ac:dyDescent="0.25">
      <c r="D736" s="336"/>
      <c r="E736" s="333"/>
      <c r="F736" s="333"/>
      <c r="G736" s="333"/>
      <c r="H736" s="333"/>
    </row>
    <row r="737" spans="4:8" ht="12.75" customHeight="1" x14ac:dyDescent="0.25">
      <c r="D737" s="336"/>
      <c r="E737" s="333"/>
      <c r="F737" s="333"/>
      <c r="G737" s="333"/>
      <c r="H737" s="333"/>
    </row>
    <row r="738" spans="4:8" ht="12.75" customHeight="1" x14ac:dyDescent="0.25">
      <c r="D738" s="336"/>
      <c r="E738" s="333"/>
      <c r="F738" s="333"/>
      <c r="G738" s="333"/>
      <c r="H738" s="333"/>
    </row>
    <row r="739" spans="4:8" ht="12.75" customHeight="1" x14ac:dyDescent="0.25">
      <c r="D739" s="336"/>
      <c r="E739" s="333"/>
      <c r="F739" s="333"/>
      <c r="G739" s="333"/>
      <c r="H739" s="333"/>
    </row>
    <row r="740" spans="4:8" ht="12.75" customHeight="1" x14ac:dyDescent="0.25">
      <c r="D740" s="336"/>
      <c r="E740" s="333"/>
      <c r="F740" s="333"/>
      <c r="G740" s="333"/>
      <c r="H740" s="333"/>
    </row>
    <row r="741" spans="4:8" ht="12.75" customHeight="1" x14ac:dyDescent="0.25">
      <c r="D741" s="336"/>
      <c r="E741" s="333"/>
      <c r="F741" s="333"/>
      <c r="G741" s="333"/>
      <c r="H741" s="333"/>
    </row>
    <row r="742" spans="4:8" ht="12.75" customHeight="1" x14ac:dyDescent="0.25">
      <c r="D742" s="336"/>
      <c r="E742" s="333"/>
      <c r="F742" s="333"/>
      <c r="G742" s="333"/>
      <c r="H742" s="333"/>
    </row>
    <row r="743" spans="4:8" ht="13.5" customHeight="1" x14ac:dyDescent="0.25">
      <c r="D743" s="336"/>
      <c r="E743" s="333"/>
      <c r="F743" s="333"/>
      <c r="G743" s="333"/>
      <c r="H743" s="333"/>
    </row>
    <row r="744" spans="4:8" ht="12.75" customHeight="1" x14ac:dyDescent="0.25">
      <c r="D744" s="336"/>
      <c r="E744" s="333"/>
      <c r="F744" s="333"/>
      <c r="G744" s="333"/>
      <c r="H744" s="333"/>
    </row>
    <row r="745" spans="4:8" ht="12.75" customHeight="1" x14ac:dyDescent="0.25">
      <c r="D745" s="336"/>
      <c r="E745" s="333"/>
      <c r="F745" s="333"/>
      <c r="G745" s="333"/>
      <c r="H745" s="333"/>
    </row>
    <row r="746" spans="4:8" ht="12.75" customHeight="1" x14ac:dyDescent="0.25">
      <c r="D746" s="336"/>
      <c r="E746" s="333"/>
      <c r="F746" s="333"/>
      <c r="G746" s="333"/>
      <c r="H746" s="333"/>
    </row>
    <row r="747" spans="4:8" ht="12.75" customHeight="1" x14ac:dyDescent="0.25">
      <c r="D747" s="336"/>
      <c r="E747" s="333"/>
      <c r="F747" s="333"/>
      <c r="G747" s="333"/>
      <c r="H747" s="333"/>
    </row>
    <row r="748" spans="4:8" ht="12.75" customHeight="1" x14ac:dyDescent="0.25">
      <c r="D748" s="336"/>
      <c r="E748" s="333"/>
      <c r="F748" s="333"/>
      <c r="G748" s="333"/>
      <c r="H748" s="333"/>
    </row>
    <row r="749" spans="4:8" ht="12.75" customHeight="1" x14ac:dyDescent="0.25">
      <c r="D749" s="336"/>
      <c r="E749" s="333"/>
      <c r="F749" s="333"/>
      <c r="G749" s="333"/>
      <c r="H749" s="333"/>
    </row>
    <row r="750" spans="4:8" ht="12.75" customHeight="1" x14ac:dyDescent="0.25">
      <c r="D750" s="336"/>
      <c r="E750" s="333"/>
      <c r="F750" s="333"/>
      <c r="G750" s="333"/>
      <c r="H750" s="333"/>
    </row>
    <row r="751" spans="4:8" ht="12.75" customHeight="1" x14ac:dyDescent="0.25">
      <c r="D751" s="336"/>
      <c r="E751" s="333"/>
      <c r="F751" s="333"/>
      <c r="G751" s="333"/>
      <c r="H751" s="333"/>
    </row>
    <row r="752" spans="4:8" ht="12.75" customHeight="1" x14ac:dyDescent="0.25">
      <c r="D752" s="336"/>
      <c r="E752" s="333"/>
      <c r="F752" s="333"/>
      <c r="G752" s="333"/>
      <c r="H752" s="333"/>
    </row>
    <row r="753" spans="4:8" ht="12.75" customHeight="1" x14ac:dyDescent="0.25">
      <c r="D753" s="336"/>
      <c r="E753" s="333"/>
      <c r="F753" s="333"/>
      <c r="G753" s="333"/>
      <c r="H753" s="333"/>
    </row>
    <row r="754" spans="4:8" ht="12.75" customHeight="1" x14ac:dyDescent="0.25">
      <c r="D754" s="336"/>
      <c r="E754" s="333"/>
      <c r="F754" s="333"/>
      <c r="G754" s="333"/>
      <c r="H754" s="333"/>
    </row>
    <row r="755" spans="4:8" ht="12.75" customHeight="1" x14ac:dyDescent="0.25">
      <c r="D755" s="336"/>
      <c r="E755" s="333"/>
      <c r="F755" s="333"/>
      <c r="G755" s="333"/>
      <c r="H755" s="333"/>
    </row>
    <row r="756" spans="4:8" ht="12.75" customHeight="1" x14ac:dyDescent="0.25">
      <c r="D756" s="336"/>
      <c r="E756" s="333"/>
      <c r="F756" s="333"/>
      <c r="G756" s="333"/>
      <c r="H756" s="333"/>
    </row>
    <row r="757" spans="4:8" ht="12.75" customHeight="1" x14ac:dyDescent="0.25">
      <c r="D757" s="336"/>
      <c r="E757" s="333"/>
      <c r="F757" s="333"/>
      <c r="G757" s="333"/>
      <c r="H757" s="333"/>
    </row>
    <row r="758" spans="4:8" ht="12.75" customHeight="1" x14ac:dyDescent="0.25">
      <c r="D758" s="336"/>
      <c r="E758" s="333"/>
      <c r="F758" s="333"/>
      <c r="G758" s="333"/>
      <c r="H758" s="333"/>
    </row>
    <row r="759" spans="4:8" ht="12.75" customHeight="1" x14ac:dyDescent="0.25">
      <c r="D759" s="336"/>
      <c r="E759" s="333"/>
      <c r="F759" s="333"/>
      <c r="G759" s="333"/>
      <c r="H759" s="333"/>
    </row>
    <row r="760" spans="4:8" ht="12.75" customHeight="1" x14ac:dyDescent="0.25">
      <c r="D760" s="336"/>
      <c r="E760" s="333"/>
      <c r="F760" s="333"/>
      <c r="G760" s="333"/>
      <c r="H760" s="333"/>
    </row>
    <row r="761" spans="4:8" ht="12.75" customHeight="1" x14ac:dyDescent="0.25">
      <c r="D761" s="336"/>
      <c r="E761" s="333"/>
      <c r="F761" s="333"/>
      <c r="G761" s="333"/>
      <c r="H761" s="333"/>
    </row>
    <row r="762" spans="4:8" ht="12.75" customHeight="1" x14ac:dyDescent="0.25">
      <c r="D762" s="336"/>
      <c r="E762" s="333"/>
      <c r="F762" s="333"/>
      <c r="G762" s="333"/>
      <c r="H762" s="333"/>
    </row>
    <row r="763" spans="4:8" ht="12.75" customHeight="1" x14ac:dyDescent="0.25">
      <c r="D763" s="336"/>
      <c r="E763" s="333"/>
      <c r="F763" s="333"/>
      <c r="G763" s="333"/>
      <c r="H763" s="333"/>
    </row>
    <row r="764" spans="4:8" ht="12.75" customHeight="1" x14ac:dyDescent="0.25">
      <c r="D764" s="336"/>
      <c r="E764" s="333"/>
      <c r="F764" s="333"/>
      <c r="G764" s="333"/>
      <c r="H764" s="333"/>
    </row>
    <row r="765" spans="4:8" ht="12.75" customHeight="1" x14ac:dyDescent="0.25">
      <c r="D765" s="336"/>
      <c r="E765" s="333"/>
      <c r="F765" s="333"/>
      <c r="G765" s="333"/>
      <c r="H765" s="333"/>
    </row>
    <row r="766" spans="4:8" ht="12.75" customHeight="1" x14ac:dyDescent="0.25">
      <c r="D766" s="336"/>
      <c r="E766" s="333"/>
      <c r="F766" s="333"/>
      <c r="G766" s="333"/>
      <c r="H766" s="333"/>
    </row>
    <row r="767" spans="4:8" ht="12.75" customHeight="1" x14ac:dyDescent="0.25">
      <c r="D767" s="336"/>
      <c r="E767" s="333"/>
      <c r="F767" s="333"/>
      <c r="G767" s="333"/>
      <c r="H767" s="333"/>
    </row>
    <row r="768" spans="4:8" ht="12.75" customHeight="1" x14ac:dyDescent="0.25">
      <c r="D768" s="336"/>
      <c r="E768" s="333"/>
      <c r="F768" s="333"/>
      <c r="G768" s="333"/>
      <c r="H768" s="333"/>
    </row>
    <row r="769" spans="4:30" ht="12.75" customHeight="1" x14ac:dyDescent="0.25">
      <c r="D769" s="336"/>
      <c r="E769" s="333"/>
      <c r="F769" s="333"/>
      <c r="G769" s="333"/>
      <c r="H769" s="333"/>
    </row>
    <row r="770" spans="4:30" ht="12.75" customHeight="1" x14ac:dyDescent="0.25">
      <c r="D770" s="336"/>
      <c r="E770" s="333"/>
      <c r="F770" s="333"/>
      <c r="G770" s="333"/>
      <c r="H770" s="333"/>
      <c r="AD770" s="130">
        <v>1</v>
      </c>
    </row>
    <row r="771" spans="4:30" ht="12.75" customHeight="1" x14ac:dyDescent="0.25">
      <c r="D771" s="336"/>
      <c r="E771" s="333"/>
      <c r="F771" s="333"/>
      <c r="G771" s="333"/>
      <c r="H771" s="333"/>
    </row>
    <row r="772" spans="4:30" ht="12.75" customHeight="1" x14ac:dyDescent="0.25">
      <c r="D772" s="336"/>
      <c r="E772" s="333"/>
      <c r="F772" s="333"/>
      <c r="G772" s="333"/>
      <c r="H772" s="333"/>
    </row>
    <row r="773" spans="4:30" ht="12.75" customHeight="1" x14ac:dyDescent="0.25">
      <c r="D773" s="336"/>
      <c r="E773" s="333"/>
      <c r="F773" s="333"/>
      <c r="G773" s="333"/>
      <c r="H773" s="333"/>
    </row>
    <row r="774" spans="4:30" ht="12.75" customHeight="1" x14ac:dyDescent="0.25">
      <c r="D774" s="336"/>
      <c r="E774" s="333"/>
      <c r="F774" s="333"/>
      <c r="G774" s="333"/>
      <c r="H774" s="333"/>
    </row>
    <row r="775" spans="4:30" ht="12.75" customHeight="1" x14ac:dyDescent="0.25">
      <c r="D775" s="336"/>
      <c r="E775" s="333"/>
      <c r="F775" s="333"/>
      <c r="G775" s="333"/>
      <c r="H775" s="333"/>
    </row>
    <row r="776" spans="4:30" ht="12.75" customHeight="1" x14ac:dyDescent="0.25">
      <c r="D776" s="336"/>
      <c r="E776" s="333"/>
      <c r="F776" s="333"/>
      <c r="G776" s="333"/>
      <c r="H776" s="333"/>
    </row>
    <row r="777" spans="4:30" ht="12.75" customHeight="1" x14ac:dyDescent="0.25">
      <c r="D777" s="336"/>
      <c r="E777" s="333"/>
      <c r="F777" s="333"/>
      <c r="G777" s="333"/>
      <c r="H777" s="333"/>
    </row>
    <row r="778" spans="4:30" ht="12.75" customHeight="1" x14ac:dyDescent="0.25">
      <c r="D778" s="336"/>
      <c r="E778" s="333"/>
      <c r="F778" s="333"/>
      <c r="G778" s="333"/>
      <c r="H778" s="333"/>
    </row>
    <row r="779" spans="4:30" ht="12.75" customHeight="1" x14ac:dyDescent="0.25">
      <c r="D779" s="336"/>
      <c r="E779" s="333"/>
      <c r="F779" s="333"/>
      <c r="G779" s="333"/>
      <c r="H779" s="333"/>
    </row>
    <row r="780" spans="4:30" ht="12.75" customHeight="1" x14ac:dyDescent="0.25">
      <c r="D780" s="336"/>
      <c r="E780" s="333"/>
      <c r="F780" s="333"/>
      <c r="G780" s="333"/>
      <c r="H780" s="333"/>
    </row>
    <row r="781" spans="4:30" ht="12.75" customHeight="1" x14ac:dyDescent="0.25">
      <c r="D781" s="336"/>
      <c r="F781" s="333"/>
      <c r="G781" s="333"/>
      <c r="H781" s="333"/>
    </row>
    <row r="782" spans="4:30" ht="12.75" customHeight="1" x14ac:dyDescent="0.25">
      <c r="D782" s="336"/>
      <c r="F782" s="333"/>
      <c r="G782" s="333"/>
      <c r="H782" s="333"/>
    </row>
    <row r="783" spans="4:30" ht="12.75" customHeight="1" x14ac:dyDescent="0.25"/>
    <row r="784" spans="4:30" ht="12.75" customHeight="1" x14ac:dyDescent="0.25"/>
    <row r="785" spans="31:31" ht="12.75" customHeight="1" x14ac:dyDescent="0.25"/>
    <row r="786" spans="31:31" ht="12.75" customHeight="1" x14ac:dyDescent="0.25"/>
    <row r="787" spans="31:31" ht="12.75" customHeight="1" x14ac:dyDescent="0.25"/>
    <row r="788" spans="31:31" ht="12.75" customHeight="1" x14ac:dyDescent="0.25"/>
    <row r="789" spans="31:31" ht="12.75" customHeight="1" x14ac:dyDescent="0.25"/>
    <row r="790" spans="31:31" ht="12.75" customHeight="1" x14ac:dyDescent="0.25"/>
    <row r="791" spans="31:31" ht="12.75" customHeight="1" x14ac:dyDescent="0.25"/>
    <row r="792" spans="31:31" ht="12.75" customHeight="1" x14ac:dyDescent="0.25"/>
    <row r="793" spans="31:31" ht="12" customHeight="1" x14ac:dyDescent="0.25"/>
    <row r="794" spans="31:31" ht="12.75" customHeight="1" x14ac:dyDescent="0.25"/>
    <row r="795" spans="31:31" ht="12.75" customHeight="1" x14ac:dyDescent="0.25"/>
    <row r="796" spans="31:31" ht="12.75" customHeight="1" x14ac:dyDescent="0.25"/>
    <row r="797" spans="31:31" ht="12.75" customHeight="1" x14ac:dyDescent="0.25"/>
    <row r="798" spans="31:31" ht="12.75" customHeight="1" x14ac:dyDescent="0.25">
      <c r="AE798" s="522"/>
    </row>
    <row r="799" spans="31:31" ht="12.75" customHeight="1" x14ac:dyDescent="0.25"/>
    <row r="800" spans="31:31" ht="12.75" customHeight="1" x14ac:dyDescent="0.25"/>
    <row r="801" ht="12.75" customHeight="1" x14ac:dyDescent="0.25"/>
    <row r="802" ht="12.75" customHeight="1" x14ac:dyDescent="0.25"/>
    <row r="803" ht="12.75" customHeight="1" x14ac:dyDescent="0.25"/>
    <row r="804" ht="12.75" customHeight="1" x14ac:dyDescent="0.25"/>
    <row r="805" ht="12.75" customHeight="1" x14ac:dyDescent="0.25"/>
    <row r="806" ht="12.75" customHeight="1" x14ac:dyDescent="0.25"/>
    <row r="807" ht="12.75" customHeight="1" x14ac:dyDescent="0.25"/>
    <row r="808" ht="12.75" customHeight="1" x14ac:dyDescent="0.25"/>
    <row r="809" ht="12.75" customHeight="1" x14ac:dyDescent="0.25"/>
    <row r="810" ht="12.75" customHeight="1" x14ac:dyDescent="0.25"/>
    <row r="811" ht="12.75" customHeight="1" x14ac:dyDescent="0.25"/>
    <row r="812" ht="12.75" customHeight="1" x14ac:dyDescent="0.25"/>
    <row r="813" ht="12.75" customHeight="1" x14ac:dyDescent="0.25"/>
    <row r="814" ht="12.75" customHeight="1" x14ac:dyDescent="0.25"/>
    <row r="815" ht="12.75" customHeight="1" x14ac:dyDescent="0.25"/>
    <row r="816" ht="12.75" customHeight="1" x14ac:dyDescent="0.25"/>
    <row r="817" ht="12.75" customHeight="1" x14ac:dyDescent="0.25"/>
    <row r="818" ht="12.75" customHeight="1" x14ac:dyDescent="0.25"/>
    <row r="819" ht="12.75" customHeight="1" x14ac:dyDescent="0.25"/>
    <row r="820" ht="12.75" customHeight="1" x14ac:dyDescent="0.25"/>
    <row r="821" ht="12.75" customHeight="1" x14ac:dyDescent="0.25"/>
    <row r="822" ht="12.75" customHeight="1" x14ac:dyDescent="0.25"/>
    <row r="823" ht="12.75" customHeight="1" x14ac:dyDescent="0.25"/>
    <row r="824" ht="12.75" customHeight="1" x14ac:dyDescent="0.25"/>
    <row r="825" ht="12.75" customHeight="1" x14ac:dyDescent="0.25"/>
    <row r="826" ht="12.75" customHeight="1" x14ac:dyDescent="0.25"/>
    <row r="827" ht="13.5" customHeight="1" x14ac:dyDescent="0.25"/>
    <row r="828" ht="13.5" customHeight="1" x14ac:dyDescent="0.25"/>
    <row r="829" ht="13.5" customHeight="1" x14ac:dyDescent="0.25"/>
    <row r="830" ht="13.5" customHeight="1" x14ac:dyDescent="0.25"/>
    <row r="831" ht="13.5" customHeight="1" x14ac:dyDescent="0.25"/>
    <row r="832" ht="13.5" customHeight="1" x14ac:dyDescent="0.25"/>
    <row r="833" ht="13.5" customHeight="1" x14ac:dyDescent="0.25"/>
    <row r="834" ht="13.5" customHeight="1" x14ac:dyDescent="0.25"/>
    <row r="835" ht="13.5" customHeight="1" x14ac:dyDescent="0.25"/>
    <row r="836" ht="13.5" customHeight="1" x14ac:dyDescent="0.25"/>
    <row r="837" ht="13.5" customHeight="1" x14ac:dyDescent="0.25"/>
    <row r="838" ht="13.5" customHeight="1" x14ac:dyDescent="0.25"/>
    <row r="839" ht="13.5" customHeight="1" x14ac:dyDescent="0.25"/>
    <row r="840" ht="13.5" customHeight="1" x14ac:dyDescent="0.25"/>
    <row r="841" ht="13.5" customHeight="1" x14ac:dyDescent="0.25"/>
    <row r="842" ht="13.5" customHeight="1" x14ac:dyDescent="0.25"/>
    <row r="843" ht="13.5" customHeight="1" x14ac:dyDescent="0.25"/>
    <row r="844" ht="13.5" customHeight="1" x14ac:dyDescent="0.25"/>
    <row r="845" ht="13.5" customHeight="1" x14ac:dyDescent="0.25"/>
    <row r="846" ht="13.5" customHeight="1" x14ac:dyDescent="0.25"/>
    <row r="847" ht="13.5" customHeight="1" x14ac:dyDescent="0.25"/>
    <row r="848" ht="13.5" customHeight="1" x14ac:dyDescent="0.25"/>
    <row r="849" ht="13.5" customHeight="1" x14ac:dyDescent="0.25"/>
    <row r="850" ht="13.5" customHeight="1" x14ac:dyDescent="0.25"/>
    <row r="851" ht="13.5" customHeight="1" x14ac:dyDescent="0.25"/>
    <row r="852" ht="13.5" customHeight="1" x14ac:dyDescent="0.25"/>
    <row r="853" ht="13.5" customHeight="1" x14ac:dyDescent="0.25"/>
    <row r="854" ht="13.5" customHeight="1" x14ac:dyDescent="0.25"/>
    <row r="855" ht="13.5" customHeight="1" x14ac:dyDescent="0.25"/>
    <row r="856" ht="13.5" customHeight="1" x14ac:dyDescent="0.25"/>
    <row r="857" ht="13.5" customHeight="1" x14ac:dyDescent="0.25"/>
    <row r="858" ht="13.5" customHeight="1" x14ac:dyDescent="0.25"/>
  </sheetData>
  <sheetProtection algorithmName="SHA-512" hashValue="Kv2AZmtYN1/5Ye0m97FLq+u+SCbKFByj4SBSISc1DdB6h/HUmenN5fHTHGzgieGZSgZV5H9HDyijqo+NDYIw1w==" saltValue="rikoXLq6ux3F4dFyhgNrLw==" spinCount="100000" sheet="1" selectLockedCells="1" selectUnlockedCells="1"/>
  <mergeCells count="285">
    <mergeCell ref="N60:O60"/>
    <mergeCell ref="K61:L61"/>
    <mergeCell ref="N61:O61"/>
    <mergeCell ref="K62:L62"/>
    <mergeCell ref="N62:O62"/>
    <mergeCell ref="D61:F61"/>
    <mergeCell ref="F39:I39"/>
    <mergeCell ref="B48:C49"/>
    <mergeCell ref="D48:F49"/>
    <mergeCell ref="G48:I49"/>
    <mergeCell ref="G50:I51"/>
    <mergeCell ref="D50:F51"/>
    <mergeCell ref="B50:C51"/>
    <mergeCell ref="B52:C53"/>
    <mergeCell ref="D52:F53"/>
    <mergeCell ref="K58:L58"/>
    <mergeCell ref="K53:L53"/>
    <mergeCell ref="G52:I53"/>
    <mergeCell ref="B54:C55"/>
    <mergeCell ref="D54:F55"/>
    <mergeCell ref="G54:I55"/>
    <mergeCell ref="B56:C57"/>
    <mergeCell ref="D56:F57"/>
    <mergeCell ref="D58:F59"/>
    <mergeCell ref="G58:I59"/>
    <mergeCell ref="G56:I57"/>
    <mergeCell ref="B58:C59"/>
    <mergeCell ref="K52:L52"/>
    <mergeCell ref="N48:O48"/>
    <mergeCell ref="K49:L49"/>
    <mergeCell ref="N49:O49"/>
    <mergeCell ref="K50:L50"/>
    <mergeCell ref="N50:O50"/>
    <mergeCell ref="K51:L51"/>
    <mergeCell ref="N51:O51"/>
    <mergeCell ref="N52:O52"/>
    <mergeCell ref="E10:F10"/>
    <mergeCell ref="N10:O10"/>
    <mergeCell ref="P10:Q10"/>
    <mergeCell ref="K19:L19"/>
    <mergeCell ref="N19:O19"/>
    <mergeCell ref="K23:L23"/>
    <mergeCell ref="N23:O23"/>
    <mergeCell ref="K26:L26"/>
    <mergeCell ref="N26:O26"/>
    <mergeCell ref="K22:L22"/>
    <mergeCell ref="N22:O22"/>
    <mergeCell ref="H13:I13"/>
    <mergeCell ref="N13:O13"/>
    <mergeCell ref="K13:L13"/>
    <mergeCell ref="P12:Q12"/>
    <mergeCell ref="E12:F12"/>
    <mergeCell ref="K12:L12"/>
    <mergeCell ref="P13:Q13"/>
    <mergeCell ref="K17:L17"/>
    <mergeCell ref="N17:O17"/>
    <mergeCell ref="K15:L16"/>
    <mergeCell ref="M15:M16"/>
    <mergeCell ref="N15:O16"/>
    <mergeCell ref="K18:L18"/>
    <mergeCell ref="P22:Q22"/>
    <mergeCell ref="P23:Q23"/>
    <mergeCell ref="T22:U22"/>
    <mergeCell ref="G2:I2"/>
    <mergeCell ref="E9:I9"/>
    <mergeCell ref="N9:Q9"/>
    <mergeCell ref="K6:L6"/>
    <mergeCell ref="K7:L7"/>
    <mergeCell ref="K8:L8"/>
    <mergeCell ref="K9:L9"/>
    <mergeCell ref="K10:L10"/>
    <mergeCell ref="K11:L11"/>
    <mergeCell ref="B4:I4"/>
    <mergeCell ref="K4:Q4"/>
    <mergeCell ref="E6:I6"/>
    <mergeCell ref="N6:Q6"/>
    <mergeCell ref="E7:I7"/>
    <mergeCell ref="N7:Q7"/>
    <mergeCell ref="E8:I8"/>
    <mergeCell ref="N8:Q8"/>
    <mergeCell ref="E11:F11"/>
    <mergeCell ref="H11:I11"/>
    <mergeCell ref="N11:O11"/>
    <mergeCell ref="P11:Q11"/>
    <mergeCell ref="N18:O18"/>
    <mergeCell ref="H12:I12"/>
    <mergeCell ref="N12:O12"/>
    <mergeCell ref="E13:F13"/>
    <mergeCell ref="T26:U26"/>
    <mergeCell ref="K27:L27"/>
    <mergeCell ref="N27:O27"/>
    <mergeCell ref="T27:U27"/>
    <mergeCell ref="K24:L24"/>
    <mergeCell ref="N24:O24"/>
    <mergeCell ref="T24:U24"/>
    <mergeCell ref="K25:L25"/>
    <mergeCell ref="N25:O25"/>
    <mergeCell ref="T25:U25"/>
    <mergeCell ref="P24:Q24"/>
    <mergeCell ref="P25:Q25"/>
    <mergeCell ref="P26:Q26"/>
    <mergeCell ref="T23:U23"/>
    <mergeCell ref="K20:L20"/>
    <mergeCell ref="N20:O20"/>
    <mergeCell ref="T20:U20"/>
    <mergeCell ref="K21:L21"/>
    <mergeCell ref="N21:O21"/>
    <mergeCell ref="T21:U21"/>
    <mergeCell ref="T33:U33"/>
    <mergeCell ref="K30:L30"/>
    <mergeCell ref="N30:O30"/>
    <mergeCell ref="T30:U30"/>
    <mergeCell ref="K31:L31"/>
    <mergeCell ref="N31:O31"/>
    <mergeCell ref="T31:U31"/>
    <mergeCell ref="K32:L32"/>
    <mergeCell ref="N32:O32"/>
    <mergeCell ref="T32:U32"/>
    <mergeCell ref="P32:Q32"/>
    <mergeCell ref="P33:Q33"/>
    <mergeCell ref="K33:L33"/>
    <mergeCell ref="N33:O33"/>
    <mergeCell ref="T28:U28"/>
    <mergeCell ref="K29:L29"/>
    <mergeCell ref="N29:O29"/>
    <mergeCell ref="T29:U29"/>
    <mergeCell ref="F29:I29"/>
    <mergeCell ref="F31:I31"/>
    <mergeCell ref="F27:I27"/>
    <mergeCell ref="P27:Q27"/>
    <mergeCell ref="P28:Q28"/>
    <mergeCell ref="P29:Q29"/>
    <mergeCell ref="P30:Q30"/>
    <mergeCell ref="P31:Q31"/>
    <mergeCell ref="K28:L28"/>
    <mergeCell ref="N28:O28"/>
    <mergeCell ref="T36:U36"/>
    <mergeCell ref="K37:L37"/>
    <mergeCell ref="N37:O37"/>
    <mergeCell ref="T37:U37"/>
    <mergeCell ref="K34:L34"/>
    <mergeCell ref="N34:O34"/>
    <mergeCell ref="T34:U34"/>
    <mergeCell ref="K35:L35"/>
    <mergeCell ref="N35:O35"/>
    <mergeCell ref="T35:U35"/>
    <mergeCell ref="P34:Q34"/>
    <mergeCell ref="P35:Q35"/>
    <mergeCell ref="P36:Q36"/>
    <mergeCell ref="P37:Q37"/>
    <mergeCell ref="K36:L36"/>
    <mergeCell ref="N36:O36"/>
    <mergeCell ref="N38:O38"/>
    <mergeCell ref="T38:U38"/>
    <mergeCell ref="K39:L39"/>
    <mergeCell ref="N39:O39"/>
    <mergeCell ref="T39:U39"/>
    <mergeCell ref="T40:U40"/>
    <mergeCell ref="K43:L43"/>
    <mergeCell ref="N43:O43"/>
    <mergeCell ref="T43:U43"/>
    <mergeCell ref="K40:L40"/>
    <mergeCell ref="N40:O40"/>
    <mergeCell ref="K42:L42"/>
    <mergeCell ref="N42:O42"/>
    <mergeCell ref="K41:L41"/>
    <mergeCell ref="N41:O41"/>
    <mergeCell ref="T41:U41"/>
    <mergeCell ref="T42:U42"/>
    <mergeCell ref="P38:Q38"/>
    <mergeCell ref="P39:Q39"/>
    <mergeCell ref="P40:Q40"/>
    <mergeCell ref="P41:Q41"/>
    <mergeCell ref="P42:Q42"/>
    <mergeCell ref="P43:Q43"/>
    <mergeCell ref="K38:L38"/>
    <mergeCell ref="T44:U44"/>
    <mergeCell ref="K45:L45"/>
    <mergeCell ref="N45:O45"/>
    <mergeCell ref="T45:U45"/>
    <mergeCell ref="N63:O63"/>
    <mergeCell ref="K63:L63"/>
    <mergeCell ref="K64:L64"/>
    <mergeCell ref="N64:O64"/>
    <mergeCell ref="T62:U62"/>
    <mergeCell ref="T58:U58"/>
    <mergeCell ref="T48:U48"/>
    <mergeCell ref="T49:U49"/>
    <mergeCell ref="T46:U46"/>
    <mergeCell ref="T47:U47"/>
    <mergeCell ref="K44:L44"/>
    <mergeCell ref="N44:O44"/>
    <mergeCell ref="T50:U50"/>
    <mergeCell ref="T51:U51"/>
    <mergeCell ref="T57:U57"/>
    <mergeCell ref="K46:L46"/>
    <mergeCell ref="N46:O46"/>
    <mergeCell ref="K47:L47"/>
    <mergeCell ref="N47:O47"/>
    <mergeCell ref="K48:L48"/>
    <mergeCell ref="L258:M258"/>
    <mergeCell ref="K257:M257"/>
    <mergeCell ref="B69:D69"/>
    <mergeCell ref="C70:D70"/>
    <mergeCell ref="F70:H70"/>
    <mergeCell ref="K70:M70"/>
    <mergeCell ref="O70:Q70"/>
    <mergeCell ref="L71:M71"/>
    <mergeCell ref="O71:Q71"/>
    <mergeCell ref="P257:Q257"/>
    <mergeCell ref="F69:I69"/>
    <mergeCell ref="K65:L65"/>
    <mergeCell ref="N65:O65"/>
    <mergeCell ref="T63:U63"/>
    <mergeCell ref="T59:U59"/>
    <mergeCell ref="T60:U60"/>
    <mergeCell ref="T61:U61"/>
    <mergeCell ref="T52:U52"/>
    <mergeCell ref="T53:U53"/>
    <mergeCell ref="T54:U54"/>
    <mergeCell ref="T55:U55"/>
    <mergeCell ref="T56:U56"/>
    <mergeCell ref="N53:O53"/>
    <mergeCell ref="K54:L54"/>
    <mergeCell ref="N54:O54"/>
    <mergeCell ref="K55:L55"/>
    <mergeCell ref="N55:O55"/>
    <mergeCell ref="K56:L56"/>
    <mergeCell ref="N56:O56"/>
    <mergeCell ref="K57:L57"/>
    <mergeCell ref="N57:O57"/>
    <mergeCell ref="N58:O58"/>
    <mergeCell ref="K59:L59"/>
    <mergeCell ref="N59:O59"/>
    <mergeCell ref="K60:L60"/>
    <mergeCell ref="B25:C25"/>
    <mergeCell ref="F36:I36"/>
    <mergeCell ref="F37:I37"/>
    <mergeCell ref="F38:I38"/>
    <mergeCell ref="F40:G40"/>
    <mergeCell ref="B47:C47"/>
    <mergeCell ref="D47:F47"/>
    <mergeCell ref="G47:I47"/>
    <mergeCell ref="F15:I15"/>
    <mergeCell ref="F16:I16"/>
    <mergeCell ref="F17:I17"/>
    <mergeCell ref="F19:I19"/>
    <mergeCell ref="F20:I20"/>
    <mergeCell ref="F22:I22"/>
    <mergeCell ref="F24:I24"/>
    <mergeCell ref="F35:I35"/>
    <mergeCell ref="H25:I25"/>
    <mergeCell ref="B29:C29"/>
    <mergeCell ref="Z18:AA18"/>
    <mergeCell ref="Z19:AA19"/>
    <mergeCell ref="Z20:AA20"/>
    <mergeCell ref="P15:Q16"/>
    <mergeCell ref="P17:Q17"/>
    <mergeCell ref="P18:Q18"/>
    <mergeCell ref="P19:Q19"/>
    <mergeCell ref="P20:Q20"/>
    <mergeCell ref="P21:Q21"/>
    <mergeCell ref="T18:U18"/>
    <mergeCell ref="T19:U19"/>
    <mergeCell ref="P44:Q44"/>
    <mergeCell ref="P45:Q45"/>
    <mergeCell ref="P46:Q46"/>
    <mergeCell ref="P47:Q47"/>
    <mergeCell ref="P48:Q48"/>
    <mergeCell ref="P49:Q49"/>
    <mergeCell ref="P50:Q50"/>
    <mergeCell ref="P51:Q51"/>
    <mergeCell ref="P52:Q52"/>
    <mergeCell ref="P62:Q62"/>
    <mergeCell ref="P63:Q63"/>
    <mergeCell ref="P64:Q64"/>
    <mergeCell ref="P53:Q53"/>
    <mergeCell ref="P54:Q54"/>
    <mergeCell ref="P55:Q55"/>
    <mergeCell ref="P56:Q56"/>
    <mergeCell ref="P57:Q57"/>
    <mergeCell ref="P58:Q58"/>
    <mergeCell ref="P59:Q59"/>
    <mergeCell ref="P60:Q60"/>
    <mergeCell ref="P61:Q61"/>
  </mergeCells>
  <phoneticPr fontId="28" type="noConversion"/>
  <pageMargins left="0.70866141732283472" right="0.70866141732283472" top="0.82677165354330717" bottom="0.74803149606299213" header="0.31496062992125984" footer="0.31496062992125984"/>
  <pageSetup paperSize="5" scale="80" orientation="portrait" r:id="rId1"/>
  <headerFooter>
    <oddHeader xml:space="preserve">&amp;R&amp;"Century Gothic,Bold"&amp;18ANNEX A: 
SAMPLE PACKAGE COMPUTATION
</oddHead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F7EEA7-796A-4FBD-A447-27EE108ABACD}">
  <sheetPr codeName="Sheet25"/>
  <dimension ref="A1:U76"/>
  <sheetViews>
    <sheetView showGridLines="0" showZeros="0" view="pageLayout" topLeftCell="A2" zoomScaleNormal="100" zoomScaleSheetLayoutView="115" workbookViewId="0">
      <selection activeCell="P27" sqref="P27:R27"/>
    </sheetView>
  </sheetViews>
  <sheetFormatPr defaultColWidth="9.28515625" defaultRowHeight="16.5" x14ac:dyDescent="0.3"/>
  <cols>
    <col min="1" max="1" width="3.28515625" style="5" customWidth="1"/>
    <col min="2" max="2" width="1.28515625" style="5" customWidth="1"/>
    <col min="3" max="3" width="4.5703125" style="5" customWidth="1"/>
    <col min="4" max="4" width="2.7109375" style="5" customWidth="1"/>
    <col min="5" max="5" width="7" style="5" customWidth="1"/>
    <col min="6" max="6" width="4.28515625" style="5" customWidth="1"/>
    <col min="7" max="7" width="3.42578125" style="5" customWidth="1"/>
    <col min="8" max="8" width="3.28515625" style="5" customWidth="1"/>
    <col min="9" max="9" width="5.28515625" style="5" customWidth="1"/>
    <col min="10" max="10" width="3.28515625" style="5" customWidth="1"/>
    <col min="11" max="11" width="4.7109375" style="5" customWidth="1"/>
    <col min="12" max="12" width="5.7109375" style="5" customWidth="1"/>
    <col min="13" max="13" width="7" style="5" customWidth="1"/>
    <col min="14" max="14" width="3.28515625" style="5" customWidth="1"/>
    <col min="15" max="15" width="4.42578125" style="5" customWidth="1"/>
    <col min="16" max="16" width="7" style="5" customWidth="1"/>
    <col min="17" max="17" width="5.28515625" style="5" customWidth="1"/>
    <col min="18" max="18" width="15.7109375" style="5" customWidth="1"/>
    <col min="19" max="19" width="2.42578125" style="5" customWidth="1"/>
    <col min="20" max="20" width="12.7109375" style="5" customWidth="1"/>
    <col min="21" max="21" width="1.28515625" style="5" customWidth="1"/>
    <col min="22" max="16384" width="9.28515625" style="5"/>
  </cols>
  <sheetData>
    <row r="1" spans="1:21" ht="7.5" customHeight="1" x14ac:dyDescent="0.3">
      <c r="U1" s="58"/>
    </row>
    <row r="2" spans="1:21" s="18" customFormat="1" ht="14.25" x14ac:dyDescent="0.3">
      <c r="A2" s="18" t="s">
        <v>778</v>
      </c>
      <c r="C2" s="1227">
        <f>FORM!G22</f>
        <v>45870</v>
      </c>
      <c r="D2" s="1227"/>
      <c r="E2" s="1227"/>
      <c r="F2" s="1227"/>
    </row>
    <row r="3" spans="1:21" s="18" customFormat="1" ht="13.5" x14ac:dyDescent="0.3"/>
    <row r="4" spans="1:21" s="18" customFormat="1" ht="14.25" x14ac:dyDescent="0.3">
      <c r="A4" s="655" t="s">
        <v>779</v>
      </c>
    </row>
    <row r="5" spans="1:21" s="18" customFormat="1" ht="9" customHeight="1" x14ac:dyDescent="0.3"/>
    <row r="6" spans="1:21" s="18" customFormat="1" ht="16.5" customHeight="1" x14ac:dyDescent="0.3">
      <c r="A6" s="1228" t="s">
        <v>780</v>
      </c>
      <c r="B6" s="1228"/>
      <c r="C6" s="1228"/>
      <c r="D6" s="1228"/>
      <c r="E6" s="1228"/>
      <c r="F6" s="1228"/>
      <c r="G6" s="1228"/>
      <c r="H6" s="1228"/>
      <c r="I6" s="1228"/>
      <c r="J6" s="1228"/>
      <c r="K6" s="1228"/>
      <c r="L6" s="1228"/>
      <c r="M6" s="1228"/>
      <c r="N6" s="1228"/>
      <c r="O6" s="1228"/>
      <c r="P6" s="1228"/>
      <c r="Q6" s="1228"/>
      <c r="R6" s="1228"/>
      <c r="S6" s="1228"/>
      <c r="T6" s="1228"/>
      <c r="U6" s="1228"/>
    </row>
    <row r="7" spans="1:21" ht="8.25" customHeight="1" x14ac:dyDescent="0.3">
      <c r="A7" s="21"/>
      <c r="B7" s="21"/>
      <c r="C7" s="21"/>
      <c r="D7" s="21"/>
      <c r="E7" s="21"/>
      <c r="F7" s="21"/>
      <c r="G7" s="21"/>
      <c r="H7" s="21"/>
      <c r="I7" s="21"/>
      <c r="J7" s="21"/>
      <c r="K7" s="21"/>
      <c r="L7" s="21"/>
      <c r="M7" s="21"/>
      <c r="N7" s="21"/>
      <c r="O7" s="21"/>
      <c r="P7" s="21"/>
      <c r="Q7" s="21"/>
      <c r="R7" s="21"/>
      <c r="S7" s="21"/>
      <c r="T7" s="21"/>
      <c r="U7" s="21"/>
    </row>
    <row r="8" spans="1:21" x14ac:dyDescent="0.3">
      <c r="A8" s="25" t="s">
        <v>781</v>
      </c>
      <c r="B8" s="26"/>
      <c r="C8" s="26"/>
      <c r="D8" s="24"/>
      <c r="E8" s="1229" t="str">
        <f>FORM!G11</f>
        <v>WEECOMM CENTRE</v>
      </c>
      <c r="F8" s="1229"/>
      <c r="G8" s="1229"/>
      <c r="H8" s="1229"/>
      <c r="I8" s="1229"/>
      <c r="J8" s="1229"/>
      <c r="K8" s="1229"/>
      <c r="L8" s="1229"/>
      <c r="M8" s="1229"/>
      <c r="N8" s="1229"/>
      <c r="O8" s="1229"/>
      <c r="P8" s="1229"/>
      <c r="Q8" s="1229"/>
      <c r="R8" s="1229"/>
      <c r="S8" s="1229"/>
      <c r="T8" s="1229"/>
      <c r="U8" s="62"/>
    </row>
    <row r="9" spans="1:21" x14ac:dyDescent="0.3">
      <c r="A9" s="27" t="s">
        <v>782</v>
      </c>
      <c r="B9" s="28"/>
      <c r="C9" s="28"/>
      <c r="D9" s="29"/>
      <c r="E9" s="30" t="s">
        <v>783</v>
      </c>
      <c r="F9" s="29"/>
      <c r="G9" s="29"/>
      <c r="H9" s="29"/>
      <c r="I9" s="29"/>
      <c r="J9" s="29"/>
      <c r="K9" s="29"/>
      <c r="L9" s="60"/>
      <c r="M9" s="29"/>
      <c r="N9" s="29"/>
      <c r="O9" s="29"/>
      <c r="P9" s="29"/>
      <c r="Q9" s="29"/>
      <c r="R9" s="29"/>
      <c r="S9" s="29"/>
      <c r="T9" s="30"/>
      <c r="U9" s="59"/>
    </row>
    <row r="10" spans="1:21" x14ac:dyDescent="0.3">
      <c r="A10" s="31"/>
      <c r="B10" s="8"/>
      <c r="C10" s="8"/>
      <c r="D10" s="8"/>
      <c r="E10" s="32"/>
      <c r="F10" s="8"/>
      <c r="G10" s="8"/>
      <c r="H10" s="8"/>
      <c r="I10" s="8"/>
      <c r="J10" s="8"/>
      <c r="K10" s="8"/>
      <c r="L10" s="32"/>
      <c r="M10" s="8"/>
      <c r="N10" s="8"/>
      <c r="O10" s="8"/>
      <c r="P10" s="8"/>
      <c r="Q10" s="8"/>
      <c r="R10" s="8"/>
      <c r="S10" s="8"/>
      <c r="T10" s="32"/>
      <c r="U10" s="33"/>
    </row>
    <row r="11" spans="1:21" ht="7.5" customHeight="1" x14ac:dyDescent="0.3">
      <c r="T11" s="5" t="s">
        <v>660</v>
      </c>
    </row>
    <row r="12" spans="1:21" x14ac:dyDescent="0.3">
      <c r="A12" s="1230" t="s">
        <v>784</v>
      </c>
      <c r="B12" s="1231"/>
      <c r="C12" s="1231"/>
      <c r="D12" s="1231"/>
      <c r="E12" s="1231"/>
      <c r="F12" s="1232"/>
      <c r="G12" s="1230" t="s">
        <v>267</v>
      </c>
      <c r="H12" s="1231"/>
      <c r="I12" s="1231"/>
      <c r="J12" s="1231"/>
      <c r="K12" s="1231"/>
      <c r="L12" s="1232"/>
      <c r="M12" s="1230" t="s">
        <v>785</v>
      </c>
      <c r="N12" s="1231"/>
      <c r="O12" s="1231"/>
      <c r="P12" s="1231"/>
      <c r="Q12" s="1232"/>
      <c r="R12" s="1230" t="s">
        <v>786</v>
      </c>
      <c r="S12" s="1231"/>
      <c r="T12" s="1231"/>
      <c r="U12" s="1232"/>
    </row>
    <row r="13" spans="1:21" x14ac:dyDescent="0.3">
      <c r="A13" s="40" t="s">
        <v>787</v>
      </c>
      <c r="B13" s="41"/>
      <c r="C13" s="41"/>
      <c r="D13" s="1193">
        <f>RA_Standard!D21</f>
        <v>1</v>
      </c>
      <c r="E13" s="1194"/>
      <c r="F13" s="1195"/>
      <c r="G13" s="40" t="s">
        <v>787</v>
      </c>
      <c r="H13" s="41"/>
      <c r="I13" s="42"/>
      <c r="J13" s="1207"/>
      <c r="K13" s="1208"/>
      <c r="L13" s="1209"/>
      <c r="M13" s="40" t="s">
        <v>788</v>
      </c>
      <c r="N13" s="41"/>
      <c r="O13" s="42"/>
      <c r="P13" s="1210"/>
      <c r="Q13" s="1197"/>
      <c r="R13" s="1211" t="s">
        <v>787</v>
      </c>
      <c r="S13" s="1212"/>
      <c r="T13" s="1213"/>
      <c r="U13" s="1214"/>
    </row>
    <row r="14" spans="1:21" x14ac:dyDescent="0.3">
      <c r="A14" s="36" t="s">
        <v>789</v>
      </c>
      <c r="B14" s="37"/>
      <c r="C14" s="37"/>
      <c r="D14" s="1193" t="str">
        <f>RA_Standard!D22</f>
        <v>GF</v>
      </c>
      <c r="E14" s="1194"/>
      <c r="F14" s="1195"/>
      <c r="G14" s="40" t="s">
        <v>790</v>
      </c>
      <c r="H14" s="41"/>
      <c r="I14" s="42"/>
      <c r="J14" s="1207"/>
      <c r="K14" s="1208"/>
      <c r="L14" s="1209"/>
      <c r="M14" s="40" t="s">
        <v>791</v>
      </c>
      <c r="N14" s="41"/>
      <c r="O14" s="42"/>
      <c r="P14" s="1210"/>
      <c r="Q14" s="1197"/>
      <c r="R14" s="1211" t="s">
        <v>792</v>
      </c>
      <c r="S14" s="1212"/>
      <c r="T14" s="1213"/>
      <c r="U14" s="1214"/>
    </row>
    <row r="15" spans="1:21" x14ac:dyDescent="0.3">
      <c r="A15" s="40" t="s">
        <v>792</v>
      </c>
      <c r="B15" s="41"/>
      <c r="C15" s="42"/>
      <c r="D15" s="1193" t="str">
        <f>RA_Standard!D23</f>
        <v>9G</v>
      </c>
      <c r="E15" s="1194"/>
      <c r="F15" s="1195"/>
      <c r="G15" s="40" t="s">
        <v>793</v>
      </c>
      <c r="H15" s="41"/>
      <c r="I15" s="42"/>
      <c r="J15" s="1207"/>
      <c r="K15" s="1208"/>
      <c r="L15" s="1209"/>
      <c r="M15" s="40" t="s">
        <v>794</v>
      </c>
      <c r="N15" s="41"/>
      <c r="O15" s="42"/>
      <c r="P15" s="1210"/>
      <c r="Q15" s="1197"/>
      <c r="R15" s="1211" t="s">
        <v>795</v>
      </c>
      <c r="S15" s="1212"/>
      <c r="T15" s="1213"/>
      <c r="U15" s="1214"/>
    </row>
    <row r="16" spans="1:21" ht="16.5" customHeight="1" x14ac:dyDescent="0.3">
      <c r="A16" s="36" t="s">
        <v>80</v>
      </c>
      <c r="B16" s="40"/>
      <c r="C16" s="42"/>
      <c r="D16" s="1193">
        <f>RA_Standard!D24</f>
        <v>108.78</v>
      </c>
      <c r="E16" s="1194"/>
      <c r="F16" s="1195"/>
      <c r="G16" s="40" t="s">
        <v>795</v>
      </c>
      <c r="H16" s="41"/>
      <c r="I16" s="42"/>
      <c r="J16" s="1207"/>
      <c r="K16" s="1208"/>
      <c r="L16" s="1209"/>
      <c r="M16" s="36" t="s">
        <v>80</v>
      </c>
      <c r="N16" s="37"/>
      <c r="O16" s="37"/>
      <c r="P16" s="1196"/>
      <c r="Q16" s="1197"/>
      <c r="R16" s="1215" t="s">
        <v>796</v>
      </c>
      <c r="S16" s="1216"/>
      <c r="T16" s="1221"/>
      <c r="U16" s="1222"/>
    </row>
    <row r="17" spans="1:21" ht="16.5" customHeight="1" x14ac:dyDescent="0.3">
      <c r="A17" s="40" t="s">
        <v>797</v>
      </c>
      <c r="B17" s="37"/>
      <c r="C17" s="37"/>
      <c r="D17" s="1193" t="str">
        <f>RA_Standard!D25</f>
        <v>2-BR BARE</v>
      </c>
      <c r="E17" s="1194"/>
      <c r="F17" s="1195"/>
      <c r="G17" s="40" t="s">
        <v>798</v>
      </c>
      <c r="H17" s="41"/>
      <c r="I17" s="42"/>
      <c r="J17" s="698"/>
      <c r="K17" s="699"/>
      <c r="L17" s="700"/>
      <c r="M17" s="36" t="s">
        <v>799</v>
      </c>
      <c r="N17" s="37"/>
      <c r="O17" s="37"/>
      <c r="P17" s="1196"/>
      <c r="Q17" s="1197"/>
      <c r="R17" s="1217"/>
      <c r="S17" s="1218"/>
      <c r="T17" s="1223"/>
      <c r="U17" s="1224"/>
    </row>
    <row r="18" spans="1:21" x14ac:dyDescent="0.3">
      <c r="B18"/>
      <c r="C18"/>
      <c r="D18"/>
      <c r="E18"/>
      <c r="F18"/>
      <c r="G18"/>
      <c r="H18"/>
      <c r="I18"/>
      <c r="J18"/>
      <c r="K18"/>
      <c r="L18"/>
      <c r="M18" s="40" t="s">
        <v>800</v>
      </c>
      <c r="N18" s="41"/>
      <c r="O18" s="42"/>
      <c r="P18" s="1198"/>
      <c r="Q18" s="1195"/>
      <c r="R18" s="1219"/>
      <c r="S18" s="1220"/>
      <c r="T18" s="1225"/>
      <c r="U18" s="1226"/>
    </row>
    <row r="19" spans="1:21" ht="7.5" customHeight="1" x14ac:dyDescent="0.3"/>
    <row r="20" spans="1:21" x14ac:dyDescent="0.3">
      <c r="A20" s="40" t="s">
        <v>37</v>
      </c>
      <c r="B20" s="41"/>
      <c r="C20" s="41"/>
      <c r="D20" s="41"/>
      <c r="E20" s="41"/>
      <c r="F20" s="41"/>
      <c r="G20" s="41"/>
      <c r="H20" s="42"/>
      <c r="I20" s="1199">
        <f>RA_Standard!I27</f>
        <v>20466686.730335645</v>
      </c>
      <c r="J20" s="1200"/>
      <c r="K20" s="1200"/>
      <c r="L20" s="1200"/>
      <c r="M20" s="1200"/>
      <c r="N20" s="1200"/>
      <c r="O20" s="1200"/>
      <c r="P20" s="1200"/>
      <c r="Q20" s="1200"/>
      <c r="R20" s="1200"/>
      <c r="S20" s="1200"/>
      <c r="T20" s="1200"/>
      <c r="U20" s="1201"/>
    </row>
    <row r="21" spans="1:21" x14ac:dyDescent="0.3">
      <c r="A21" s="40" t="s">
        <v>801</v>
      </c>
      <c r="B21" s="41"/>
      <c r="C21" s="43"/>
      <c r="D21" s="43"/>
      <c r="E21" s="43"/>
      <c r="F21" s="43"/>
      <c r="G21" s="43"/>
      <c r="H21" s="44"/>
      <c r="I21" s="1199">
        <f>RA_Standard!I28</f>
        <v>0</v>
      </c>
      <c r="J21" s="1200"/>
      <c r="K21" s="1200"/>
      <c r="L21" s="1200"/>
      <c r="M21" s="1200"/>
      <c r="N21" s="1200"/>
      <c r="O21" s="1200"/>
      <c r="P21" s="1200"/>
      <c r="Q21" s="1200"/>
      <c r="R21" s="1200"/>
      <c r="S21" s="1200"/>
      <c r="T21" s="1200"/>
      <c r="U21" s="1201"/>
    </row>
    <row r="22" spans="1:21" x14ac:dyDescent="0.3">
      <c r="A22" s="52" t="s">
        <v>92</v>
      </c>
      <c r="B22" s="53"/>
      <c r="C22" s="54"/>
      <c r="D22" s="54"/>
      <c r="E22" s="54"/>
      <c r="F22" s="54"/>
      <c r="G22" s="54"/>
      <c r="H22" s="51"/>
      <c r="I22" s="1199">
        <f>RA_Standard!I29</f>
        <v>20466686.730335645</v>
      </c>
      <c r="J22" s="1200"/>
      <c r="K22" s="1200"/>
      <c r="L22" s="1200"/>
      <c r="M22" s="1200"/>
      <c r="N22" s="1200"/>
      <c r="O22" s="1200"/>
      <c r="P22" s="1200"/>
      <c r="Q22" s="1200"/>
      <c r="R22" s="1200"/>
      <c r="S22" s="1200"/>
      <c r="T22" s="1200"/>
      <c r="U22" s="1201"/>
    </row>
    <row r="23" spans="1:21" x14ac:dyDescent="0.3">
      <c r="A23" s="40" t="s">
        <v>802</v>
      </c>
      <c r="B23" s="41"/>
      <c r="C23" s="43"/>
      <c r="D23" s="43"/>
      <c r="E23" s="43"/>
      <c r="F23" s="43"/>
      <c r="G23" s="43"/>
      <c r="H23" s="44"/>
      <c r="I23" s="1199">
        <f>RA_Standard!I30</f>
        <v>2046668.6730335646</v>
      </c>
      <c r="J23" s="1200"/>
      <c r="K23" s="1200"/>
      <c r="L23" s="1200"/>
      <c r="M23" s="1200"/>
      <c r="N23" s="1200"/>
      <c r="O23" s="1200"/>
      <c r="P23" s="1200"/>
      <c r="Q23" s="1200"/>
      <c r="R23" s="1200"/>
      <c r="S23" s="1200"/>
      <c r="T23" s="1200"/>
      <c r="U23" s="1201"/>
    </row>
    <row r="24" spans="1:21" x14ac:dyDescent="0.3">
      <c r="A24" s="40" t="s">
        <v>803</v>
      </c>
      <c r="B24" s="41"/>
      <c r="C24" s="43"/>
      <c r="D24" s="43"/>
      <c r="E24" s="43"/>
      <c r="F24" s="43"/>
      <c r="G24" s="43"/>
      <c r="H24" s="44"/>
      <c r="I24" s="1202">
        <f>RA_Standard!I32</f>
        <v>2456002.4076402774</v>
      </c>
      <c r="J24" s="1203"/>
      <c r="K24" s="1203"/>
      <c r="L24" s="1203"/>
      <c r="M24" s="1203"/>
      <c r="N24" s="1203"/>
      <c r="O24" s="1203"/>
      <c r="P24" s="1203"/>
      <c r="Q24" s="1203"/>
      <c r="R24" s="1203"/>
      <c r="S24" s="1203"/>
      <c r="T24" s="1203"/>
      <c r="U24" s="1204"/>
    </row>
    <row r="25" spans="1:21" x14ac:dyDescent="0.3">
      <c r="A25" s="40" t="s">
        <v>41</v>
      </c>
      <c r="B25" s="41"/>
      <c r="C25" s="43"/>
      <c r="D25" s="43"/>
      <c r="E25" s="43"/>
      <c r="F25" s="43"/>
      <c r="G25" s="43"/>
      <c r="H25" s="44"/>
      <c r="I25" s="1202">
        <f>RA_Standard!I33</f>
        <v>24969357.811009489</v>
      </c>
      <c r="J25" s="1203"/>
      <c r="K25" s="1203"/>
      <c r="L25" s="1203"/>
      <c r="M25" s="1203"/>
      <c r="N25" s="1203"/>
      <c r="O25" s="1203"/>
      <c r="P25" s="1203"/>
      <c r="Q25" s="1203"/>
      <c r="R25" s="1203"/>
      <c r="S25" s="1203"/>
      <c r="T25" s="1203"/>
      <c r="U25" s="1204"/>
    </row>
    <row r="26" spans="1:21" ht="7.5" customHeight="1" x14ac:dyDescent="0.3"/>
    <row r="27" spans="1:21" x14ac:dyDescent="0.3">
      <c r="A27" s="18" t="s">
        <v>804</v>
      </c>
      <c r="B27" s="18"/>
      <c r="C27" s="18"/>
      <c r="D27" s="18"/>
      <c r="E27" s="18"/>
      <c r="F27" s="18"/>
      <c r="G27" s="1205" t="str">
        <f>IF(OR(LEN(FLOOR(P27,1))=13,FLOOR(P27,1)&lt;=0),"Out of range",PROPER(SUBSTITUTE(CONCATENATE(CHOOSE(MID(TEXT(INT(P27),REPT(0,12)),1,1)+1,"","one hundred ","two hundred ","three hundred ","four hundred ","five hundred ","six hundred ","seven hundred ","eight hundred ","nine hundred "),CHOOSE(MID(TEXT(INT(P27),REPT(0,12)),2,1)+1,"",CHOOSE(MID(TEXT(INT(P27),REPT(0,12)),3,1)+1,"ten","eleven","twelve","thirteen","fourteen","fifteen","sixteen","seventeen","eighteen","nineteen"),"twenty","thirty","forty","fifty","sixty","seventy","eighty","ninety"),IF(VALUE(MID(TEXT(INT(P27),REPT(0,12)),2,1))&gt;1,CHOOSE(MID(TEXT(INT(P27),REPT(0,12)),3,1)+1,"","-one","-two","-three","-four","-five","-six","-seven","-eight","-nine"),IF(VALUE(MID(TEXT(INT(P27),REPT(0,12)),2,1))=0,CHOOSE(MID(TEXT(INT(P27),REPT(0,12)),3,1)+1,"","one","two","three","four","five","six","seven","eight","nine"),"")),IF(P27&gt;=10^9," billion ",""),CHOOSE(MID(TEXT(INT(P27),REPT(0,12)),4,1)+1,"","one hundred ","two hundred ","three hundred ","four hundred ","five hundred ","six hundred ","seven hundred ","eight hundred ","nine hundred "),CHOOSE(MID(TEXT(INT(P27),REPT(0,12)),5,1)+1,"",CHOOSE(MID(TEXT(INT(P27),REPT(0,12)),6,1)+1,"ten","eleven","twelve","thirteen","fourteen","fifteen","sixteen","seventeen","eighteen","nineteen"),"twenty","thirty","forty","fifty","sixty","seventy","eighty","ninety"),IF(VALUE(MID(TEXT(INT(P27),REPT(0,12)),5,1))&gt;1,CHOOSE(MID(TEXT(INT(P27),REPT(0,12)),6,1)+1,"","-one","-two","-three","-four","-five","-six","-seven","-eight","-nine"),IF(VALUE(MID(TEXT(INT(P27),REPT(0,12)),5,1))=0,CHOOSE(MID(TEXT(INT(P27),REPT(0,12)),6,1)+1,"","one","two","three","four","five","six","seven","eight","nine"),"")),IF(VALUE(MID(TEXT(INT(P27),REPT(0,12)),4,3))&gt;0," million ",""),CHOOSE(MID(TEXT(INT(P27),REPT(0,12)),7,1)+1,"","one hundred ","two hundred ","three hundred ","four hundred ","five hundred ","six hundred ","seven hundred ","eight hundred ","nine hundred "),CHOOSE(MID(TEXT(INT(P27),REPT(0,12)),8,1)+1,"",CHOOSE(MID(TEXT(INT(P27),REPT(0,12)),9,1)+1,"ten","eleven","twelve","thirteen","fourteen","fifteen","sixteen","seventeen","eighteen","nineteen"),"twenty","thirty","forty","fifty","sixty","seventy","eighty","ninety"),IF(VALUE(MID(TEXT(INT(P27),REPT(0,12)),8,1))&gt;1,CHOOSE(MID(TEXT(INT(P27),REPT(0,12)),9,1)+1,"","-one","-two","-three","-four","-five","-six","-seven","-eight","-nine"),IF(VALUE(MID(TEXT(INT(P27),REPT(0,12)),8,1))=0,CHOOSE(MID(TEXT(INT(P27),REPT(0,12)),9,1)+1,"","one","two","three","four","five","six","seven","eight","nine"),"")),IF(VALUE(MID(TEXT(INT(P27),REPT(0,12)),7,3))," thousand ",""),CHOOSE(MID(TEXT(INT(P27),REPT(0,12)),10,1)+1,"","one hundred ","two hundred ","three hundred ","four hundred ","five hundred ","six hundred ","seven hundred ","eight hundred ","nine hundred "),CHOOSE(MID(TEXT(INT(P27),REPT(0,12)),11,1)+1,"",CHOOSE(MID(TEXT(INT(P27),REPT(0,12)),12,1)+1,"ten","eleven","twelve","thirteen","fourteen","fifteen","sixteen","seventeen","eighteen","nineteen"),"twenty","thirty","forty","fifty","sixty","seventy","eighty","ninety"),IF(VALUE(MID(TEXT(INT(P27),REPT(0,12)),11,1))&gt;1,CHOOSE(MID(TEXT(INT(P27),REPT(0,12)),12,1)+1,"","-one","-two","-three","-four","-five","-six","-seven","-eight","-nine"),IF(VALUE(MID(TEXT(INT(P27),REPT(0,12)),11,1))=0,CHOOSE(MID(TEXT(INT(P27),REPT(0,12)),12,1)+1,"","one","two","three","four","five","six","seven","eight","nine"),""))),"  "," ")&amp;IF(FLOOR(P27,1)&gt;1," PESOS"," dollar"))&amp;IF(ISERROR(FIND(".",P27,1)),""," and "&amp;PROPER(IF(LEN(LEFT(TRIM(MID(SUBSTITUTE([22]Sheet1!A2,".",REPT(" ",255)),255,200)),2))=1,CHOOSE(1*LEFT(TRIM(MID(SUBSTITUTE([22]Sheet1!A2,".",REPT(" ",255)),255,200)),2),"ten","twenty","thirty","forty","fifty","sixty","seventy","eighty","ninety")&amp;" cents","")&amp;CONCATENATE(CHOOSE(MID(TEXT(INT(LEFT(TRIM(MID(SUBSTITUTE([22]Sheet1!A2,".",REPT(" ",255)),255,200)),2)),REPT(0,12)),11,1)+1,"",CHOOSE(MID(TEXT(INT(LEFT(TRIM(MID(SUBSTITUTE([22]Sheet1!A2,".",REPT(" ",255)),255,200)),2)),REPT(0,12)),12,1)+1,"ten","eleven","twelve","thirteen","fourteen","fifteen","sixteen","seventeen","eighteen","nineteen")&amp;" cents","twenty","thirty","forty","fifty","sixty","seventy","eighty","ninety"),IF(VALUE(MID(TEXT(INT(LEFT(TRIM(MID(SUBSTITUTE([22]Sheet1!A2,".",REPT(" ",255)),255,200)),2)),REPT(0,12)),11,1))&gt;1,CHOOSE(MID(TEXT(INT(LEFT(TRIM(MID(SUBSTITUTE([22]Sheet1!A2,".",REPT(" ",255)),255,200)),2)),REPT(0,12)),12,1)+1,"","-one","-two","-three","-four","-five","-six","-seven","-eight","-nine")&amp;" cents",IF(LEFT(TRIM(MID(SUBSTITUTE([22]Sheet1!A2,".",REPT(" ",255)),255,200)),2)="01","one cent",IF(LEFT(TRIM(MID(SUBSTITUTE([22]Sheet1!A2,".",REPT(" ",255)),255,200)),1)="0",CHOOSE(MID(TEXT(INT(LEFT(TRIM(MID(SUBSTITUTE([22]Sheet1!A2,".",REPT(" ",255)),255,200)),2)),REPT(0,12)),12,1)+1,"","one","two","three","four","five","six","seven","eight","nine")&amp;" cents","")))))))</f>
        <v>Fifty Thousand  Pesos</v>
      </c>
      <c r="H27" s="1205"/>
      <c r="I27" s="1205"/>
      <c r="J27" s="1205"/>
      <c r="K27" s="1205"/>
      <c r="L27" s="1205"/>
      <c r="M27" s="1205"/>
      <c r="N27" s="18"/>
      <c r="O27" s="701" t="s">
        <v>805</v>
      </c>
      <c r="P27" s="1206">
        <f>FORM!G24</f>
        <v>50000</v>
      </c>
      <c r="Q27" s="1206"/>
      <c r="R27" s="1206"/>
      <c r="S27" s="18" t="s">
        <v>806</v>
      </c>
      <c r="T27" s="18"/>
      <c r="U27" s="18"/>
    </row>
    <row r="28" spans="1:21" ht="7.5" customHeight="1" x14ac:dyDescent="0.3">
      <c r="A28" s="77"/>
      <c r="B28" s="78"/>
      <c r="C28" s="78"/>
      <c r="D28" s="78"/>
      <c r="E28" s="78"/>
      <c r="F28" s="78"/>
      <c r="G28" s="78"/>
      <c r="H28" s="78"/>
      <c r="I28" s="78"/>
      <c r="J28" s="78"/>
      <c r="K28" s="78"/>
      <c r="L28" s="78"/>
      <c r="M28" s="78"/>
      <c r="N28" s="78"/>
      <c r="O28" s="84"/>
      <c r="P28" s="84"/>
      <c r="Q28" s="84"/>
      <c r="R28" s="84"/>
      <c r="S28" s="61"/>
      <c r="T28" s="85"/>
      <c r="U28" s="61"/>
    </row>
    <row r="29" spans="1:21" ht="13.5" customHeight="1" x14ac:dyDescent="0.3">
      <c r="A29" s="18" t="s">
        <v>807</v>
      </c>
      <c r="B29" s="78"/>
      <c r="C29" s="78"/>
      <c r="D29" s="78"/>
      <c r="E29" s="78"/>
      <c r="F29" s="78"/>
      <c r="G29" s="78"/>
      <c r="H29" s="78"/>
      <c r="I29" s="78"/>
      <c r="J29" s="78"/>
      <c r="K29" s="78"/>
      <c r="L29" s="78"/>
      <c r="M29" s="78"/>
      <c r="N29" s="78"/>
      <c r="O29" s="84"/>
      <c r="P29" s="84"/>
      <c r="Q29" s="84"/>
      <c r="R29" s="84"/>
      <c r="S29" s="61"/>
      <c r="T29" s="85"/>
      <c r="U29" s="61"/>
    </row>
    <row r="30" spans="1:21" ht="13.5" customHeight="1" x14ac:dyDescent="0.3">
      <c r="A30" s="702" t="s">
        <v>808</v>
      </c>
      <c r="B30" s="78"/>
      <c r="C30" s="78"/>
      <c r="D30" s="78"/>
      <c r="E30" s="78"/>
      <c r="F30" s="78"/>
      <c r="G30" s="78"/>
      <c r="H30" s="78"/>
      <c r="I30" s="78"/>
      <c r="J30" s="78"/>
      <c r="K30" s="78"/>
      <c r="L30" s="78"/>
      <c r="M30" s="78"/>
      <c r="N30" s="78"/>
      <c r="O30" s="84"/>
      <c r="P30" s="84"/>
      <c r="Q30" s="84"/>
      <c r="R30" s="84"/>
      <c r="S30" s="61"/>
      <c r="T30" s="85"/>
      <c r="U30" s="61"/>
    </row>
    <row r="31" spans="1:21" ht="13.5" customHeight="1" x14ac:dyDescent="0.3">
      <c r="A31" s="702" t="s">
        <v>809</v>
      </c>
      <c r="B31" s="78"/>
      <c r="C31" s="78"/>
      <c r="D31" s="78"/>
      <c r="E31" s="78"/>
      <c r="F31" s="78"/>
      <c r="G31" s="78"/>
      <c r="H31" s="78"/>
      <c r="I31" s="78"/>
      <c r="J31" s="78"/>
      <c r="K31" s="78"/>
      <c r="L31" s="78"/>
      <c r="M31" s="78"/>
      <c r="N31" s="78"/>
      <c r="O31" s="84"/>
      <c r="P31" s="84"/>
      <c r="Q31" s="84"/>
      <c r="R31" s="84"/>
      <c r="S31" s="61"/>
      <c r="T31" s="85"/>
      <c r="U31" s="61"/>
    </row>
    <row r="32" spans="1:21" ht="7.5" customHeight="1" x14ac:dyDescent="0.3">
      <c r="A32" s="77"/>
      <c r="B32" s="78"/>
      <c r="C32" s="78"/>
      <c r="D32" s="78"/>
      <c r="E32" s="78"/>
      <c r="F32" s="78"/>
      <c r="G32" s="78"/>
      <c r="H32" s="78"/>
      <c r="I32" s="78"/>
      <c r="J32" s="78"/>
      <c r="K32" s="78"/>
      <c r="L32" s="78"/>
      <c r="M32" s="78"/>
      <c r="N32" s="78"/>
      <c r="O32" s="84"/>
      <c r="P32" s="84"/>
      <c r="Q32" s="84"/>
      <c r="R32" s="84"/>
      <c r="S32" s="61"/>
      <c r="T32" s="85"/>
      <c r="U32" s="61"/>
    </row>
    <row r="33" spans="1:21" ht="13.5" customHeight="1" x14ac:dyDescent="0.3">
      <c r="A33" s="701" t="s">
        <v>810</v>
      </c>
      <c r="B33" s="78"/>
      <c r="C33" s="78"/>
      <c r="D33" s="78"/>
      <c r="E33" s="78"/>
      <c r="F33" s="78"/>
      <c r="G33" s="78"/>
      <c r="H33" s="78"/>
      <c r="I33" s="78"/>
      <c r="J33" s="78"/>
      <c r="K33" s="78"/>
      <c r="L33" s="78"/>
      <c r="M33" s="78"/>
      <c r="N33" s="78"/>
      <c r="O33" s="84"/>
      <c r="P33" s="84"/>
      <c r="Q33" s="84"/>
      <c r="R33" s="84"/>
      <c r="S33" s="61"/>
      <c r="T33" s="85"/>
      <c r="U33" s="61"/>
    </row>
    <row r="34" spans="1:21" ht="13.5" customHeight="1" x14ac:dyDescent="0.3">
      <c r="A34" s="701" t="s">
        <v>811</v>
      </c>
      <c r="B34" s="78"/>
      <c r="C34" s="78"/>
      <c r="D34" s="78"/>
      <c r="E34" s="78"/>
      <c r="F34" s="78"/>
      <c r="G34" s="78"/>
      <c r="H34" s="78"/>
      <c r="I34" s="78"/>
      <c r="J34" s="78"/>
      <c r="K34" s="78"/>
      <c r="L34" s="78"/>
      <c r="M34" s="78"/>
      <c r="N34" s="78"/>
      <c r="O34" s="84"/>
      <c r="P34" s="84"/>
      <c r="Q34" s="84"/>
      <c r="R34" s="84"/>
      <c r="S34" s="61"/>
      <c r="T34" s="85"/>
      <c r="U34" s="61"/>
    </row>
    <row r="35" spans="1:21" ht="7.5" customHeight="1" x14ac:dyDescent="0.3">
      <c r="A35" s="77"/>
      <c r="B35" s="78"/>
      <c r="C35" s="78"/>
      <c r="D35" s="78"/>
      <c r="E35" s="78"/>
      <c r="F35" s="78"/>
      <c r="G35" s="78"/>
      <c r="H35" s="78"/>
      <c r="I35" s="78"/>
      <c r="J35" s="78"/>
      <c r="K35" s="78"/>
      <c r="L35" s="78"/>
      <c r="M35" s="78"/>
      <c r="N35" s="78"/>
      <c r="O35" s="84"/>
      <c r="P35" s="84"/>
      <c r="Q35" s="84"/>
      <c r="R35" s="84"/>
      <c r="S35" s="61"/>
      <c r="T35" s="85"/>
      <c r="U35" s="61"/>
    </row>
    <row r="36" spans="1:21" ht="13.5" customHeight="1" x14ac:dyDescent="0.3">
      <c r="A36" s="702" t="s">
        <v>812</v>
      </c>
      <c r="B36" s="78"/>
      <c r="C36" s="78"/>
      <c r="D36" s="78"/>
      <c r="E36" s="78"/>
      <c r="F36" s="78"/>
      <c r="G36" s="78"/>
      <c r="H36" s="78"/>
      <c r="I36" s="78"/>
      <c r="J36" s="78"/>
      <c r="K36" s="78"/>
      <c r="L36" s="78"/>
      <c r="M36" s="78"/>
      <c r="N36" s="78"/>
      <c r="O36" s="84"/>
      <c r="P36" s="84"/>
      <c r="Q36" s="84"/>
      <c r="R36" s="84"/>
      <c r="S36" s="61"/>
      <c r="T36" s="85"/>
      <c r="U36" s="61"/>
    </row>
    <row r="37" spans="1:21" ht="7.5" customHeight="1" x14ac:dyDescent="0.3">
      <c r="A37" s="77"/>
      <c r="B37" s="78"/>
      <c r="C37" s="78"/>
      <c r="D37" s="78"/>
      <c r="E37" s="78"/>
      <c r="F37" s="78"/>
      <c r="G37" s="78"/>
      <c r="H37" s="78"/>
      <c r="I37" s="78"/>
      <c r="J37" s="78"/>
      <c r="K37" s="78"/>
      <c r="L37" s="78"/>
      <c r="M37" s="78"/>
      <c r="N37" s="78"/>
      <c r="O37" s="84"/>
      <c r="P37" s="84"/>
      <c r="Q37" s="84"/>
      <c r="R37" s="84"/>
      <c r="S37" s="61"/>
      <c r="T37" s="85"/>
      <c r="U37" s="61"/>
    </row>
    <row r="38" spans="1:21" ht="13.5" customHeight="1" x14ac:dyDescent="0.3">
      <c r="A38" s="701" t="s">
        <v>813</v>
      </c>
      <c r="B38" s="78"/>
      <c r="C38" s="78"/>
      <c r="D38" s="78"/>
      <c r="E38" s="78"/>
      <c r="F38" s="78"/>
      <c r="G38" s="78"/>
      <c r="H38" s="78"/>
      <c r="I38" s="78"/>
      <c r="J38" s="78"/>
      <c r="K38" s="78"/>
      <c r="L38" s="78"/>
      <c r="M38" s="78"/>
      <c r="N38" s="78"/>
      <c r="O38" s="84"/>
      <c r="P38" s="84"/>
      <c r="Q38" s="84"/>
      <c r="R38" s="84"/>
      <c r="S38" s="61"/>
      <c r="T38" s="85"/>
      <c r="U38" s="61"/>
    </row>
    <row r="39" spans="1:21" ht="13.5" customHeight="1" x14ac:dyDescent="0.3">
      <c r="A39" s="703" t="s">
        <v>814</v>
      </c>
      <c r="B39" s="78"/>
      <c r="C39" s="78"/>
      <c r="D39" s="78"/>
      <c r="E39" s="78"/>
      <c r="F39" s="78"/>
      <c r="G39" s="78"/>
      <c r="H39" s="78"/>
      <c r="I39" s="78"/>
      <c r="J39" s="78"/>
      <c r="K39" s="78"/>
      <c r="L39" s="78"/>
      <c r="M39" s="78"/>
      <c r="N39" s="78"/>
      <c r="O39" s="84"/>
      <c r="P39" s="84"/>
      <c r="Q39" s="84"/>
      <c r="R39" s="84"/>
      <c r="S39" s="61"/>
      <c r="T39" s="85"/>
      <c r="U39" s="61"/>
    </row>
    <row r="40" spans="1:21" ht="13.5" customHeight="1" x14ac:dyDescent="0.3">
      <c r="A40" s="703" t="s">
        <v>815</v>
      </c>
      <c r="B40" s="78"/>
      <c r="C40" s="78"/>
      <c r="D40" s="78"/>
      <c r="E40" s="78"/>
      <c r="F40" s="78"/>
      <c r="G40" s="78"/>
      <c r="H40" s="78"/>
      <c r="I40" s="78"/>
      <c r="J40" s="78"/>
      <c r="K40" s="78"/>
      <c r="L40" s="78"/>
      <c r="M40" s="78"/>
      <c r="N40" s="78"/>
      <c r="O40" s="84"/>
      <c r="P40" s="84"/>
      <c r="Q40" s="84"/>
      <c r="R40" s="84"/>
      <c r="S40" s="61"/>
      <c r="T40" s="85"/>
      <c r="U40" s="61"/>
    </row>
    <row r="41" spans="1:21" ht="13.5" customHeight="1" x14ac:dyDescent="0.3">
      <c r="A41" s="77"/>
      <c r="B41" s="78"/>
      <c r="C41" s="78"/>
      <c r="D41" s="78"/>
      <c r="E41" s="78"/>
      <c r="F41" s="78"/>
      <c r="G41" s="78"/>
      <c r="H41" s="78"/>
      <c r="I41" s="78"/>
      <c r="J41" s="78"/>
      <c r="K41" s="78"/>
      <c r="L41" s="78"/>
      <c r="M41" s="78"/>
      <c r="N41" s="78"/>
      <c r="O41" s="84"/>
      <c r="P41" s="84"/>
      <c r="Q41" s="84"/>
      <c r="R41" s="84"/>
      <c r="S41" s="61"/>
      <c r="T41" s="85"/>
      <c r="U41" s="61"/>
    </row>
    <row r="42" spans="1:21" ht="13.5" customHeight="1" x14ac:dyDescent="0.3">
      <c r="A42" s="702" t="s">
        <v>816</v>
      </c>
      <c r="B42" s="78"/>
      <c r="C42" s="78"/>
      <c r="D42" s="78"/>
      <c r="E42" s="78"/>
      <c r="F42" s="78"/>
      <c r="G42" s="78"/>
      <c r="H42" s="78"/>
      <c r="I42" s="78"/>
      <c r="J42" s="78"/>
      <c r="K42" s="78"/>
      <c r="L42" s="78"/>
      <c r="M42" s="78"/>
      <c r="N42" s="78"/>
      <c r="O42" s="84"/>
      <c r="P42" s="84"/>
      <c r="Q42" s="84"/>
      <c r="R42" s="84"/>
      <c r="S42" s="61"/>
      <c r="T42" s="85"/>
      <c r="U42" s="61"/>
    </row>
    <row r="43" spans="1:21" ht="13.5" customHeight="1" x14ac:dyDescent="0.3">
      <c r="A43" s="77"/>
      <c r="B43" s="78"/>
      <c r="C43" s="78"/>
      <c r="D43" s="78"/>
      <c r="E43" s="78"/>
      <c r="F43" s="78"/>
      <c r="G43" s="78"/>
      <c r="H43" s="78"/>
      <c r="I43" s="78"/>
      <c r="J43" s="78"/>
      <c r="K43" s="78"/>
      <c r="L43" s="78"/>
      <c r="M43" s="78"/>
      <c r="N43" s="78"/>
      <c r="O43" s="84"/>
      <c r="P43" s="84"/>
      <c r="Q43" s="84"/>
      <c r="R43" s="84"/>
      <c r="S43" s="61"/>
      <c r="T43" s="85"/>
      <c r="U43" s="61"/>
    </row>
    <row r="44" spans="1:21" ht="13.5" customHeight="1" x14ac:dyDescent="0.3">
      <c r="A44" s="704"/>
      <c r="B44" s="705"/>
      <c r="C44" s="705"/>
      <c r="D44" s="1191" t="s">
        <v>817</v>
      </c>
      <c r="E44" s="1191"/>
      <c r="F44" s="1191"/>
      <c r="G44" s="1191"/>
      <c r="H44" s="1191"/>
      <c r="I44" s="1191"/>
      <c r="J44" s="705"/>
      <c r="K44" s="705"/>
      <c r="L44" s="705"/>
      <c r="M44" s="705"/>
      <c r="N44" s="705"/>
      <c r="O44" s="706"/>
      <c r="P44" s="706"/>
      <c r="Q44" s="1192" t="s">
        <v>774</v>
      </c>
      <c r="R44" s="1192"/>
      <c r="S44" s="1192"/>
      <c r="T44" s="707"/>
      <c r="U44" s="61"/>
    </row>
    <row r="45" spans="1:21" ht="13.5" customHeight="1" x14ac:dyDescent="0.3">
      <c r="A45" s="704"/>
      <c r="B45" s="705"/>
      <c r="C45" s="705"/>
      <c r="D45" s="705"/>
      <c r="E45" s="705"/>
      <c r="F45" s="705"/>
      <c r="G45" s="705"/>
      <c r="H45" s="705"/>
      <c r="I45" s="705"/>
      <c r="J45" s="705"/>
      <c r="K45" s="705"/>
      <c r="L45" s="705"/>
      <c r="M45" s="705"/>
      <c r="N45" s="705"/>
      <c r="O45" s="706"/>
      <c r="P45" s="706"/>
      <c r="Q45" s="706"/>
      <c r="R45" s="706"/>
      <c r="S45" s="708"/>
      <c r="T45" s="707"/>
      <c r="U45" s="61"/>
    </row>
    <row r="46" spans="1:21" ht="13.5" customHeight="1" x14ac:dyDescent="0.3">
      <c r="A46" s="704"/>
      <c r="B46" s="705"/>
      <c r="C46" s="705"/>
      <c r="D46" s="705"/>
      <c r="E46" s="705"/>
      <c r="F46" s="705"/>
      <c r="G46" s="705"/>
      <c r="H46" s="705"/>
      <c r="I46" s="705"/>
      <c r="J46" s="705"/>
      <c r="K46" s="705"/>
      <c r="L46" s="705"/>
      <c r="M46" s="705"/>
      <c r="N46" s="705"/>
      <c r="O46" s="706"/>
      <c r="P46" s="706"/>
      <c r="Q46" s="706"/>
      <c r="R46" s="706"/>
      <c r="S46" s="708"/>
      <c r="T46" s="707"/>
      <c r="U46" s="61"/>
    </row>
    <row r="47" spans="1:21" ht="13.5" customHeight="1" x14ac:dyDescent="0.3">
      <c r="A47" s="704"/>
      <c r="B47" s="705"/>
      <c r="C47" s="705"/>
      <c r="D47" s="705"/>
      <c r="E47" s="705"/>
      <c r="F47" s="705"/>
      <c r="G47" s="705"/>
      <c r="H47" s="705"/>
      <c r="I47" s="705"/>
      <c r="J47" s="705"/>
      <c r="K47" s="705"/>
      <c r="L47" s="705"/>
      <c r="M47" s="705"/>
      <c r="N47" s="705"/>
      <c r="O47" s="706"/>
      <c r="P47" s="706"/>
      <c r="Q47" s="706"/>
      <c r="R47" s="706"/>
      <c r="S47" s="708"/>
      <c r="T47" s="707"/>
      <c r="U47" s="61"/>
    </row>
    <row r="48" spans="1:21" x14ac:dyDescent="0.3">
      <c r="A48" s="50"/>
      <c r="B48" s="50"/>
      <c r="C48" s="50"/>
      <c r="D48" s="1188">
        <f>FORM!G30</f>
        <v>0</v>
      </c>
      <c r="E48" s="1188"/>
      <c r="F48" s="1188"/>
      <c r="G48" s="1188"/>
      <c r="H48" s="1188"/>
      <c r="I48" s="1188"/>
      <c r="J48" s="50"/>
      <c r="K48" s="50"/>
      <c r="L48" s="50"/>
      <c r="M48" s="50"/>
      <c r="N48" s="50"/>
      <c r="O48" s="50"/>
      <c r="P48" s="50"/>
      <c r="Q48" s="1188" t="str">
        <f>FORM!G32</f>
        <v>Seller</v>
      </c>
      <c r="R48" s="1188"/>
      <c r="S48" s="1188"/>
      <c r="T48" s="50"/>
      <c r="U48" s="50"/>
    </row>
    <row r="49" spans="1:21" x14ac:dyDescent="0.3">
      <c r="A49" s="50"/>
      <c r="B49" s="50"/>
      <c r="C49" s="50"/>
      <c r="D49" s="1189" t="s">
        <v>818</v>
      </c>
      <c r="E49" s="1189"/>
      <c r="F49" s="1189"/>
      <c r="G49" s="1189"/>
      <c r="H49" s="1189"/>
      <c r="I49" s="1189"/>
      <c r="J49" s="50"/>
      <c r="K49" s="50"/>
      <c r="L49" s="50"/>
      <c r="M49" s="50"/>
      <c r="N49" s="50"/>
      <c r="O49" s="50"/>
      <c r="P49" s="50"/>
      <c r="Q49" s="1189" t="s">
        <v>818</v>
      </c>
      <c r="R49" s="1189"/>
      <c r="S49" s="1189"/>
      <c r="T49" s="50"/>
      <c r="U49" s="50"/>
    </row>
    <row r="50" spans="1:21" x14ac:dyDescent="0.3">
      <c r="A50" s="50"/>
      <c r="B50" s="50"/>
      <c r="C50" s="50"/>
      <c r="D50" s="1190" t="s">
        <v>819</v>
      </c>
      <c r="E50" s="1190"/>
      <c r="F50" s="1190"/>
      <c r="G50" s="1190"/>
      <c r="H50" s="1190"/>
      <c r="I50" s="1190"/>
      <c r="J50" s="50"/>
      <c r="K50" s="50"/>
      <c r="L50" s="50"/>
      <c r="M50" s="50"/>
      <c r="N50" s="50"/>
      <c r="O50" s="50"/>
      <c r="P50" s="50"/>
      <c r="Q50" s="1190" t="s">
        <v>820</v>
      </c>
      <c r="R50" s="1190"/>
      <c r="S50" s="1190"/>
      <c r="T50" s="50"/>
      <c r="U50" s="50"/>
    </row>
    <row r="51" spans="1:21" x14ac:dyDescent="0.3">
      <c r="A51" s="50"/>
      <c r="B51" s="50"/>
      <c r="C51" s="50"/>
      <c r="D51" s="50"/>
      <c r="E51" s="50"/>
      <c r="F51" s="50"/>
      <c r="G51" s="50"/>
      <c r="H51" s="50"/>
      <c r="I51" s="50"/>
      <c r="J51" s="50"/>
      <c r="K51" s="50"/>
      <c r="L51" s="50"/>
      <c r="M51" s="50"/>
      <c r="N51" s="50"/>
      <c r="O51" s="50"/>
      <c r="P51" s="50"/>
      <c r="Q51" s="50"/>
      <c r="R51" s="50"/>
      <c r="S51" s="50"/>
      <c r="T51" s="50"/>
      <c r="U51" s="50"/>
    </row>
    <row r="53" spans="1:21" x14ac:dyDescent="0.3">
      <c r="A53" s="1183" t="s">
        <v>821</v>
      </c>
      <c r="B53" s="1184"/>
      <c r="C53" s="1184"/>
      <c r="D53" s="1184"/>
      <c r="E53" s="1184"/>
      <c r="F53" s="1184"/>
      <c r="G53" s="1184"/>
      <c r="H53" s="1184"/>
      <c r="I53" s="1184"/>
      <c r="J53" s="1184"/>
      <c r="K53" s="1184"/>
      <c r="L53" s="1184"/>
      <c r="M53" s="1184"/>
      <c r="N53" s="1184"/>
      <c r="O53" s="1184"/>
      <c r="P53" s="1184"/>
      <c r="Q53" s="1184"/>
      <c r="R53" s="1184"/>
      <c r="S53" s="1184"/>
      <c r="T53" s="1184"/>
      <c r="U53" s="1185"/>
    </row>
    <row r="54" spans="1:21" x14ac:dyDescent="0.3">
      <c r="A54" s="1186" t="s">
        <v>822</v>
      </c>
      <c r="B54" s="1186"/>
      <c r="C54" s="1186"/>
      <c r="D54" s="1186"/>
      <c r="E54" s="1186"/>
      <c r="F54" s="1186"/>
      <c r="G54" s="1186"/>
      <c r="H54" s="1186"/>
      <c r="I54" s="1186" t="s">
        <v>823</v>
      </c>
      <c r="J54" s="1186"/>
      <c r="K54" s="1186"/>
      <c r="L54" s="1186"/>
      <c r="M54" s="1186"/>
      <c r="N54" s="1186"/>
      <c r="O54" s="1186"/>
      <c r="P54" s="1187" t="s">
        <v>824</v>
      </c>
      <c r="Q54" s="1187"/>
      <c r="R54" s="1187"/>
      <c r="S54" s="1187"/>
      <c r="T54" s="1187"/>
      <c r="U54" s="1187"/>
    </row>
    <row r="55" spans="1:21" x14ac:dyDescent="0.3">
      <c r="A55" s="1182" t="s">
        <v>825</v>
      </c>
      <c r="B55" s="1182"/>
      <c r="C55" s="1182"/>
      <c r="D55" s="1182"/>
      <c r="E55" s="1182"/>
      <c r="F55" s="1182"/>
      <c r="G55" s="1182"/>
      <c r="H55" s="1182"/>
      <c r="I55" s="1182">
        <f>FORM!J47</f>
        <v>0</v>
      </c>
      <c r="J55" s="1182"/>
      <c r="K55" s="1182"/>
      <c r="L55" s="1182"/>
      <c r="M55" s="1182"/>
      <c r="N55" s="1182"/>
      <c r="O55" s="1182"/>
      <c r="P55" s="1182">
        <f>FORM!Q47</f>
        <v>0</v>
      </c>
      <c r="Q55" s="1182"/>
      <c r="R55" s="1182"/>
      <c r="S55" s="1182"/>
      <c r="T55" s="1182"/>
      <c r="U55" s="1182"/>
    </row>
    <row r="56" spans="1:21" x14ac:dyDescent="0.3">
      <c r="A56" s="1182" t="s">
        <v>826</v>
      </c>
      <c r="B56" s="1182"/>
      <c r="C56" s="1182"/>
      <c r="D56" s="1182"/>
      <c r="E56" s="1182"/>
      <c r="F56" s="1182"/>
      <c r="G56" s="1182"/>
      <c r="H56" s="1182"/>
      <c r="I56" s="1182">
        <f>FORM!J48</f>
        <v>0</v>
      </c>
      <c r="J56" s="1182"/>
      <c r="K56" s="1182"/>
      <c r="L56" s="1182"/>
      <c r="M56" s="1182"/>
      <c r="N56" s="1182"/>
      <c r="O56" s="1182"/>
      <c r="P56" s="1182">
        <f>FORM!Q48</f>
        <v>0</v>
      </c>
      <c r="Q56" s="1182"/>
      <c r="R56" s="1182"/>
      <c r="S56" s="1182"/>
      <c r="T56" s="1182"/>
      <c r="U56" s="1182"/>
    </row>
    <row r="57" spans="1:21" x14ac:dyDescent="0.3">
      <c r="A57" s="1182" t="s">
        <v>827</v>
      </c>
      <c r="B57" s="1182"/>
      <c r="C57" s="1182"/>
      <c r="D57" s="1182"/>
      <c r="E57" s="1182"/>
      <c r="F57" s="1182"/>
      <c r="G57" s="1182"/>
      <c r="H57" s="1182"/>
      <c r="I57" s="1182">
        <f>FORM!J49</f>
        <v>0</v>
      </c>
      <c r="J57" s="1182"/>
      <c r="K57" s="1182"/>
      <c r="L57" s="1182"/>
      <c r="M57" s="1182"/>
      <c r="N57" s="1182"/>
      <c r="O57" s="1182"/>
      <c r="P57" s="1182">
        <f>FORM!Q49</f>
        <v>0</v>
      </c>
      <c r="Q57" s="1182"/>
      <c r="R57" s="1182"/>
      <c r="S57" s="1182"/>
      <c r="T57" s="1182"/>
      <c r="U57" s="1182"/>
    </row>
    <row r="58" spans="1:21" x14ac:dyDescent="0.3">
      <c r="A58" s="1182" t="s">
        <v>828</v>
      </c>
      <c r="B58" s="1182"/>
      <c r="C58" s="1182"/>
      <c r="D58" s="1182"/>
      <c r="E58" s="1182"/>
      <c r="F58" s="1182"/>
      <c r="G58" s="1182"/>
      <c r="H58" s="1182"/>
      <c r="I58" s="1182">
        <f>FORM!J50</f>
        <v>0</v>
      </c>
      <c r="J58" s="1182"/>
      <c r="K58" s="1182"/>
      <c r="L58" s="1182"/>
      <c r="M58" s="1182"/>
      <c r="N58" s="1182"/>
      <c r="O58" s="1182"/>
      <c r="P58" s="1182">
        <f>FORM!Q50</f>
        <v>0</v>
      </c>
      <c r="Q58" s="1182"/>
      <c r="R58" s="1182"/>
      <c r="S58" s="1182"/>
      <c r="T58" s="1182"/>
      <c r="U58" s="1182"/>
    </row>
    <row r="60" spans="1:21" x14ac:dyDescent="0.3">
      <c r="A60"/>
      <c r="B60"/>
      <c r="C60"/>
      <c r="D60"/>
      <c r="E60"/>
      <c r="F60"/>
      <c r="G60"/>
      <c r="H60"/>
      <c r="I60"/>
      <c r="J60"/>
      <c r="K60"/>
      <c r="L60"/>
      <c r="M60"/>
      <c r="N60"/>
      <c r="O60"/>
      <c r="P60"/>
      <c r="Q60"/>
      <c r="R60"/>
      <c r="S60"/>
      <c r="T60"/>
      <c r="U60"/>
    </row>
    <row r="68" spans="1:21" x14ac:dyDescent="0.3">
      <c r="A68"/>
      <c r="B68"/>
      <c r="C68"/>
      <c r="D68"/>
      <c r="E68"/>
      <c r="F68"/>
      <c r="G68"/>
      <c r="H68"/>
      <c r="I68"/>
      <c r="J68"/>
      <c r="K68"/>
      <c r="L68"/>
      <c r="M68"/>
      <c r="N68"/>
      <c r="O68"/>
      <c r="P68"/>
      <c r="Q68"/>
      <c r="R68"/>
      <c r="S68"/>
      <c r="T68"/>
      <c r="U68"/>
    </row>
    <row r="69" spans="1:21" x14ac:dyDescent="0.3">
      <c r="A69"/>
      <c r="B69"/>
      <c r="C69"/>
      <c r="D69"/>
      <c r="E69"/>
      <c r="F69"/>
      <c r="G69"/>
      <c r="H69"/>
      <c r="I69"/>
      <c r="J69"/>
      <c r="K69"/>
      <c r="L69"/>
      <c r="M69"/>
      <c r="N69"/>
      <c r="O69"/>
      <c r="P69"/>
      <c r="Q69"/>
      <c r="R69"/>
      <c r="S69"/>
      <c r="T69"/>
      <c r="U69"/>
    </row>
    <row r="70" spans="1:21" ht="25.5" customHeight="1" x14ac:dyDescent="0.3">
      <c r="A70"/>
      <c r="B70"/>
      <c r="C70"/>
      <c r="D70"/>
      <c r="E70"/>
      <c r="F70"/>
      <c r="G70"/>
      <c r="H70"/>
      <c r="I70"/>
      <c r="J70"/>
      <c r="K70"/>
      <c r="L70"/>
      <c r="M70"/>
      <c r="N70"/>
      <c r="O70"/>
      <c r="P70"/>
      <c r="Q70"/>
      <c r="R70"/>
      <c r="S70"/>
      <c r="T70"/>
      <c r="U70"/>
    </row>
    <row r="71" spans="1:21" x14ac:dyDescent="0.3">
      <c r="A71"/>
      <c r="B71"/>
      <c r="C71"/>
      <c r="D71"/>
      <c r="E71"/>
      <c r="F71"/>
      <c r="G71"/>
      <c r="H71"/>
      <c r="I71"/>
      <c r="J71"/>
      <c r="K71"/>
      <c r="L71"/>
      <c r="M71"/>
      <c r="N71"/>
      <c r="O71"/>
      <c r="P71"/>
      <c r="Q71"/>
      <c r="R71"/>
      <c r="S71"/>
      <c r="T71"/>
      <c r="U71"/>
    </row>
    <row r="72" spans="1:21" x14ac:dyDescent="0.3">
      <c r="A72"/>
      <c r="B72"/>
      <c r="C72"/>
      <c r="D72"/>
      <c r="E72"/>
      <c r="F72"/>
      <c r="G72"/>
      <c r="H72"/>
      <c r="I72"/>
      <c r="J72"/>
      <c r="K72"/>
      <c r="L72"/>
      <c r="M72"/>
      <c r="N72"/>
      <c r="O72"/>
      <c r="P72"/>
      <c r="Q72"/>
      <c r="R72"/>
      <c r="S72"/>
      <c r="T72"/>
      <c r="U72"/>
    </row>
    <row r="73" spans="1:21" x14ac:dyDescent="0.3">
      <c r="A73"/>
      <c r="B73"/>
      <c r="C73"/>
      <c r="D73"/>
      <c r="E73"/>
      <c r="F73"/>
      <c r="G73"/>
      <c r="H73"/>
      <c r="I73"/>
      <c r="J73"/>
      <c r="K73"/>
      <c r="L73"/>
      <c r="M73"/>
      <c r="N73"/>
      <c r="O73"/>
      <c r="P73"/>
      <c r="Q73"/>
      <c r="R73"/>
      <c r="S73"/>
      <c r="T73"/>
      <c r="U73"/>
    </row>
    <row r="76" spans="1:21" x14ac:dyDescent="0.3">
      <c r="I76" s="56"/>
    </row>
  </sheetData>
  <sheetProtection algorithmName="SHA-512" hashValue="8EmtZjPzHZRs2u52Ufjnr8VZDRTDTYvlPbwyj5VnilTChF85pvbkcWG2HDtmkwQD/Q0WIPHzIwkUFBsRRqQ/Ew==" saltValue="/rTyFV6ohr2OFGUGFcHgcQ==" spinCount="100000" sheet="1" formatCells="0" formatColumns="0" formatRows="0"/>
  <mergeCells count="62">
    <mergeCell ref="C2:F2"/>
    <mergeCell ref="A6:U6"/>
    <mergeCell ref="E8:T8"/>
    <mergeCell ref="A12:F12"/>
    <mergeCell ref="G12:L12"/>
    <mergeCell ref="M12:Q12"/>
    <mergeCell ref="R12:U12"/>
    <mergeCell ref="D14:F14"/>
    <mergeCell ref="J14:L14"/>
    <mergeCell ref="P14:Q14"/>
    <mergeCell ref="R14:S14"/>
    <mergeCell ref="T14:U14"/>
    <mergeCell ref="D13:F13"/>
    <mergeCell ref="J13:L13"/>
    <mergeCell ref="P13:Q13"/>
    <mergeCell ref="R13:S13"/>
    <mergeCell ref="T13:U13"/>
    <mergeCell ref="D16:F16"/>
    <mergeCell ref="J16:L16"/>
    <mergeCell ref="P16:Q16"/>
    <mergeCell ref="R16:S18"/>
    <mergeCell ref="T16:U18"/>
    <mergeCell ref="D15:F15"/>
    <mergeCell ref="J15:L15"/>
    <mergeCell ref="P15:Q15"/>
    <mergeCell ref="R15:S15"/>
    <mergeCell ref="T15:U15"/>
    <mergeCell ref="D44:I44"/>
    <mergeCell ref="Q44:S44"/>
    <mergeCell ref="D17:F17"/>
    <mergeCell ref="P17:Q17"/>
    <mergeCell ref="P18:Q18"/>
    <mergeCell ref="I20:U20"/>
    <mergeCell ref="I21:U21"/>
    <mergeCell ref="I22:U22"/>
    <mergeCell ref="I23:U23"/>
    <mergeCell ref="I24:U24"/>
    <mergeCell ref="I25:U25"/>
    <mergeCell ref="G27:M27"/>
    <mergeCell ref="P27:R27"/>
    <mergeCell ref="D48:I48"/>
    <mergeCell ref="Q48:S48"/>
    <mergeCell ref="D49:I49"/>
    <mergeCell ref="Q49:S49"/>
    <mergeCell ref="D50:I50"/>
    <mergeCell ref="Q50:S50"/>
    <mergeCell ref="A53:U53"/>
    <mergeCell ref="A54:H54"/>
    <mergeCell ref="I54:O54"/>
    <mergeCell ref="P54:U54"/>
    <mergeCell ref="A55:H55"/>
    <mergeCell ref="I55:O55"/>
    <mergeCell ref="P55:U55"/>
    <mergeCell ref="A58:H58"/>
    <mergeCell ref="I58:O58"/>
    <mergeCell ref="P58:U58"/>
    <mergeCell ref="A56:H56"/>
    <mergeCell ref="I56:O56"/>
    <mergeCell ref="P56:U56"/>
    <mergeCell ref="A57:H57"/>
    <mergeCell ref="I57:O57"/>
    <mergeCell ref="P57:U57"/>
  </mergeCells>
  <pageMargins left="0.51181102362204722" right="0.51181102362204722" top="0.87791666666666668" bottom="0.74803149606299213" header="0.31496062992125984" footer="0.31496062992125984"/>
  <pageSetup paperSize="305" scale="86" orientation="portrait" verticalDpi="360" r:id="rId1"/>
  <headerFooter>
    <oddHeader xml:space="preserve">&amp;R
&amp;"Century Gothic,Bold"&amp;18LETTER OF INTENT    
 &amp;"-,Regular"&amp;11
</oddHeader>
    <oddFooter>&amp;C&amp;"Century Gothic,Regular"&amp;8Page &amp;P of &amp;N</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90113" r:id="rId4" name="Check Box 1">
              <controlPr defaultSize="0" autoFill="0" autoLine="0" autoPict="0">
                <anchor moveWithCells="1">
                  <from>
                    <xdr:col>11</xdr:col>
                    <xdr:colOff>304800</xdr:colOff>
                    <xdr:row>7</xdr:row>
                    <xdr:rowOff>209550</xdr:rowOff>
                  </from>
                  <to>
                    <xdr:col>14</xdr:col>
                    <xdr:colOff>171450</xdr:colOff>
                    <xdr:row>9</xdr:row>
                    <xdr:rowOff>0</xdr:rowOff>
                  </to>
                </anchor>
              </controlPr>
            </control>
          </mc:Choice>
        </mc:AlternateContent>
        <mc:AlternateContent xmlns:mc="http://schemas.openxmlformats.org/markup-compatibility/2006">
          <mc:Choice Requires="x14">
            <control shapeId="90114" r:id="rId5" name="Check Box 2">
              <controlPr defaultSize="0" autoFill="0" autoLine="0" autoPict="0">
                <anchor moveWithCells="1">
                  <from>
                    <xdr:col>11</xdr:col>
                    <xdr:colOff>304800</xdr:colOff>
                    <xdr:row>9</xdr:row>
                    <xdr:rowOff>0</xdr:rowOff>
                  </from>
                  <to>
                    <xdr:col>14</xdr:col>
                    <xdr:colOff>171450</xdr:colOff>
                    <xdr:row>10</xdr:row>
                    <xdr:rowOff>0</xdr:rowOff>
                  </to>
                </anchor>
              </controlPr>
            </control>
          </mc:Choice>
        </mc:AlternateContent>
        <mc:AlternateContent xmlns:mc="http://schemas.openxmlformats.org/markup-compatibility/2006">
          <mc:Choice Requires="x14">
            <control shapeId="90115" r:id="rId6" name="Check Box 3">
              <controlPr defaultSize="0" autoFill="0" autoLine="0" autoPict="0">
                <anchor moveWithCells="1">
                  <from>
                    <xdr:col>4</xdr:col>
                    <xdr:colOff>57150</xdr:colOff>
                    <xdr:row>8</xdr:row>
                    <xdr:rowOff>19050</xdr:rowOff>
                  </from>
                  <to>
                    <xdr:col>8</xdr:col>
                    <xdr:colOff>285750</xdr:colOff>
                    <xdr:row>9</xdr:row>
                    <xdr:rowOff>19050</xdr:rowOff>
                  </to>
                </anchor>
              </controlPr>
            </control>
          </mc:Choice>
        </mc:AlternateContent>
        <mc:AlternateContent xmlns:mc="http://schemas.openxmlformats.org/markup-compatibility/2006">
          <mc:Choice Requires="x14">
            <control shapeId="90116" r:id="rId7" name="Check Box 4">
              <controlPr defaultSize="0" autoFill="0" autoLine="0" autoPict="0">
                <anchor moveWithCells="1">
                  <from>
                    <xdr:col>4</xdr:col>
                    <xdr:colOff>57150</xdr:colOff>
                    <xdr:row>8</xdr:row>
                    <xdr:rowOff>209550</xdr:rowOff>
                  </from>
                  <to>
                    <xdr:col>8</xdr:col>
                    <xdr:colOff>285750</xdr:colOff>
                    <xdr:row>10</xdr:row>
                    <xdr:rowOff>0</xdr:rowOff>
                  </to>
                </anchor>
              </controlPr>
            </control>
          </mc:Choice>
        </mc:AlternateContent>
        <mc:AlternateContent xmlns:mc="http://schemas.openxmlformats.org/markup-compatibility/2006">
          <mc:Choice Requires="x14">
            <control shapeId="90117" r:id="rId8" name="Check Box 5">
              <controlPr defaultSize="0" autoFill="0" autoLine="0" autoPict="0">
                <anchor moveWithCells="1">
                  <from>
                    <xdr:col>17</xdr:col>
                    <xdr:colOff>476250</xdr:colOff>
                    <xdr:row>8</xdr:row>
                    <xdr:rowOff>0</xdr:rowOff>
                  </from>
                  <to>
                    <xdr:col>19</xdr:col>
                    <xdr:colOff>180975</xdr:colOff>
                    <xdr:row>9</xdr:row>
                    <xdr:rowOff>0</xdr:rowOff>
                  </to>
                </anchor>
              </controlPr>
            </control>
          </mc:Choice>
        </mc:AlternateContent>
        <mc:AlternateContent xmlns:mc="http://schemas.openxmlformats.org/markup-compatibility/2006">
          <mc:Choice Requires="x14">
            <control shapeId="90118" r:id="rId9" name="Check Box 6">
              <controlPr defaultSize="0" autoFill="0" autoLine="0" autoPict="0">
                <anchor moveWithCells="1">
                  <from>
                    <xdr:col>17</xdr:col>
                    <xdr:colOff>476250</xdr:colOff>
                    <xdr:row>9</xdr:row>
                    <xdr:rowOff>0</xdr:rowOff>
                  </from>
                  <to>
                    <xdr:col>19</xdr:col>
                    <xdr:colOff>180975</xdr:colOff>
                    <xdr:row>10</xdr:row>
                    <xdr:rowOff>0</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1"/>
  <dimension ref="A1:V126"/>
  <sheetViews>
    <sheetView showGridLines="0" showZeros="0" view="pageLayout" topLeftCell="A16" zoomScale="115" zoomScaleNormal="100" zoomScaleSheetLayoutView="100" zoomScalePageLayoutView="115" workbookViewId="0">
      <selection activeCell="O41" sqref="O41:R41"/>
    </sheetView>
  </sheetViews>
  <sheetFormatPr defaultColWidth="9.28515625" defaultRowHeight="16.5" x14ac:dyDescent="0.3"/>
  <cols>
    <col min="1" max="1" width="2.7109375" style="5" customWidth="1"/>
    <col min="2" max="2" width="1.42578125" style="5" customWidth="1"/>
    <col min="3" max="3" width="4.5703125" style="5" customWidth="1"/>
    <col min="4" max="4" width="4.42578125" style="5" customWidth="1"/>
    <col min="5" max="5" width="7" style="5" customWidth="1"/>
    <col min="6" max="6" width="4.28515625" style="5" customWidth="1"/>
    <col min="7" max="7" width="4.7109375" style="5" customWidth="1"/>
    <col min="8" max="8" width="2.5703125" style="5" customWidth="1"/>
    <col min="9" max="9" width="6.28515625" style="5" customWidth="1"/>
    <col min="10" max="10" width="3.28515625" style="5" customWidth="1"/>
    <col min="11" max="11" width="4.7109375" style="5" customWidth="1"/>
    <col min="12" max="12" width="4.28515625" style="5" customWidth="1"/>
    <col min="13" max="13" width="5.7109375" style="5" customWidth="1"/>
    <col min="14" max="14" width="3.28515625" style="5" customWidth="1"/>
    <col min="15" max="15" width="4.42578125" style="5" customWidth="1"/>
    <col min="16" max="16" width="7.5703125" style="5" customWidth="1"/>
    <col min="17" max="17" width="5.28515625" style="5" customWidth="1"/>
    <col min="18" max="18" width="12.28515625" style="5" customWidth="1"/>
    <col min="19" max="19" width="3.28515625" style="5" customWidth="1"/>
    <col min="20" max="20" width="11.7109375" style="5" customWidth="1"/>
    <col min="21" max="21" width="2" style="5" customWidth="1"/>
    <col min="22" max="16384" width="9.28515625" style="5"/>
  </cols>
  <sheetData>
    <row r="1" spans="1:21" ht="6.75" customHeight="1" x14ac:dyDescent="0.3">
      <c r="G1" s="57"/>
      <c r="H1" s="57"/>
      <c r="I1" s="57"/>
      <c r="J1" s="57"/>
      <c r="K1" s="57"/>
      <c r="L1" s="57"/>
      <c r="M1" s="57"/>
      <c r="N1" s="57"/>
      <c r="O1" s="57"/>
      <c r="P1" s="57"/>
      <c r="Q1" s="57"/>
      <c r="R1" s="57"/>
      <c r="S1" s="57"/>
      <c r="T1" s="57"/>
    </row>
    <row r="2" spans="1:21" ht="14.25" customHeight="1" x14ac:dyDescent="0.3">
      <c r="U2" s="58"/>
    </row>
    <row r="3" spans="1:21" x14ac:dyDescent="0.3">
      <c r="A3" s="21" t="s">
        <v>829</v>
      </c>
      <c r="B3" s="21"/>
      <c r="C3" s="90"/>
      <c r="D3" s="1234">
        <f>FORM!G30</f>
        <v>0</v>
      </c>
      <c r="E3" s="1234"/>
      <c r="F3" s="1234"/>
      <c r="G3" s="1234"/>
      <c r="H3" s="1234"/>
      <c r="I3" s="1234"/>
      <c r="J3" s="1234"/>
      <c r="K3" s="1234"/>
      <c r="L3" s="1234"/>
      <c r="M3" s="1234"/>
      <c r="N3" s="1234"/>
      <c r="O3" s="1234"/>
      <c r="P3" s="1234"/>
      <c r="Q3" s="1234"/>
      <c r="R3" s="21"/>
      <c r="S3" s="21"/>
      <c r="T3" s="21"/>
      <c r="U3" s="23" t="s">
        <v>830</v>
      </c>
    </row>
    <row r="4" spans="1:21" x14ac:dyDescent="0.3">
      <c r="A4" s="1234">
        <f>FORM!G34</f>
        <v>0</v>
      </c>
      <c r="B4" s="1234"/>
      <c r="C4" s="1234"/>
      <c r="D4" s="1234"/>
      <c r="E4" s="1234"/>
      <c r="F4" s="1234"/>
      <c r="G4" s="1234"/>
      <c r="H4" s="1234"/>
      <c r="I4" s="1234"/>
      <c r="J4" s="1234"/>
      <c r="K4" s="1234"/>
      <c r="L4" s="1234"/>
      <c r="M4" s="1234"/>
      <c r="N4" s="1234"/>
      <c r="O4" s="1234"/>
      <c r="P4" s="1234"/>
      <c r="Q4" s="1234"/>
      <c r="R4" s="21"/>
      <c r="S4" s="21"/>
      <c r="T4" s="21"/>
      <c r="U4" s="23" t="s">
        <v>831</v>
      </c>
    </row>
    <row r="5" spans="1:21" ht="16.5" customHeight="1" x14ac:dyDescent="0.3">
      <c r="A5" s="1233" t="s">
        <v>832</v>
      </c>
      <c r="B5" s="1233"/>
      <c r="C5" s="1233"/>
      <c r="D5" s="1233"/>
      <c r="E5" s="1233"/>
      <c r="F5" s="1233"/>
      <c r="G5" s="1233"/>
      <c r="H5" s="1233"/>
      <c r="I5" s="1233"/>
      <c r="J5" s="1233"/>
      <c r="K5" s="1233"/>
      <c r="L5" s="1233"/>
      <c r="M5" s="1233"/>
      <c r="N5" s="1233"/>
      <c r="O5" s="1233"/>
      <c r="P5" s="1233"/>
      <c r="Q5" s="1233"/>
      <c r="R5" s="1233"/>
      <c r="S5" s="1233"/>
      <c r="T5" s="1233"/>
      <c r="U5" s="1233"/>
    </row>
    <row r="6" spans="1:21" x14ac:dyDescent="0.3">
      <c r="A6" s="1233"/>
      <c r="B6" s="1233"/>
      <c r="C6" s="1233"/>
      <c r="D6" s="1233"/>
      <c r="E6" s="1233"/>
      <c r="F6" s="1233"/>
      <c r="G6" s="1233"/>
      <c r="H6" s="1233"/>
      <c r="I6" s="1233"/>
      <c r="J6" s="1233"/>
      <c r="K6" s="1233"/>
      <c r="L6" s="1233"/>
      <c r="M6" s="1233"/>
      <c r="N6" s="1233"/>
      <c r="O6" s="1233"/>
      <c r="P6" s="1233"/>
      <c r="Q6" s="1233"/>
      <c r="R6" s="1233"/>
      <c r="S6" s="1233"/>
      <c r="T6" s="1233"/>
      <c r="U6" s="1233"/>
    </row>
    <row r="7" spans="1:21" ht="9" customHeight="1" x14ac:dyDescent="0.3">
      <c r="A7" s="21"/>
      <c r="B7" s="21"/>
      <c r="C7" s="21"/>
      <c r="D7" s="21"/>
      <c r="E7" s="21"/>
      <c r="F7" s="21"/>
      <c r="G7" s="21"/>
      <c r="H7" s="21"/>
      <c r="I7" s="21"/>
      <c r="J7" s="21"/>
      <c r="K7" s="21"/>
      <c r="L7" s="21"/>
      <c r="M7" s="21"/>
      <c r="N7" s="21"/>
      <c r="O7" s="21"/>
      <c r="P7" s="21"/>
      <c r="Q7" s="21"/>
      <c r="R7" s="21"/>
      <c r="S7" s="21"/>
      <c r="T7" s="21"/>
      <c r="U7" s="21"/>
    </row>
    <row r="8" spans="1:21" ht="16.5" customHeight="1" x14ac:dyDescent="0.3">
      <c r="A8" s="21" t="s">
        <v>833</v>
      </c>
      <c r="B8" s="21"/>
      <c r="C8" s="21"/>
      <c r="D8" s="21"/>
      <c r="E8" s="21"/>
      <c r="F8" s="21"/>
      <c r="G8" s="21"/>
      <c r="H8" s="1236" t="str">
        <f>FORM!Z13</f>
        <v>WEE COMMUNITY DEVELOPERS, INC.</v>
      </c>
      <c r="I8" s="1236"/>
      <c r="J8" s="1236"/>
      <c r="K8" s="1236"/>
      <c r="L8" s="1236"/>
      <c r="M8" s="1236"/>
      <c r="N8" s="1236"/>
      <c r="O8" s="1236"/>
      <c r="P8" s="21"/>
      <c r="Q8" s="21"/>
      <c r="R8" s="21"/>
      <c r="S8" s="21"/>
      <c r="T8" s="21"/>
      <c r="U8" s="23" t="s">
        <v>834</v>
      </c>
    </row>
    <row r="9" spans="1:21" x14ac:dyDescent="0.3">
      <c r="A9" s="1235" t="s">
        <v>835</v>
      </c>
      <c r="B9" s="1235"/>
      <c r="C9" s="1235"/>
      <c r="D9" s="1235"/>
      <c r="E9" s="1235"/>
      <c r="F9" s="1235"/>
      <c r="G9" s="1235"/>
      <c r="H9" s="1235"/>
      <c r="I9" s="1235"/>
      <c r="J9" s="1235"/>
      <c r="K9" s="1235"/>
      <c r="L9" s="1235"/>
      <c r="M9" s="1235"/>
      <c r="N9" s="1235"/>
      <c r="O9" s="1235"/>
      <c r="P9" s="1235"/>
      <c r="Q9" s="1235"/>
      <c r="R9" s="1235"/>
      <c r="S9" s="1235"/>
      <c r="T9" s="1235"/>
      <c r="U9" s="1235"/>
    </row>
    <row r="10" spans="1:21" x14ac:dyDescent="0.3">
      <c r="A10" s="1240" t="str">
        <f>FORM!Z14</f>
        <v>166 A. Mabini Street, Addition Hills, San Juan City</v>
      </c>
      <c r="B10" s="1240"/>
      <c r="C10" s="1240"/>
      <c r="D10" s="1240"/>
      <c r="E10" s="1240"/>
      <c r="F10" s="1240"/>
      <c r="G10" s="1240"/>
      <c r="H10" s="1240"/>
      <c r="I10" s="1240"/>
      <c r="J10" s="1240"/>
      <c r="K10" s="1240"/>
      <c r="L10" s="1240"/>
      <c r="M10" s="1240"/>
      <c r="N10" s="1240"/>
      <c r="O10" s="1240"/>
      <c r="P10" s="1240"/>
      <c r="Q10" s="21"/>
      <c r="R10" s="21"/>
      <c r="S10" s="21"/>
      <c r="T10" s="21"/>
      <c r="U10" s="23" t="s">
        <v>836</v>
      </c>
    </row>
    <row r="11" spans="1:21" x14ac:dyDescent="0.3">
      <c r="A11" s="21" t="s">
        <v>837</v>
      </c>
      <c r="B11" s="21"/>
      <c r="C11" s="21"/>
      <c r="D11" s="21"/>
      <c r="E11" s="21"/>
      <c r="F11" s="21"/>
      <c r="G11" s="21"/>
      <c r="H11" s="21"/>
      <c r="I11" s="1234" t="str">
        <f>FORM!G11</f>
        <v>WEECOMM CENTRE</v>
      </c>
      <c r="J11" s="1234"/>
      <c r="K11" s="1234"/>
      <c r="L11" s="1234"/>
      <c r="M11" s="1234"/>
      <c r="N11" s="1234"/>
      <c r="O11" s="1234"/>
      <c r="P11" s="1234"/>
      <c r="Q11" s="1234"/>
      <c r="R11" s="1234"/>
      <c r="S11" s="1234"/>
      <c r="T11" s="1234"/>
      <c r="U11" s="1234"/>
    </row>
    <row r="12" spans="1:21" x14ac:dyDescent="0.3">
      <c r="A12" s="21" t="s">
        <v>838</v>
      </c>
      <c r="B12" s="21"/>
      <c r="C12" s="21"/>
      <c r="D12" s="21"/>
      <c r="E12" s="21"/>
      <c r="F12" s="21"/>
      <c r="G12" s="21"/>
      <c r="H12" s="21"/>
      <c r="I12" s="21"/>
      <c r="J12" s="21"/>
      <c r="K12" s="21"/>
      <c r="L12" s="21"/>
      <c r="M12" s="1229" t="str">
        <f>'RA_Step up'!M12</f>
        <v>#54 Tinio St. Barangay Addition Hills, Mandaluyong City</v>
      </c>
      <c r="N12" s="1229"/>
      <c r="O12" s="1229"/>
      <c r="P12" s="1229"/>
      <c r="Q12" s="1229"/>
      <c r="R12" s="1229"/>
      <c r="S12" s="1229"/>
      <c r="T12" s="1229"/>
      <c r="U12" s="1229"/>
    </row>
    <row r="13" spans="1:21" x14ac:dyDescent="0.3">
      <c r="A13" s="21" t="s">
        <v>839</v>
      </c>
      <c r="B13" s="21"/>
      <c r="C13" s="21"/>
      <c r="D13" s="21"/>
      <c r="E13" s="21"/>
      <c r="F13" s="21"/>
      <c r="G13" s="21"/>
      <c r="H13" s="21"/>
      <c r="I13" s="21"/>
      <c r="J13" s="21"/>
      <c r="K13" s="1241" t="str">
        <f>'RA_Step up'!K13:U13</f>
        <v>2-BR BARE</v>
      </c>
      <c r="L13" s="1234"/>
      <c r="M13" s="1234"/>
      <c r="N13" s="1234"/>
      <c r="O13" s="1234"/>
      <c r="P13" s="1234"/>
      <c r="Q13" s="1234"/>
      <c r="R13" s="1234"/>
      <c r="S13" s="1234"/>
      <c r="T13" s="1234"/>
      <c r="U13" s="1234"/>
    </row>
    <row r="14" spans="1:21" ht="13.5" customHeight="1" x14ac:dyDescent="0.3">
      <c r="A14" s="21" t="s">
        <v>840</v>
      </c>
      <c r="B14" s="21"/>
      <c r="C14" s="21"/>
      <c r="D14" s="21"/>
      <c r="E14" s="21"/>
      <c r="F14" s="21"/>
      <c r="G14" s="21"/>
      <c r="H14" s="21"/>
      <c r="I14" s="21"/>
      <c r="J14" s="21"/>
      <c r="K14" s="21"/>
      <c r="L14" s="21"/>
      <c r="M14" s="21"/>
      <c r="N14" s="21"/>
      <c r="O14" s="21"/>
      <c r="P14" s="21"/>
      <c r="Q14" s="21"/>
      <c r="R14" s="21"/>
      <c r="S14" s="21"/>
      <c r="T14" s="21"/>
      <c r="U14" s="21"/>
    </row>
    <row r="15" spans="1:21" x14ac:dyDescent="0.3">
      <c r="A15" s="21"/>
      <c r="B15" s="21"/>
      <c r="C15" s="21"/>
      <c r="D15" s="21"/>
      <c r="E15" s="21"/>
      <c r="F15" s="21"/>
      <c r="G15" s="21"/>
      <c r="H15" s="21"/>
      <c r="I15" s="21"/>
      <c r="J15" s="21"/>
      <c r="K15" s="21"/>
      <c r="L15" s="21"/>
      <c r="M15" s="21"/>
      <c r="N15" s="21"/>
      <c r="O15" s="21"/>
      <c r="P15" s="21"/>
      <c r="Q15" s="21"/>
      <c r="R15" s="21"/>
      <c r="S15" s="21"/>
      <c r="T15" s="21"/>
      <c r="U15" s="21"/>
    </row>
    <row r="16" spans="1:21" x14ac:dyDescent="0.3">
      <c r="A16" s="25" t="s">
        <v>781</v>
      </c>
      <c r="B16" s="26"/>
      <c r="C16" s="26"/>
      <c r="D16" s="24"/>
      <c r="E16" s="1229" t="str">
        <f>FORM!G11</f>
        <v>WEECOMM CENTRE</v>
      </c>
      <c r="F16" s="1229"/>
      <c r="G16" s="1229"/>
      <c r="H16" s="1229"/>
      <c r="I16" s="1229"/>
      <c r="J16" s="1229"/>
      <c r="K16" s="1229"/>
      <c r="L16" s="1229"/>
      <c r="M16" s="1229"/>
      <c r="N16" s="1229"/>
      <c r="O16" s="1229"/>
      <c r="P16" s="1229"/>
      <c r="Q16" s="1229"/>
      <c r="R16" s="1229"/>
      <c r="S16" s="1229"/>
      <c r="T16" s="1229"/>
      <c r="U16" s="62"/>
    </row>
    <row r="17" spans="1:21" x14ac:dyDescent="0.3">
      <c r="A17" s="27" t="s">
        <v>782</v>
      </c>
      <c r="B17" s="28"/>
      <c r="C17" s="28"/>
      <c r="D17" s="29"/>
      <c r="E17" s="30" t="s">
        <v>841</v>
      </c>
      <c r="F17" s="29"/>
      <c r="G17" s="29"/>
      <c r="H17" s="29"/>
      <c r="I17" s="29"/>
      <c r="J17" s="29"/>
      <c r="K17" s="29"/>
      <c r="L17" s="60" t="s">
        <v>842</v>
      </c>
      <c r="M17" s="29"/>
      <c r="N17" s="29"/>
      <c r="O17" s="29"/>
      <c r="P17" s="29"/>
      <c r="Q17" s="29"/>
      <c r="R17" s="29"/>
      <c r="S17" s="29"/>
      <c r="T17" s="30" t="s">
        <v>843</v>
      </c>
      <c r="U17" s="59"/>
    </row>
    <row r="18" spans="1:21" x14ac:dyDescent="0.3">
      <c r="A18" s="31"/>
      <c r="B18" s="8"/>
      <c r="C18" s="8"/>
      <c r="D18" s="8"/>
      <c r="E18" s="32" t="s">
        <v>844</v>
      </c>
      <c r="F18" s="8"/>
      <c r="G18" s="8"/>
      <c r="H18" s="8"/>
      <c r="I18" s="8"/>
      <c r="J18" s="8"/>
      <c r="K18" s="8"/>
      <c r="L18" s="32" t="s">
        <v>786</v>
      </c>
      <c r="M18" s="8"/>
      <c r="N18" s="8"/>
      <c r="O18" s="8"/>
      <c r="P18" s="8"/>
      <c r="Q18" s="8"/>
      <c r="R18" s="8"/>
      <c r="S18" s="8"/>
      <c r="T18" s="32" t="s">
        <v>845</v>
      </c>
      <c r="U18" s="33"/>
    </row>
    <row r="19" spans="1:21" x14ac:dyDescent="0.3">
      <c r="T19" s="5" t="s">
        <v>660</v>
      </c>
    </row>
    <row r="20" spans="1:21" x14ac:dyDescent="0.3">
      <c r="A20" s="1230" t="s">
        <v>784</v>
      </c>
      <c r="B20" s="1231"/>
      <c r="C20" s="1231"/>
      <c r="D20" s="1231"/>
      <c r="E20" s="1231"/>
      <c r="F20" s="1232"/>
      <c r="G20" s="1230" t="s">
        <v>267</v>
      </c>
      <c r="H20" s="1231"/>
      <c r="I20" s="1231"/>
      <c r="J20" s="1231"/>
      <c r="K20" s="1231"/>
      <c r="L20" s="1232"/>
      <c r="M20" s="1230" t="s">
        <v>785</v>
      </c>
      <c r="N20" s="1231"/>
      <c r="O20" s="1231"/>
      <c r="P20" s="1231"/>
      <c r="Q20" s="1232"/>
      <c r="R20" s="1230" t="s">
        <v>786</v>
      </c>
      <c r="S20" s="1231"/>
      <c r="T20" s="1231"/>
      <c r="U20" s="1232"/>
    </row>
    <row r="21" spans="1:21" x14ac:dyDescent="0.3">
      <c r="A21" s="40" t="s">
        <v>787</v>
      </c>
      <c r="B21" s="41"/>
      <c r="C21" s="41"/>
      <c r="D21" s="1193">
        <f>FORM!G14</f>
        <v>1</v>
      </c>
      <c r="E21" s="1194"/>
      <c r="F21" s="1195"/>
      <c r="G21" s="40" t="s">
        <v>787</v>
      </c>
      <c r="H21" s="41"/>
      <c r="I21" s="42"/>
      <c r="J21" s="1207"/>
      <c r="K21" s="1208"/>
      <c r="L21" s="1209"/>
      <c r="M21" s="40" t="s">
        <v>788</v>
      </c>
      <c r="N21" s="41"/>
      <c r="O21" s="42"/>
      <c r="P21" s="1210"/>
      <c r="Q21" s="1197"/>
      <c r="R21" s="1211" t="s">
        <v>787</v>
      </c>
      <c r="S21" s="1212"/>
      <c r="T21" s="1213"/>
      <c r="U21" s="1214"/>
    </row>
    <row r="22" spans="1:21" x14ac:dyDescent="0.3">
      <c r="A22" s="36" t="s">
        <v>789</v>
      </c>
      <c r="B22" s="37"/>
      <c r="C22" s="37"/>
      <c r="D22" s="1193" t="str">
        <f>'RA_Step up'!D22:E22</f>
        <v>GF</v>
      </c>
      <c r="E22" s="1194"/>
      <c r="F22" s="1195"/>
      <c r="G22" s="40" t="s">
        <v>790</v>
      </c>
      <c r="H22" s="41"/>
      <c r="I22" s="42"/>
      <c r="J22" s="1207"/>
      <c r="K22" s="1208"/>
      <c r="L22" s="1209"/>
      <c r="M22" s="40" t="s">
        <v>791</v>
      </c>
      <c r="N22" s="41"/>
      <c r="O22" s="42"/>
      <c r="P22" s="1210"/>
      <c r="Q22" s="1197"/>
      <c r="R22" s="1211" t="s">
        <v>792</v>
      </c>
      <c r="S22" s="1212"/>
      <c r="T22" s="1213"/>
      <c r="U22" s="1214"/>
    </row>
    <row r="23" spans="1:21" x14ac:dyDescent="0.3">
      <c r="A23" s="40" t="s">
        <v>792</v>
      </c>
      <c r="B23" s="41"/>
      <c r="C23" s="42"/>
      <c r="D23" s="1193" t="str">
        <f>'RA_Step up'!D23:E23</f>
        <v>9G</v>
      </c>
      <c r="E23" s="1194"/>
      <c r="F23" s="55"/>
      <c r="G23" s="40" t="s">
        <v>793</v>
      </c>
      <c r="H23" s="41"/>
      <c r="I23" s="42"/>
      <c r="J23" s="1207"/>
      <c r="K23" s="1208"/>
      <c r="L23" s="1209"/>
      <c r="M23" s="40" t="s">
        <v>794</v>
      </c>
      <c r="N23" s="41"/>
      <c r="O23" s="42"/>
      <c r="P23" s="1210"/>
      <c r="Q23" s="1197"/>
      <c r="R23" s="1211" t="s">
        <v>795</v>
      </c>
      <c r="S23" s="1212"/>
      <c r="T23" s="1213"/>
      <c r="U23" s="1214"/>
    </row>
    <row r="24" spans="1:21" ht="16.5" customHeight="1" x14ac:dyDescent="0.3">
      <c r="A24" s="36" t="s">
        <v>80</v>
      </c>
      <c r="B24" s="37"/>
      <c r="C24" s="37"/>
      <c r="D24" s="1242">
        <f>'STANDARD COMP.'!E13</f>
        <v>108.78</v>
      </c>
      <c r="E24" s="1243"/>
      <c r="F24" s="55" t="s">
        <v>693</v>
      </c>
      <c r="G24" s="40" t="s">
        <v>795</v>
      </c>
      <c r="H24" s="41"/>
      <c r="I24" s="42"/>
      <c r="J24" s="1207"/>
      <c r="K24" s="1208"/>
      <c r="L24" s="1209"/>
      <c r="M24" s="36" t="s">
        <v>846</v>
      </c>
      <c r="N24" s="37"/>
      <c r="O24" s="37"/>
      <c r="P24" s="1210"/>
      <c r="Q24" s="1197"/>
      <c r="R24" s="1215" t="s">
        <v>796</v>
      </c>
      <c r="S24" s="1216"/>
      <c r="T24" s="1221"/>
      <c r="U24" s="1222"/>
    </row>
    <row r="25" spans="1:21" x14ac:dyDescent="0.3">
      <c r="A25" s="40" t="s">
        <v>797</v>
      </c>
      <c r="B25" s="41"/>
      <c r="C25" s="42"/>
      <c r="D25" s="1237" t="str">
        <f>K13</f>
        <v>2-BR BARE</v>
      </c>
      <c r="E25" s="1194"/>
      <c r="F25" s="1195"/>
      <c r="G25" s="40" t="s">
        <v>798</v>
      </c>
      <c r="H25" s="41"/>
      <c r="I25" s="42"/>
      <c r="J25" s="1207"/>
      <c r="K25" s="1208"/>
      <c r="L25" s="1209"/>
      <c r="M25" s="40" t="s">
        <v>800</v>
      </c>
      <c r="N25" s="41"/>
      <c r="O25" s="42"/>
      <c r="P25" s="1193"/>
      <c r="Q25" s="1195"/>
      <c r="R25" s="1219"/>
      <c r="S25" s="1220"/>
      <c r="T25" s="1225"/>
      <c r="U25" s="1226"/>
    </row>
    <row r="27" spans="1:21" x14ac:dyDescent="0.3">
      <c r="A27" s="40" t="s">
        <v>37</v>
      </c>
      <c r="B27" s="41"/>
      <c r="C27" s="41"/>
      <c r="D27" s="41"/>
      <c r="E27" s="41"/>
      <c r="F27" s="41"/>
      <c r="G27" s="41"/>
      <c r="H27" s="42"/>
      <c r="I27" s="1199">
        <f>'STANDARD COMP.'!F15</f>
        <v>20466686.730335645</v>
      </c>
      <c r="J27" s="1200"/>
      <c r="K27" s="1200"/>
      <c r="L27" s="1200"/>
      <c r="M27" s="1200"/>
      <c r="N27" s="1200"/>
      <c r="O27" s="1200"/>
      <c r="P27" s="1200"/>
      <c r="Q27" s="1200"/>
      <c r="R27" s="1200"/>
      <c r="S27" s="1200"/>
      <c r="T27" s="1200"/>
      <c r="U27" s="1201"/>
    </row>
    <row r="28" spans="1:21" x14ac:dyDescent="0.3">
      <c r="A28" s="40" t="s">
        <v>801</v>
      </c>
      <c r="B28" s="41"/>
      <c r="C28" s="43"/>
      <c r="D28" s="43"/>
      <c r="E28" s="43"/>
      <c r="F28" s="43"/>
      <c r="G28" s="43"/>
      <c r="H28" s="44"/>
      <c r="I28" s="1202">
        <f>'STANDARD COMP.'!F16</f>
        <v>0</v>
      </c>
      <c r="J28" s="1203"/>
      <c r="K28" s="1203"/>
      <c r="L28" s="1203"/>
      <c r="M28" s="1203"/>
      <c r="N28" s="1203"/>
      <c r="O28" s="1203"/>
      <c r="P28" s="1203"/>
      <c r="Q28" s="1203"/>
      <c r="R28" s="1203"/>
      <c r="S28" s="1203"/>
      <c r="T28" s="1203"/>
      <c r="U28" s="1204"/>
    </row>
    <row r="29" spans="1:21" x14ac:dyDescent="0.3">
      <c r="A29" s="52" t="s">
        <v>92</v>
      </c>
      <c r="B29" s="53"/>
      <c r="C29" s="54"/>
      <c r="D29" s="54"/>
      <c r="E29" s="54"/>
      <c r="F29" s="54"/>
      <c r="G29" s="54"/>
      <c r="H29" s="51"/>
      <c r="I29" s="1199">
        <f>'STANDARD COMP.'!F17</f>
        <v>20466686.730335645</v>
      </c>
      <c r="J29" s="1200"/>
      <c r="K29" s="1200"/>
      <c r="L29" s="1200"/>
      <c r="M29" s="1200"/>
      <c r="N29" s="1200"/>
      <c r="O29" s="1200"/>
      <c r="P29" s="1200"/>
      <c r="Q29" s="1200"/>
      <c r="R29" s="1200"/>
      <c r="S29" s="1200"/>
      <c r="T29" s="1200"/>
      <c r="U29" s="1201"/>
    </row>
    <row r="30" spans="1:21" x14ac:dyDescent="0.3">
      <c r="A30" s="40" t="s">
        <v>802</v>
      </c>
      <c r="B30" s="41"/>
      <c r="C30" s="43"/>
      <c r="D30" s="43"/>
      <c r="E30" s="43"/>
      <c r="F30" s="43"/>
      <c r="G30" s="43"/>
      <c r="H30" s="44"/>
      <c r="I30" s="1199">
        <f>'STANDARD COMP.'!F19</f>
        <v>2046668.6730335646</v>
      </c>
      <c r="J30" s="1200"/>
      <c r="K30" s="1200"/>
      <c r="L30" s="1200"/>
      <c r="M30" s="1200"/>
      <c r="N30" s="1200"/>
      <c r="O30" s="1200"/>
      <c r="P30" s="1200"/>
      <c r="Q30" s="1200"/>
      <c r="R30" s="1200"/>
      <c r="S30" s="1200"/>
      <c r="T30" s="1200"/>
      <c r="U30" s="1201"/>
    </row>
    <row r="31" spans="1:21" hidden="1" x14ac:dyDescent="0.3">
      <c r="A31" s="38" t="s">
        <v>847</v>
      </c>
      <c r="B31" s="39"/>
      <c r="C31" s="48"/>
      <c r="D31" s="48"/>
      <c r="E31" s="48"/>
      <c r="F31" s="48"/>
      <c r="G31" s="48"/>
      <c r="H31" s="49"/>
      <c r="I31" s="1199"/>
      <c r="J31" s="1200"/>
      <c r="K31" s="1200"/>
      <c r="L31" s="1200"/>
      <c r="M31" s="1200"/>
      <c r="N31" s="1200"/>
      <c r="O31" s="1200"/>
      <c r="P31" s="1200"/>
      <c r="Q31" s="1200"/>
      <c r="R31" s="1200"/>
      <c r="S31" s="1200"/>
      <c r="T31" s="1200"/>
      <c r="U31" s="1201"/>
    </row>
    <row r="32" spans="1:21" x14ac:dyDescent="0.3">
      <c r="A32" s="40" t="s">
        <v>803</v>
      </c>
      <c r="B32" s="41"/>
      <c r="C32" s="43"/>
      <c r="D32" s="43"/>
      <c r="E32" s="43"/>
      <c r="F32" s="43"/>
      <c r="G32" s="43"/>
      <c r="H32" s="44"/>
      <c r="I32" s="1199">
        <f>'STANDARD COMP.'!F20</f>
        <v>2456002.4076402774</v>
      </c>
      <c r="J32" s="1200"/>
      <c r="K32" s="1200"/>
      <c r="L32" s="1200"/>
      <c r="M32" s="1200"/>
      <c r="N32" s="1200"/>
      <c r="O32" s="1200"/>
      <c r="P32" s="1200"/>
      <c r="Q32" s="1200"/>
      <c r="R32" s="1200"/>
      <c r="S32" s="1200"/>
      <c r="T32" s="1200"/>
      <c r="U32" s="1201"/>
    </row>
    <row r="33" spans="1:21" x14ac:dyDescent="0.3">
      <c r="A33" s="40" t="s">
        <v>41</v>
      </c>
      <c r="B33" s="41"/>
      <c r="C33" s="43"/>
      <c r="D33" s="43"/>
      <c r="E33" s="43"/>
      <c r="F33" s="43"/>
      <c r="G33" s="43"/>
      <c r="H33" s="44"/>
      <c r="I33" s="1199">
        <f>'STANDARD COMP.'!F22</f>
        <v>24969357.811009489</v>
      </c>
      <c r="J33" s="1200"/>
      <c r="K33" s="1200"/>
      <c r="L33" s="1200"/>
      <c r="M33" s="1200"/>
      <c r="N33" s="1200"/>
      <c r="O33" s="1200"/>
      <c r="P33" s="1200"/>
      <c r="Q33" s="1200"/>
      <c r="R33" s="1200"/>
      <c r="S33" s="1200"/>
      <c r="T33" s="1200"/>
      <c r="U33" s="1201"/>
    </row>
    <row r="35" spans="1:21" x14ac:dyDescent="0.3">
      <c r="A35" s="74" t="s">
        <v>848</v>
      </c>
      <c r="B35" s="45"/>
      <c r="C35" s="45"/>
      <c r="D35" s="45"/>
      <c r="E35" s="45"/>
      <c r="F35" s="45"/>
      <c r="G35" s="46"/>
      <c r="H35" s="46"/>
      <c r="I35" s="46"/>
      <c r="J35" s="46"/>
      <c r="K35" s="46"/>
      <c r="L35" s="46"/>
      <c r="M35" s="46"/>
      <c r="N35" s="46"/>
      <c r="O35" s="46"/>
      <c r="P35" s="46"/>
      <c r="Q35" s="46"/>
      <c r="R35" s="46"/>
      <c r="S35" s="46"/>
      <c r="T35" s="46"/>
      <c r="U35" s="47"/>
    </row>
    <row r="36" spans="1:21" ht="4.5" customHeight="1" x14ac:dyDescent="0.3">
      <c r="A36" s="34"/>
      <c r="B36" s="18"/>
      <c r="C36" s="18"/>
      <c r="D36" s="18"/>
      <c r="E36" s="18"/>
      <c r="F36" s="18"/>
      <c r="G36" s="18"/>
      <c r="H36" s="18"/>
      <c r="I36" s="18"/>
      <c r="J36" s="18"/>
      <c r="K36" s="18"/>
      <c r="L36" s="18"/>
      <c r="M36" s="18"/>
      <c r="N36" s="18"/>
      <c r="O36" s="18"/>
      <c r="P36" s="18"/>
      <c r="Q36" s="18"/>
      <c r="R36" s="18"/>
      <c r="S36" s="18"/>
      <c r="T36" s="18"/>
      <c r="U36" s="35"/>
    </row>
    <row r="37" spans="1:21" x14ac:dyDescent="0.3">
      <c r="A37" s="34"/>
      <c r="B37" s="18"/>
      <c r="C37" s="18"/>
      <c r="D37" s="18" t="s">
        <v>849</v>
      </c>
      <c r="E37" s="18"/>
      <c r="F37" s="18"/>
      <c r="G37" s="18"/>
      <c r="H37" s="18"/>
      <c r="I37" s="18"/>
      <c r="J37" s="18"/>
      <c r="K37" s="18"/>
      <c r="L37" s="18" t="s">
        <v>850</v>
      </c>
      <c r="M37" s="18"/>
      <c r="O37" s="18"/>
      <c r="P37" s="18"/>
      <c r="Q37" s="18"/>
      <c r="R37" s="18"/>
      <c r="S37" s="18" t="s">
        <v>851</v>
      </c>
      <c r="T37" s="18"/>
      <c r="U37" s="35"/>
    </row>
    <row r="38" spans="1:21" ht="4.5" customHeight="1" x14ac:dyDescent="0.3">
      <c r="A38" s="75"/>
      <c r="B38" s="32"/>
      <c r="C38" s="32"/>
      <c r="D38" s="32"/>
      <c r="E38" s="32"/>
      <c r="F38" s="32"/>
      <c r="G38" s="32"/>
      <c r="H38" s="32"/>
      <c r="I38" s="32"/>
      <c r="J38" s="32"/>
      <c r="K38" s="32"/>
      <c r="L38" s="32"/>
      <c r="M38" s="32"/>
      <c r="N38" s="32"/>
      <c r="O38" s="32"/>
      <c r="P38" s="32"/>
      <c r="Q38" s="32"/>
      <c r="R38" s="32"/>
      <c r="S38" s="32"/>
      <c r="T38" s="32"/>
      <c r="U38" s="76"/>
    </row>
    <row r="39" spans="1:21" ht="11.25" customHeight="1" x14ac:dyDescent="0.3"/>
    <row r="40" spans="1:21" x14ac:dyDescent="0.3">
      <c r="A40" s="6" t="s">
        <v>852</v>
      </c>
    </row>
    <row r="41" spans="1:21" ht="13.5" customHeight="1" x14ac:dyDescent="0.3">
      <c r="A41" s="77" t="s">
        <v>853</v>
      </c>
      <c r="C41" s="1247" t="s">
        <v>854</v>
      </c>
      <c r="D41" s="1247"/>
      <c r="E41" s="1247"/>
      <c r="F41" s="1247"/>
      <c r="G41" s="1247"/>
      <c r="H41" s="1247"/>
      <c r="I41" s="1247"/>
      <c r="J41" s="1247"/>
      <c r="K41" s="1247"/>
      <c r="L41" s="1247"/>
      <c r="M41" s="1247"/>
      <c r="N41" s="1247"/>
      <c r="O41" s="1250" t="str">
        <f>IF(OR(LEN(FLOOR(T41,1))=13,FLOOR(T41,1)&lt;=0),"Out of range",PROPER(SUBSTITUTE(CONCATENATE(CHOOSE(MID(TEXT(INT(T41),REPT(0,12)),1,1)+1,"","one hundred ","two hundred ","three hundred ","four hundred ","five hundred ","six hundred ","seven hundred ","eight hundred ","nine hundred "),CHOOSE(MID(TEXT(INT(T41),REPT(0,12)),2,1)+1,"",CHOOSE(MID(TEXT(INT(T41),REPT(0,12)),3,1)+1,"ten","eleven","twelve","thirteen","fourteen","fifteen","sixteen","seventeen","eighteen","nineteen"),"twenty","thirty","forty","fifty","sixty","seventy","eighty","ninety"),IF(VALUE(MID(TEXT(INT(T41),REPT(0,12)),2,1))&gt;1,CHOOSE(MID(TEXT(INT(T41),REPT(0,12)),3,1)+1,"","-one","-two","-three","-four","-five","-six","-seven","-eight","-nine"),IF(VALUE(MID(TEXT(INT(T41),REPT(0,12)),2,1))=0,CHOOSE(MID(TEXT(INT(T41),REPT(0,12)),3,1)+1,"","one","two","three","four","five","six","seven","eight","nine"),"")),IF(T41&gt;=10^9," billion ",""),CHOOSE(MID(TEXT(INT(T41),REPT(0,12)),4,1)+1,"","one hundred ","two hundred ","three hundred ","four hundred ","five hundred ","six hundred ","seven hundred ","eight hundred ","nine hundred "),CHOOSE(MID(TEXT(INT(T41),REPT(0,12)),5,1)+1,"",CHOOSE(MID(TEXT(INT(T41),REPT(0,12)),6,1)+1,"ten","eleven","twelve","thirteen","fourteen","fifteen","sixteen","seventeen","eighteen","nineteen"),"twenty","thirty","forty","fifty","sixty","seventy","eighty","ninety"),IF(VALUE(MID(TEXT(INT(T41),REPT(0,12)),5,1))&gt;1,CHOOSE(MID(TEXT(INT(T41),REPT(0,12)),6,1)+1,"","-one","-two","-three","-four","-five","-six","-seven","-eight","-nine"),IF(VALUE(MID(TEXT(INT(T41),REPT(0,12)),5,1))=0,CHOOSE(MID(TEXT(INT(T41),REPT(0,12)),6,1)+1,"","one","two","three","four","five","six","seven","eight","nine"),"")),IF(VALUE(MID(TEXT(INT(T41),REPT(0,12)),4,3))&gt;0," million ",""),CHOOSE(MID(TEXT(INT(T41),REPT(0,12)),7,1)+1,"","one hundred ","two hundred ","three hundred ","four hundred ","five hundred ","six hundred ","seven hundred ","eight hundred ","nine hundred "),CHOOSE(MID(TEXT(INT(T41),REPT(0,12)),8,1)+1,"",CHOOSE(MID(TEXT(INT(T41),REPT(0,12)),9,1)+1,"ten","eleven","twelve","thirteen","fourteen","fifteen","sixteen","seventeen","eighteen","nineteen"),"twenty","thirty","forty","fifty","sixty","seventy","eighty","ninety"),IF(VALUE(MID(TEXT(INT(T41),REPT(0,12)),8,1))&gt;1,CHOOSE(MID(TEXT(INT(T41),REPT(0,12)),9,1)+1,"","-one","-two","-three","-four","-five","-six","-seven","-eight","-nine"),IF(VALUE(MID(TEXT(INT(T41),REPT(0,12)),8,1))=0,CHOOSE(MID(TEXT(INT(T41),REPT(0,12)),9,1)+1,"","one","two","three","four","five","six","seven","eight","nine"),"")),IF(VALUE(MID(TEXT(INT(T41),REPT(0,12)),7,3))," thousand ",""),CHOOSE(MID(TEXT(INT(T41),REPT(0,12)),10,1)+1,"","one hundred ","two hundred ","three hundred ","four hundred ","five hundred ","six hundred ","seven hundred ","eight hundred ","nine hundred "),CHOOSE(MID(TEXT(INT(T41),REPT(0,12)),11,1)+1,"",CHOOSE(MID(TEXT(INT(T41),REPT(0,12)),12,1)+1,"ten","eleven","twelve","thirteen","fourteen","fifteen","sixteen","seventeen","eighteen","nineteen"),"twenty","thirty","forty","fifty","sixty","seventy","eighty","ninety"),IF(VALUE(MID(TEXT(INT(T41),REPT(0,12)),11,1))&gt;1,CHOOSE(MID(TEXT(INT(T41),REPT(0,12)),12,1)+1,"","-one","-two","-three","-four","-five","-six","-seven","-eight","-nine"),IF(VALUE(MID(TEXT(INT(T41),REPT(0,12)),11,1))=0,CHOOSE(MID(TEXT(INT(T41),REPT(0,12)),12,1)+1,"","one","two","three","four","five","six","seven","eight","nine"),""))),"  "," ")&amp;IF(FLOOR(T41,1)&gt;1," PESOS"," dollar"))&amp;IF(ISERROR(FIND(".",T41,1)),""," and "&amp;PROPER(IF(LEN(LEFT(TRIM(MID(SUBSTITUTE([22]Sheet1!A2,".",REPT(" ",255)),255,200)),2))=1,CHOOSE(1*LEFT(TRIM(MID(SUBSTITUTE([22]Sheet1!A2,".",REPT(" ",255)),255,200)),2),"ten","twenty","thirty","forty","fifty","sixty","seventy","eighty","ninety")&amp;" cents","")&amp;CONCATENATE(CHOOSE(MID(TEXT(INT(LEFT(TRIM(MID(SUBSTITUTE([22]Sheet1!A2,".",REPT(" ",255)),255,200)),2)),REPT(0,12)),11,1)+1,"",CHOOSE(MID(TEXT(INT(LEFT(TRIM(MID(SUBSTITUTE([22]Sheet1!A2,".",REPT(" ",255)),255,200)),2)),REPT(0,12)),12,1)+1,"ten","eleven","twelve","thirteen","fourteen","fifteen","sixteen","seventeen","eighteen","nineteen")&amp;" cents","twenty","thirty","forty","fifty","sixty","seventy","eighty","ninety"),IF(VALUE(MID(TEXT(INT(LEFT(TRIM(MID(SUBSTITUTE([22]Sheet1!A2,".",REPT(" ",255)),255,200)),2)),REPT(0,12)),11,1))&gt;1,CHOOSE(MID(TEXT(INT(LEFT(TRIM(MID(SUBSTITUTE([22]Sheet1!A2,".",REPT(" ",255)),255,200)),2)),REPT(0,12)),12,1)+1,"","-one","-two","-three","-four","-five","-six","-seven","-eight","-nine")&amp;" cents",IF(LEFT(TRIM(MID(SUBSTITUTE([22]Sheet1!A2,".",REPT(" ",255)),255,200)),2)="01","one cent",IF(LEFT(TRIM(MID(SUBSTITUTE([22]Sheet1!A2,".",REPT(" ",255)),255,200)),1)="0",CHOOSE(MID(TEXT(INT(LEFT(TRIM(MID(SUBSTITUTE([22]Sheet1!A2,".",REPT(" ",255)),255,200)),2)),REPT(0,12)),12,1)+1,"","one","two","three","four","five","six","seven","eight","nine")&amp;" cents","")))))))</f>
        <v>Fifty Thousand  Pesos</v>
      </c>
      <c r="P41" s="1250"/>
      <c r="Q41" s="1250"/>
      <c r="R41" s="1250"/>
      <c r="S41" s="97" t="s">
        <v>855</v>
      </c>
      <c r="T41" s="83">
        <f>FORM!G24</f>
        <v>50000</v>
      </c>
      <c r="U41" s="97" t="s">
        <v>856</v>
      </c>
    </row>
    <row r="42" spans="1:21" ht="13.5" customHeight="1" x14ac:dyDescent="0.3">
      <c r="A42" s="77"/>
      <c r="B42" s="78"/>
      <c r="C42" s="78"/>
      <c r="D42" s="78"/>
      <c r="E42" s="78"/>
      <c r="F42" s="78"/>
      <c r="G42" s="78"/>
      <c r="H42" s="78"/>
      <c r="I42" s="78"/>
      <c r="J42" s="78"/>
      <c r="K42" s="78"/>
      <c r="L42" s="78"/>
      <c r="M42" s="78"/>
      <c r="N42" s="78"/>
      <c r="O42" s="95"/>
      <c r="P42" s="95"/>
      <c r="Q42" s="95"/>
      <c r="R42" s="95"/>
      <c r="S42" s="61"/>
      <c r="T42" s="96"/>
      <c r="U42" s="61"/>
    </row>
    <row r="43" spans="1:21" ht="13.5" customHeight="1" x14ac:dyDescent="0.3">
      <c r="A43" s="77"/>
      <c r="B43" s="78"/>
      <c r="C43" s="78"/>
      <c r="D43" s="78"/>
      <c r="E43" s="78"/>
      <c r="F43" s="78"/>
      <c r="G43" s="78"/>
      <c r="H43" s="78"/>
      <c r="I43" s="78"/>
      <c r="J43" s="78"/>
      <c r="K43" s="78"/>
      <c r="L43" s="78"/>
      <c r="M43" s="78"/>
      <c r="N43" s="78"/>
      <c r="O43" s="95"/>
      <c r="P43" s="95"/>
      <c r="Q43" s="95"/>
      <c r="R43" s="95"/>
      <c r="S43" s="61"/>
      <c r="T43" s="96"/>
      <c r="U43" s="61"/>
    </row>
    <row r="44" spans="1:21" ht="13.5" customHeight="1" x14ac:dyDescent="0.3">
      <c r="A44" s="77"/>
      <c r="B44" s="78"/>
      <c r="C44" s="78"/>
      <c r="D44" s="78"/>
      <c r="E44" s="78"/>
      <c r="F44" s="78"/>
      <c r="G44" s="78"/>
      <c r="H44" s="78"/>
      <c r="I44" s="78"/>
      <c r="J44" s="78"/>
      <c r="K44" s="78"/>
      <c r="L44" s="78"/>
      <c r="M44" s="78"/>
      <c r="N44" s="78"/>
      <c r="O44" s="95"/>
      <c r="P44" s="95"/>
      <c r="Q44" s="95"/>
      <c r="R44" s="95"/>
      <c r="S44" s="61"/>
      <c r="T44" s="96"/>
      <c r="U44" s="61"/>
    </row>
    <row r="45" spans="1:21" ht="13.5" customHeight="1" x14ac:dyDescent="0.3">
      <c r="A45" s="77"/>
      <c r="B45" s="78"/>
      <c r="C45" s="78"/>
      <c r="D45" s="78"/>
      <c r="E45" s="78"/>
      <c r="F45" s="78"/>
      <c r="G45" s="78"/>
      <c r="H45" s="78"/>
      <c r="I45" s="78"/>
      <c r="J45" s="78"/>
      <c r="K45" s="78"/>
      <c r="L45" s="78"/>
      <c r="M45" s="78"/>
      <c r="N45" s="78"/>
      <c r="O45" s="95"/>
      <c r="P45" s="95"/>
      <c r="Q45" s="95"/>
      <c r="R45" s="95"/>
      <c r="S45" s="61"/>
      <c r="T45" s="96"/>
      <c r="U45" s="61"/>
    </row>
    <row r="46" spans="1:21" ht="13.5" customHeight="1" x14ac:dyDescent="0.3">
      <c r="A46" s="77"/>
      <c r="B46" s="78"/>
      <c r="C46" s="78"/>
      <c r="D46" s="78"/>
      <c r="E46" s="78"/>
      <c r="F46" s="78"/>
      <c r="G46" s="78"/>
      <c r="H46" s="78"/>
      <c r="I46" s="78"/>
      <c r="J46" s="78"/>
      <c r="K46" s="78"/>
      <c r="L46" s="78"/>
      <c r="M46" s="78"/>
      <c r="N46" s="78"/>
      <c r="O46" s="95"/>
      <c r="P46" s="95"/>
      <c r="Q46" s="95"/>
      <c r="R46" s="95"/>
      <c r="S46" s="61"/>
      <c r="T46" s="96"/>
      <c r="U46" s="61"/>
    </row>
    <row r="47" spans="1:21" ht="13.5" customHeight="1" x14ac:dyDescent="0.3">
      <c r="A47" s="77"/>
      <c r="B47" s="78"/>
      <c r="C47" s="78"/>
      <c r="D47" s="78"/>
      <c r="E47" s="78"/>
      <c r="F47" s="78"/>
      <c r="G47" s="78"/>
      <c r="H47" s="78"/>
      <c r="I47" s="78"/>
      <c r="J47" s="78"/>
      <c r="K47" s="78"/>
      <c r="L47" s="78"/>
      <c r="M47" s="78"/>
      <c r="N47" s="78"/>
      <c r="O47" s="95"/>
      <c r="P47" s="95"/>
      <c r="Q47" s="95"/>
      <c r="R47" s="95"/>
      <c r="S47" s="61"/>
      <c r="T47" s="96"/>
      <c r="U47" s="61"/>
    </row>
    <row r="48" spans="1:21" ht="13.5" customHeight="1" x14ac:dyDescent="0.3">
      <c r="A48" s="77"/>
      <c r="B48" s="78"/>
      <c r="C48" s="78"/>
      <c r="D48" s="78"/>
      <c r="E48" s="78"/>
      <c r="F48" s="78"/>
      <c r="G48" s="78"/>
      <c r="H48" s="78"/>
      <c r="I48" s="78"/>
      <c r="J48" s="78"/>
      <c r="K48" s="78"/>
      <c r="L48" s="78"/>
      <c r="M48" s="78"/>
      <c r="N48" s="78"/>
      <c r="O48" s="95"/>
      <c r="P48" s="95"/>
      <c r="Q48" s="95"/>
      <c r="R48" s="95"/>
      <c r="S48" s="61"/>
      <c r="T48" s="96"/>
      <c r="U48" s="61"/>
    </row>
    <row r="49" spans="1:21" ht="13.5" customHeight="1" x14ac:dyDescent="0.3">
      <c r="A49" s="77"/>
      <c r="B49" s="78"/>
      <c r="C49" s="78"/>
      <c r="D49" s="78"/>
      <c r="E49" s="78"/>
      <c r="F49" s="78"/>
      <c r="G49" s="78"/>
      <c r="H49" s="78"/>
      <c r="I49" s="78"/>
      <c r="J49" s="78"/>
      <c r="K49" s="78"/>
      <c r="L49" s="78"/>
      <c r="M49" s="78"/>
      <c r="N49" s="78"/>
      <c r="O49" s="95"/>
      <c r="P49" s="95"/>
      <c r="Q49" s="95"/>
      <c r="R49" s="95"/>
      <c r="S49" s="61"/>
      <c r="T49" s="96"/>
      <c r="U49" s="61"/>
    </row>
    <row r="50" spans="1:21" ht="13.5" customHeight="1" x14ac:dyDescent="0.3">
      <c r="A50" s="77"/>
      <c r="B50" s="78"/>
      <c r="C50" s="78"/>
      <c r="D50" s="78"/>
      <c r="E50" s="78"/>
      <c r="F50" s="78"/>
      <c r="G50" s="78"/>
      <c r="H50" s="78"/>
      <c r="I50" s="78"/>
      <c r="J50" s="78"/>
      <c r="K50" s="78"/>
      <c r="L50" s="78"/>
      <c r="M50" s="78"/>
      <c r="N50" s="78"/>
      <c r="O50" s="95"/>
      <c r="P50" s="95"/>
      <c r="Q50" s="95"/>
      <c r="R50" s="95"/>
      <c r="S50" s="61"/>
      <c r="T50" s="96"/>
      <c r="U50" s="61"/>
    </row>
    <row r="51" spans="1:21" ht="13.5" customHeight="1" x14ac:dyDescent="0.3">
      <c r="A51" s="77"/>
      <c r="B51" s="78"/>
      <c r="C51" s="78"/>
      <c r="D51" s="78"/>
      <c r="E51" s="78"/>
      <c r="F51" s="78"/>
      <c r="G51" s="78"/>
      <c r="H51" s="78"/>
      <c r="I51" s="78"/>
      <c r="J51" s="78"/>
      <c r="K51" s="78"/>
      <c r="L51" s="78"/>
      <c r="M51" s="78"/>
      <c r="N51" s="78"/>
      <c r="O51" s="95"/>
      <c r="P51" s="95"/>
      <c r="Q51" s="95"/>
      <c r="R51" s="95"/>
      <c r="S51" s="61"/>
      <c r="T51" s="96"/>
      <c r="U51" s="61"/>
    </row>
    <row r="52" spans="1:21" ht="13.5" customHeight="1" x14ac:dyDescent="0.3">
      <c r="A52" s="77"/>
      <c r="B52" s="78"/>
      <c r="C52" s="78"/>
      <c r="D52" s="78"/>
      <c r="E52" s="78"/>
      <c r="F52" s="78"/>
      <c r="G52" s="78"/>
      <c r="H52" s="78"/>
      <c r="I52" s="78"/>
      <c r="J52" s="78"/>
      <c r="K52" s="78"/>
      <c r="L52" s="78"/>
      <c r="M52" s="78"/>
      <c r="N52" s="78"/>
      <c r="O52" s="95"/>
      <c r="P52" s="95"/>
      <c r="Q52" s="95"/>
      <c r="R52" s="95"/>
      <c r="S52" s="61"/>
      <c r="T52" s="96"/>
      <c r="U52" s="61"/>
    </row>
    <row r="53" spans="1:21" ht="13.5" customHeight="1" x14ac:dyDescent="0.3">
      <c r="A53" s="77"/>
      <c r="B53" s="78"/>
      <c r="C53" s="78"/>
      <c r="D53" s="78"/>
      <c r="E53" s="78"/>
      <c r="F53" s="78"/>
      <c r="G53" s="78"/>
      <c r="H53" s="78"/>
      <c r="I53" s="78"/>
      <c r="J53" s="78"/>
      <c r="K53" s="78"/>
      <c r="L53" s="78"/>
      <c r="M53" s="78"/>
      <c r="N53" s="78"/>
      <c r="O53" s="95"/>
      <c r="P53" s="95"/>
      <c r="Q53" s="95"/>
      <c r="R53" s="95"/>
      <c r="S53" s="61"/>
      <c r="T53" s="96"/>
      <c r="U53" s="61"/>
    </row>
    <row r="54" spans="1:21" ht="13.5" customHeight="1" x14ac:dyDescent="0.3">
      <c r="A54" s="77"/>
      <c r="B54" s="78"/>
      <c r="C54" s="78"/>
      <c r="D54" s="78"/>
      <c r="E54" s="78"/>
      <c r="F54" s="78"/>
      <c r="G54" s="78"/>
      <c r="H54" s="78"/>
      <c r="I54" s="78"/>
      <c r="J54" s="78"/>
      <c r="K54" s="78"/>
      <c r="L54" s="78"/>
      <c r="M54" s="78"/>
      <c r="N54" s="78"/>
      <c r="O54" s="95"/>
      <c r="P54" s="95"/>
      <c r="Q54" s="95"/>
      <c r="R54" s="95"/>
      <c r="S54" s="61"/>
      <c r="T54" s="96"/>
      <c r="U54" s="61"/>
    </row>
    <row r="55" spans="1:21" ht="13.5" customHeight="1" x14ac:dyDescent="0.3">
      <c r="A55" s="77"/>
      <c r="B55" s="78"/>
      <c r="C55" s="78"/>
      <c r="D55" s="78"/>
      <c r="E55" s="78"/>
      <c r="F55" s="78"/>
      <c r="G55" s="78"/>
      <c r="H55" s="78"/>
      <c r="I55" s="78"/>
      <c r="J55" s="78"/>
      <c r="K55" s="78"/>
      <c r="L55" s="78"/>
      <c r="M55" s="78"/>
      <c r="N55" s="78"/>
      <c r="O55" s="95"/>
      <c r="P55" s="95"/>
      <c r="Q55" s="95"/>
      <c r="R55" s="95"/>
      <c r="S55" s="61"/>
      <c r="T55" s="96"/>
      <c r="U55" s="61"/>
    </row>
    <row r="56" spans="1:21" ht="13.5" customHeight="1" x14ac:dyDescent="0.3">
      <c r="A56" s="77"/>
      <c r="B56" s="78"/>
      <c r="C56" s="78"/>
      <c r="D56" s="78"/>
      <c r="E56" s="78"/>
      <c r="F56" s="78"/>
      <c r="G56" s="78"/>
      <c r="H56" s="78"/>
      <c r="I56" s="78"/>
      <c r="J56" s="78"/>
      <c r="K56" s="78"/>
      <c r="L56" s="78"/>
      <c r="M56" s="78"/>
      <c r="N56" s="78"/>
      <c r="O56" s="95"/>
      <c r="P56" s="95"/>
      <c r="Q56" s="95"/>
      <c r="R56" s="95"/>
      <c r="S56" s="61"/>
      <c r="T56" s="96"/>
      <c r="U56" s="61"/>
    </row>
    <row r="57" spans="1:21" ht="13.5" customHeight="1" x14ac:dyDescent="0.3">
      <c r="A57" s="77"/>
      <c r="B57" s="78"/>
      <c r="C57" s="78"/>
      <c r="D57" s="78"/>
      <c r="E57" s="78"/>
      <c r="F57" s="78"/>
      <c r="G57" s="78"/>
      <c r="H57" s="78"/>
      <c r="I57" s="78"/>
      <c r="J57" s="78"/>
      <c r="K57" s="78"/>
      <c r="L57" s="78"/>
      <c r="M57" s="78"/>
      <c r="N57" s="78"/>
      <c r="O57" s="95"/>
      <c r="P57" s="95"/>
      <c r="Q57" s="95"/>
      <c r="R57" s="95"/>
      <c r="S57" s="61"/>
      <c r="T57" s="96"/>
      <c r="U57" s="61"/>
    </row>
    <row r="58" spans="1:21" ht="13.5" customHeight="1" x14ac:dyDescent="0.3">
      <c r="A58" s="77"/>
      <c r="B58" s="78"/>
      <c r="C58" s="78"/>
      <c r="D58" s="78"/>
      <c r="E58" s="78"/>
      <c r="F58" s="78"/>
      <c r="G58" s="78"/>
      <c r="H58" s="78"/>
      <c r="I58" s="78"/>
      <c r="J58" s="78"/>
      <c r="K58" s="78"/>
      <c r="L58" s="78"/>
      <c r="M58" s="78"/>
      <c r="N58" s="78"/>
      <c r="O58" s="95"/>
      <c r="P58" s="95"/>
      <c r="Q58" s="95"/>
      <c r="R58" s="95"/>
      <c r="S58" s="61"/>
      <c r="T58" s="96"/>
      <c r="U58" s="61"/>
    </row>
    <row r="59" spans="1:21" ht="13.5" customHeight="1" x14ac:dyDescent="0.3">
      <c r="A59" s="77"/>
      <c r="B59" s="78"/>
      <c r="C59" s="78"/>
      <c r="D59" s="78"/>
      <c r="E59" s="78"/>
      <c r="F59" s="78"/>
      <c r="G59" s="78"/>
      <c r="H59" s="78"/>
      <c r="I59" s="78"/>
      <c r="J59" s="78"/>
      <c r="K59" s="78"/>
      <c r="L59" s="78"/>
      <c r="M59" s="78"/>
      <c r="N59" s="78"/>
      <c r="O59" s="95"/>
      <c r="P59" s="95"/>
      <c r="Q59" s="95"/>
      <c r="R59" s="95"/>
      <c r="S59" s="61"/>
      <c r="T59" s="96"/>
      <c r="U59" s="61"/>
    </row>
    <row r="60" spans="1:21" ht="13.5" customHeight="1" x14ac:dyDescent="0.3">
      <c r="A60" s="77"/>
      <c r="B60" s="78"/>
      <c r="C60" s="78"/>
      <c r="D60" s="78"/>
      <c r="E60" s="78"/>
      <c r="F60" s="78"/>
      <c r="G60" s="78"/>
      <c r="H60" s="78"/>
      <c r="I60" s="78"/>
      <c r="J60" s="78"/>
      <c r="K60" s="78"/>
      <c r="L60" s="78"/>
      <c r="M60" s="78"/>
      <c r="N60" s="78"/>
      <c r="O60" s="95"/>
      <c r="P60" s="95"/>
      <c r="Q60" s="95"/>
      <c r="R60" s="95"/>
      <c r="S60" s="61"/>
      <c r="T60" s="96"/>
      <c r="U60" s="61"/>
    </row>
    <row r="61" spans="1:21" ht="13.5" customHeight="1" x14ac:dyDescent="0.3">
      <c r="A61" s="77"/>
      <c r="B61" s="78"/>
      <c r="C61" s="78"/>
      <c r="D61" s="78"/>
      <c r="E61" s="78"/>
      <c r="F61" s="78"/>
      <c r="G61" s="78"/>
      <c r="H61" s="78"/>
      <c r="I61" s="78"/>
      <c r="J61" s="78"/>
      <c r="K61" s="78"/>
      <c r="L61" s="78"/>
      <c r="M61" s="78"/>
      <c r="N61" s="78"/>
      <c r="O61" s="95"/>
      <c r="P61" s="95"/>
      <c r="Q61" s="95"/>
      <c r="R61" s="95"/>
      <c r="S61" s="61"/>
      <c r="T61" s="96"/>
      <c r="U61" s="61"/>
    </row>
    <row r="62" spans="1:21" ht="13.5" customHeight="1" x14ac:dyDescent="0.3">
      <c r="A62" s="77"/>
      <c r="B62" s="78"/>
      <c r="C62" s="78"/>
      <c r="D62" s="78"/>
      <c r="E62" s="78"/>
      <c r="F62" s="78"/>
      <c r="G62" s="78"/>
      <c r="H62" s="78"/>
      <c r="I62" s="78"/>
      <c r="J62" s="78"/>
      <c r="K62" s="78"/>
      <c r="L62" s="78"/>
      <c r="M62" s="78"/>
      <c r="N62" s="78"/>
      <c r="O62" s="95"/>
      <c r="P62" s="95"/>
      <c r="Q62" s="95"/>
      <c r="R62" s="95"/>
      <c r="S62" s="61"/>
      <c r="T62" s="96"/>
      <c r="U62" s="61"/>
    </row>
    <row r="63" spans="1:21" ht="13.5" customHeight="1" x14ac:dyDescent="0.3">
      <c r="A63" s="77"/>
      <c r="B63" s="78"/>
      <c r="C63" s="78"/>
      <c r="D63" s="78"/>
      <c r="E63" s="78"/>
      <c r="F63" s="78"/>
      <c r="G63" s="78"/>
      <c r="H63" s="78"/>
      <c r="I63" s="78"/>
      <c r="J63" s="78"/>
      <c r="K63" s="78"/>
      <c r="L63" s="78"/>
      <c r="M63" s="78"/>
      <c r="N63" s="78"/>
      <c r="O63" s="95"/>
      <c r="P63" s="95"/>
      <c r="Q63" s="95"/>
      <c r="R63" s="95"/>
      <c r="S63" s="61"/>
      <c r="T63" s="96"/>
      <c r="U63" s="61"/>
    </row>
    <row r="64" spans="1:21" ht="13.5" customHeight="1" x14ac:dyDescent="0.3">
      <c r="A64" s="77"/>
      <c r="B64" s="78"/>
      <c r="C64" s="78"/>
      <c r="D64" s="78"/>
      <c r="E64" s="78"/>
      <c r="F64" s="78"/>
      <c r="G64" s="78"/>
      <c r="H64" s="78"/>
      <c r="I64" s="78"/>
      <c r="J64" s="78"/>
      <c r="K64" s="78"/>
      <c r="L64" s="78"/>
      <c r="M64" s="78"/>
      <c r="N64" s="78"/>
      <c r="O64" s="95"/>
      <c r="P64" s="95"/>
      <c r="Q64" s="95"/>
      <c r="R64" s="95"/>
      <c r="S64" s="61"/>
      <c r="T64" s="96"/>
      <c r="U64" s="61"/>
    </row>
    <row r="65" spans="1:21" ht="13.5" customHeight="1" x14ac:dyDescent="0.3">
      <c r="A65" s="77"/>
      <c r="B65" s="78"/>
      <c r="C65" s="78"/>
      <c r="D65" s="78"/>
      <c r="E65" s="78"/>
      <c r="F65" s="78"/>
      <c r="G65" s="78"/>
      <c r="H65" s="78"/>
      <c r="I65" s="78"/>
      <c r="J65" s="78"/>
      <c r="K65" s="78"/>
      <c r="L65" s="78"/>
      <c r="M65" s="78"/>
      <c r="N65" s="78"/>
      <c r="O65" s="95"/>
      <c r="P65" s="95"/>
      <c r="Q65" s="95"/>
      <c r="R65" s="95"/>
      <c r="S65" s="61"/>
      <c r="T65" s="96"/>
      <c r="U65" s="61"/>
    </row>
    <row r="66" spans="1:21" ht="13.5" customHeight="1" x14ac:dyDescent="0.3">
      <c r="A66" s="77"/>
      <c r="B66" s="78"/>
      <c r="C66" s="78"/>
      <c r="D66" s="78"/>
      <c r="E66" s="78"/>
      <c r="F66" s="78"/>
      <c r="G66" s="78"/>
      <c r="H66" s="78"/>
      <c r="I66" s="78"/>
      <c r="J66" s="78"/>
      <c r="K66" s="78"/>
      <c r="L66" s="78"/>
      <c r="M66" s="78"/>
      <c r="N66" s="78"/>
      <c r="O66" s="95"/>
      <c r="P66" s="95"/>
      <c r="Q66" s="95"/>
      <c r="R66" s="95"/>
      <c r="S66" s="61"/>
      <c r="T66" s="96"/>
      <c r="U66" s="61"/>
    </row>
    <row r="67" spans="1:21" ht="13.5" customHeight="1" x14ac:dyDescent="0.3">
      <c r="A67" s="77"/>
      <c r="B67" s="78"/>
      <c r="C67" s="78"/>
      <c r="D67" s="78"/>
      <c r="E67" s="78"/>
      <c r="F67" s="78"/>
      <c r="G67" s="78"/>
      <c r="H67" s="78"/>
      <c r="I67" s="78"/>
      <c r="J67" s="78"/>
      <c r="K67" s="78"/>
      <c r="L67" s="78"/>
      <c r="M67" s="78"/>
      <c r="N67" s="78"/>
      <c r="O67" s="95"/>
      <c r="P67" s="95"/>
      <c r="Q67" s="95"/>
      <c r="R67" s="95"/>
      <c r="S67" s="61"/>
      <c r="T67" s="96"/>
      <c r="U67" s="61"/>
    </row>
    <row r="68" spans="1:21" ht="13.5" customHeight="1" x14ac:dyDescent="0.3">
      <c r="A68" s="77"/>
      <c r="B68" s="78"/>
      <c r="C68" s="78"/>
      <c r="D68" s="78"/>
      <c r="E68" s="78"/>
      <c r="F68" s="78"/>
      <c r="G68" s="78"/>
      <c r="H68" s="78"/>
      <c r="I68" s="78"/>
      <c r="J68" s="78"/>
      <c r="K68" s="78"/>
      <c r="L68" s="78"/>
      <c r="M68" s="78"/>
      <c r="N68" s="78"/>
      <c r="O68" s="95"/>
      <c r="P68" s="95"/>
      <c r="Q68" s="95"/>
      <c r="R68" s="95"/>
      <c r="S68" s="61"/>
      <c r="T68" s="96"/>
      <c r="U68" s="61"/>
    </row>
    <row r="69" spans="1:21" ht="13.5" customHeight="1" x14ac:dyDescent="0.3">
      <c r="A69" s="77"/>
      <c r="B69" s="78"/>
      <c r="C69" s="78"/>
      <c r="D69" s="78"/>
      <c r="E69" s="78"/>
      <c r="F69" s="78"/>
      <c r="G69" s="78"/>
      <c r="H69" s="78"/>
      <c r="I69" s="78"/>
      <c r="J69" s="78"/>
      <c r="K69" s="78"/>
      <c r="L69" s="78"/>
      <c r="M69" s="78"/>
      <c r="N69" s="78"/>
      <c r="O69" s="95"/>
      <c r="P69" s="95"/>
      <c r="Q69" s="95"/>
      <c r="R69" s="95"/>
      <c r="S69" s="61"/>
      <c r="T69" s="96"/>
      <c r="U69" s="61"/>
    </row>
    <row r="70" spans="1:21" ht="13.5" customHeight="1" x14ac:dyDescent="0.3">
      <c r="A70" s="77"/>
      <c r="B70" s="78"/>
      <c r="C70" s="78"/>
      <c r="D70" s="78"/>
      <c r="E70" s="78"/>
      <c r="F70" s="78"/>
      <c r="G70" s="78"/>
      <c r="H70" s="78"/>
      <c r="I70" s="78"/>
      <c r="J70" s="78"/>
      <c r="K70" s="78"/>
      <c r="L70" s="78"/>
      <c r="M70" s="78"/>
      <c r="N70" s="78"/>
      <c r="O70" s="95"/>
      <c r="P70" s="95"/>
      <c r="Q70" s="95"/>
      <c r="R70" s="95"/>
      <c r="S70" s="61"/>
      <c r="T70" s="96"/>
      <c r="U70" s="61"/>
    </row>
    <row r="71" spans="1:21" ht="13.5" customHeight="1" x14ac:dyDescent="0.3">
      <c r="A71" s="77"/>
      <c r="B71" s="78"/>
      <c r="C71" s="78"/>
      <c r="D71" s="78"/>
      <c r="E71" s="78"/>
      <c r="F71" s="78"/>
      <c r="G71" s="78"/>
      <c r="H71" s="78"/>
      <c r="I71" s="78"/>
      <c r="J71" s="78"/>
      <c r="K71" s="78"/>
      <c r="L71" s="78"/>
      <c r="M71" s="78"/>
      <c r="N71" s="78"/>
      <c r="O71" s="95"/>
      <c r="P71" s="95"/>
      <c r="Q71" s="95"/>
      <c r="R71" s="95"/>
      <c r="S71" s="61"/>
      <c r="T71" s="96"/>
      <c r="U71" s="61"/>
    </row>
    <row r="72" spans="1:21" ht="13.5" customHeight="1" x14ac:dyDescent="0.3">
      <c r="A72" s="77"/>
      <c r="B72" s="78"/>
      <c r="C72" s="78"/>
      <c r="D72" s="78"/>
      <c r="E72" s="78"/>
      <c r="F72" s="78"/>
      <c r="G72" s="78"/>
      <c r="H72" s="78"/>
      <c r="I72" s="78"/>
      <c r="J72" s="78"/>
      <c r="K72" s="78"/>
      <c r="L72" s="78"/>
      <c r="M72" s="78"/>
      <c r="N72" s="78"/>
      <c r="O72" s="95"/>
      <c r="P72" s="95"/>
      <c r="Q72" s="95"/>
      <c r="R72" s="95"/>
      <c r="S72" s="61"/>
      <c r="T72" s="96"/>
      <c r="U72" s="61"/>
    </row>
    <row r="73" spans="1:21" ht="13.5" customHeight="1" x14ac:dyDescent="0.3">
      <c r="A73" s="77"/>
      <c r="B73" s="78"/>
      <c r="C73" s="78"/>
      <c r="D73" s="78"/>
      <c r="E73" s="78"/>
      <c r="F73" s="78"/>
      <c r="G73" s="78"/>
      <c r="H73" s="78"/>
      <c r="I73" s="78"/>
      <c r="J73" s="78"/>
      <c r="K73" s="78"/>
      <c r="L73" s="78"/>
      <c r="M73" s="78"/>
      <c r="N73" s="78"/>
      <c r="O73" s="95"/>
      <c r="P73" s="95"/>
      <c r="Q73" s="95"/>
      <c r="R73" s="95"/>
      <c r="S73" s="61"/>
      <c r="T73" s="96"/>
      <c r="U73" s="61"/>
    </row>
    <row r="74" spans="1:21" ht="13.5" customHeight="1" x14ac:dyDescent="0.3">
      <c r="A74" s="77"/>
      <c r="B74" s="78"/>
      <c r="C74" s="78"/>
      <c r="D74" s="78"/>
      <c r="E74" s="78"/>
      <c r="F74" s="78"/>
      <c r="G74" s="78"/>
      <c r="H74" s="78"/>
      <c r="I74" s="78"/>
      <c r="J74" s="78"/>
      <c r="K74" s="78"/>
      <c r="L74" s="78"/>
      <c r="M74" s="78"/>
      <c r="N74" s="78"/>
      <c r="O74" s="95"/>
      <c r="P74" s="95"/>
      <c r="Q74" s="95"/>
      <c r="R74" s="95"/>
      <c r="S74" s="61"/>
      <c r="T74" s="96"/>
      <c r="U74" s="61"/>
    </row>
    <row r="75" spans="1:21" ht="13.5" customHeight="1" x14ac:dyDescent="0.3">
      <c r="A75" s="77"/>
      <c r="B75" s="78"/>
      <c r="C75" s="78"/>
      <c r="D75" s="78"/>
      <c r="E75" s="78"/>
      <c r="F75" s="78"/>
      <c r="G75" s="78"/>
      <c r="H75" s="78"/>
      <c r="I75" s="78"/>
      <c r="J75" s="78"/>
      <c r="K75" s="78"/>
      <c r="L75" s="78"/>
      <c r="M75" s="78"/>
      <c r="N75" s="78"/>
      <c r="O75" s="95"/>
      <c r="P75" s="95"/>
      <c r="Q75" s="95"/>
      <c r="R75" s="95"/>
      <c r="S75" s="61"/>
      <c r="T75" s="96"/>
      <c r="U75" s="61"/>
    </row>
    <row r="76" spans="1:21" ht="13.5" customHeight="1" x14ac:dyDescent="0.3">
      <c r="A76" s="77"/>
      <c r="B76" s="78"/>
      <c r="C76" s="78"/>
      <c r="D76" s="78"/>
      <c r="E76" s="78"/>
      <c r="F76" s="78"/>
      <c r="G76" s="78"/>
      <c r="H76" s="78"/>
      <c r="I76" s="78"/>
      <c r="J76" s="78"/>
      <c r="K76" s="78"/>
      <c r="L76" s="78"/>
      <c r="M76" s="78"/>
      <c r="N76" s="78"/>
      <c r="O76" s="95"/>
      <c r="P76" s="95"/>
      <c r="Q76" s="95"/>
      <c r="R76" s="95"/>
      <c r="S76" s="61"/>
      <c r="T76" s="96"/>
      <c r="U76" s="61"/>
    </row>
    <row r="77" spans="1:21" ht="13.5" customHeight="1" x14ac:dyDescent="0.3">
      <c r="A77" s="77"/>
      <c r="B77" s="78"/>
      <c r="C77" s="78"/>
      <c r="D77" s="78"/>
      <c r="E77" s="78"/>
      <c r="F77" s="78"/>
      <c r="G77" s="78"/>
      <c r="H77" s="78"/>
      <c r="I77" s="78"/>
      <c r="J77" s="78"/>
      <c r="K77" s="78"/>
      <c r="L77" s="78"/>
      <c r="M77" s="78"/>
      <c r="N77" s="78"/>
      <c r="O77" s="95"/>
      <c r="P77" s="95"/>
      <c r="Q77" s="95"/>
      <c r="R77" s="95"/>
      <c r="S77" s="61"/>
      <c r="T77" s="96"/>
      <c r="U77" s="61"/>
    </row>
    <row r="78" spans="1:21" ht="13.5" customHeight="1" x14ac:dyDescent="0.3">
      <c r="A78" s="77"/>
      <c r="B78" s="78"/>
      <c r="C78" s="78"/>
      <c r="D78" s="78"/>
      <c r="E78" s="78"/>
      <c r="F78" s="78"/>
      <c r="G78" s="78"/>
      <c r="H78" s="78"/>
      <c r="I78" s="78"/>
      <c r="J78" s="78"/>
      <c r="K78" s="78"/>
      <c r="L78" s="78"/>
      <c r="M78" s="78"/>
      <c r="N78" s="78"/>
      <c r="O78" s="95"/>
      <c r="P78" s="95"/>
      <c r="Q78" s="95"/>
      <c r="R78" s="95"/>
      <c r="S78" s="61"/>
      <c r="T78" s="96"/>
      <c r="U78" s="61"/>
    </row>
    <row r="79" spans="1:21" ht="13.5" customHeight="1" x14ac:dyDescent="0.3">
      <c r="A79" s="77"/>
      <c r="B79" s="78"/>
      <c r="C79" s="78"/>
      <c r="D79" s="78"/>
      <c r="E79" s="78"/>
      <c r="F79" s="78"/>
      <c r="G79" s="78"/>
      <c r="H79" s="78"/>
      <c r="I79" s="78"/>
      <c r="J79" s="78"/>
      <c r="K79" s="78"/>
      <c r="L79" s="78"/>
      <c r="M79" s="78"/>
      <c r="N79" s="78"/>
      <c r="O79" s="95"/>
      <c r="P79" s="95"/>
      <c r="Q79" s="95"/>
      <c r="R79" s="95"/>
      <c r="S79" s="61"/>
      <c r="T79" s="96"/>
      <c r="U79" s="61"/>
    </row>
    <row r="80" spans="1:21" ht="13.5" customHeight="1" x14ac:dyDescent="0.3">
      <c r="A80" s="77"/>
      <c r="B80" s="78"/>
      <c r="C80" s="78"/>
      <c r="D80" s="78"/>
      <c r="E80" s="78"/>
      <c r="F80" s="78"/>
      <c r="G80" s="78"/>
      <c r="H80" s="78"/>
      <c r="I80" s="78"/>
      <c r="J80" s="78"/>
      <c r="K80" s="78"/>
      <c r="L80" s="78"/>
      <c r="M80" s="78"/>
      <c r="N80" s="78"/>
      <c r="O80" s="95"/>
      <c r="P80" s="95"/>
      <c r="Q80" s="95"/>
      <c r="R80" s="95"/>
      <c r="S80" s="61"/>
      <c r="T80" s="96"/>
      <c r="U80" s="61"/>
    </row>
    <row r="81" spans="1:22" ht="13.5" customHeight="1" x14ac:dyDescent="0.3">
      <c r="A81" s="77"/>
      <c r="B81" s="78"/>
      <c r="C81" s="78"/>
      <c r="D81" s="78"/>
      <c r="E81" s="78"/>
      <c r="F81" s="78"/>
      <c r="G81" s="78"/>
      <c r="H81" s="78"/>
      <c r="I81" s="78"/>
      <c r="J81" s="78"/>
      <c r="K81" s="78"/>
      <c r="L81" s="78"/>
      <c r="M81" s="78"/>
      <c r="N81" s="78"/>
      <c r="O81" s="95"/>
      <c r="P81" s="95"/>
      <c r="Q81" s="95"/>
      <c r="R81" s="95"/>
      <c r="S81" s="61"/>
      <c r="T81" s="96"/>
      <c r="U81" s="61"/>
    </row>
    <row r="82" spans="1:22" ht="13.5" customHeight="1" x14ac:dyDescent="0.3">
      <c r="A82" s="77"/>
      <c r="B82" s="78"/>
      <c r="C82" s="78"/>
      <c r="D82" s="78"/>
      <c r="E82" s="78"/>
      <c r="F82" s="78"/>
      <c r="G82" s="78"/>
      <c r="H82" s="78"/>
      <c r="I82" s="78"/>
      <c r="J82" s="78"/>
      <c r="K82" s="78"/>
      <c r="L82" s="78"/>
      <c r="M82" s="78"/>
      <c r="N82" s="78"/>
      <c r="O82" s="95"/>
      <c r="P82" s="95"/>
      <c r="Q82" s="95"/>
      <c r="R82" s="95"/>
      <c r="S82" s="61"/>
      <c r="T82" s="96"/>
      <c r="U82" s="61"/>
    </row>
    <row r="83" spans="1:22" ht="13.5" customHeight="1" x14ac:dyDescent="0.3">
      <c r="A83" s="77"/>
      <c r="B83" s="78"/>
      <c r="C83" s="78"/>
      <c r="D83" s="78"/>
      <c r="E83" s="78"/>
      <c r="F83" s="78"/>
      <c r="G83" s="78"/>
      <c r="H83" s="78"/>
      <c r="I83" s="78"/>
      <c r="J83" s="78"/>
      <c r="K83" s="78"/>
      <c r="L83" s="78"/>
      <c r="M83" s="78"/>
      <c r="N83" s="78"/>
      <c r="O83" s="95"/>
      <c r="P83" s="95"/>
      <c r="Q83" s="95"/>
      <c r="R83" s="95"/>
      <c r="S83" s="61"/>
      <c r="T83" s="96"/>
      <c r="U83" s="61"/>
    </row>
    <row r="84" spans="1:22" ht="13.5" customHeight="1" x14ac:dyDescent="0.3">
      <c r="A84" s="77"/>
      <c r="B84" s="78"/>
      <c r="C84" s="78"/>
      <c r="D84" s="78"/>
      <c r="E84" s="78"/>
      <c r="F84" s="78"/>
      <c r="G84" s="78"/>
      <c r="H84" s="78"/>
      <c r="I84" s="78"/>
      <c r="J84" s="78"/>
      <c r="K84" s="78"/>
      <c r="L84" s="78"/>
      <c r="M84" s="78"/>
      <c r="N84" s="78"/>
      <c r="O84" s="95"/>
      <c r="P84" s="95"/>
      <c r="Q84" s="95"/>
      <c r="R84" s="95"/>
      <c r="S84" s="61"/>
      <c r="T84" s="96"/>
      <c r="U84" s="61"/>
    </row>
    <row r="85" spans="1:22" ht="13.5" customHeight="1" x14ac:dyDescent="0.3">
      <c r="A85" s="77"/>
      <c r="B85" s="78"/>
      <c r="C85" s="78"/>
      <c r="D85" s="78"/>
      <c r="E85" s="78"/>
      <c r="F85" s="78"/>
      <c r="G85" s="78"/>
      <c r="H85" s="78"/>
      <c r="I85" s="78"/>
      <c r="J85" s="78"/>
      <c r="K85" s="78"/>
      <c r="L85" s="78"/>
      <c r="M85" s="78"/>
      <c r="N85" s="78"/>
      <c r="O85" s="95"/>
      <c r="P85" s="95"/>
      <c r="Q85" s="95"/>
      <c r="R85" s="95"/>
      <c r="S85" s="61"/>
      <c r="T85" s="96"/>
      <c r="U85" s="61"/>
    </row>
    <row r="86" spans="1:22" ht="6.75" customHeight="1" x14ac:dyDescent="0.3">
      <c r="A86" s="50"/>
      <c r="B86" s="50"/>
      <c r="C86" s="50"/>
      <c r="D86" s="50"/>
      <c r="E86" s="50"/>
      <c r="F86" s="50"/>
      <c r="G86" s="50"/>
      <c r="H86" s="50"/>
      <c r="I86" s="50"/>
      <c r="J86" s="50"/>
      <c r="K86" s="50"/>
      <c r="L86" s="50"/>
      <c r="M86" s="50"/>
      <c r="N86" s="50"/>
      <c r="O86" s="50"/>
      <c r="P86" s="50"/>
      <c r="Q86" s="50"/>
      <c r="R86" s="50"/>
      <c r="S86" s="50"/>
      <c r="T86" s="50"/>
      <c r="U86" s="50"/>
    </row>
    <row r="87" spans="1:22" x14ac:dyDescent="0.3">
      <c r="A87" s="64"/>
      <c r="B87" s="65" t="s">
        <v>857</v>
      </c>
      <c r="C87" s="66"/>
      <c r="D87" s="66"/>
      <c r="E87" s="66"/>
      <c r="F87" s="66"/>
      <c r="G87" s="66"/>
      <c r="H87" s="66"/>
      <c r="I87" s="66"/>
      <c r="J87" s="66"/>
      <c r="K87" s="66"/>
      <c r="L87" s="66"/>
      <c r="M87" s="66"/>
      <c r="N87" s="66"/>
      <c r="O87" s="66"/>
      <c r="P87" s="66"/>
      <c r="Q87" s="66"/>
      <c r="R87" s="66"/>
      <c r="S87" s="66"/>
      <c r="T87" s="66"/>
      <c r="U87" s="67"/>
    </row>
    <row r="88" spans="1:22" ht="6.75" customHeight="1" x14ac:dyDescent="0.3">
      <c r="A88" s="68"/>
      <c r="B88" s="63"/>
      <c r="C88" s="63"/>
      <c r="D88" s="63"/>
      <c r="E88" s="63"/>
      <c r="F88" s="63"/>
      <c r="G88" s="63"/>
      <c r="H88" s="63"/>
      <c r="I88" s="63"/>
      <c r="J88" s="63"/>
      <c r="K88" s="63"/>
      <c r="L88" s="63"/>
      <c r="M88" s="63"/>
      <c r="N88" s="63"/>
      <c r="O88" s="63"/>
      <c r="P88" s="63"/>
      <c r="Q88" s="63"/>
      <c r="R88" s="63"/>
      <c r="S88" s="63"/>
      <c r="T88" s="63"/>
      <c r="U88" s="69"/>
    </row>
    <row r="89" spans="1:22" x14ac:dyDescent="0.3">
      <c r="A89" s="68"/>
      <c r="B89" s="63"/>
      <c r="C89" s="70" t="s">
        <v>858</v>
      </c>
      <c r="D89" s="63"/>
      <c r="E89" s="63"/>
      <c r="F89" s="63"/>
      <c r="G89" s="63"/>
      <c r="H89" s="63"/>
      <c r="I89" s="63"/>
      <c r="J89" s="63"/>
      <c r="K89" s="70" t="s">
        <v>859</v>
      </c>
      <c r="L89" s="63"/>
      <c r="M89" s="63"/>
      <c r="N89" s="63"/>
      <c r="O89" s="63"/>
      <c r="P89" s="63"/>
      <c r="Q89" s="63"/>
      <c r="R89" s="70" t="s">
        <v>860</v>
      </c>
      <c r="S89" s="70"/>
      <c r="T89" s="70"/>
      <c r="U89" s="69"/>
    </row>
    <row r="90" spans="1:22" x14ac:dyDescent="0.3">
      <c r="A90" s="338"/>
      <c r="B90" s="339"/>
      <c r="C90" s="340" t="s">
        <v>861</v>
      </c>
      <c r="D90" s="340"/>
      <c r="E90" s="1248"/>
      <c r="F90" s="1248"/>
      <c r="G90" s="1248"/>
      <c r="H90" s="340"/>
      <c r="I90" s="340"/>
      <c r="J90" s="339"/>
      <c r="K90" s="340" t="s">
        <v>862</v>
      </c>
      <c r="L90" s="340"/>
      <c r="M90" s="1248"/>
      <c r="N90" s="1248"/>
      <c r="O90" s="1248"/>
      <c r="P90" s="340"/>
      <c r="Q90" s="339"/>
      <c r="R90" s="340" t="s">
        <v>863</v>
      </c>
      <c r="S90" s="1248"/>
      <c r="T90" s="1248"/>
      <c r="U90" s="69"/>
    </row>
    <row r="91" spans="1:22" x14ac:dyDescent="0.3">
      <c r="A91" s="338"/>
      <c r="B91" s="339"/>
      <c r="C91" s="340" t="s">
        <v>864</v>
      </c>
      <c r="D91" s="340"/>
      <c r="E91" s="1248"/>
      <c r="F91" s="1248"/>
      <c r="G91" s="1248"/>
      <c r="H91" s="340"/>
      <c r="I91" s="340"/>
      <c r="J91" s="339"/>
      <c r="K91" s="340" t="s">
        <v>865</v>
      </c>
      <c r="L91" s="340"/>
      <c r="M91" s="1249"/>
      <c r="N91" s="1249"/>
      <c r="O91" s="1249"/>
      <c r="P91" s="340"/>
      <c r="Q91" s="339"/>
      <c r="R91" s="340" t="s">
        <v>866</v>
      </c>
      <c r="S91" s="1249"/>
      <c r="T91" s="1249"/>
      <c r="U91" s="69"/>
    </row>
    <row r="92" spans="1:22" x14ac:dyDescent="0.3">
      <c r="A92" s="338"/>
      <c r="B92" s="340"/>
      <c r="C92" s="340"/>
      <c r="D92" s="340"/>
      <c r="E92" s="340"/>
      <c r="F92" s="340"/>
      <c r="G92" s="340"/>
      <c r="H92" s="340"/>
      <c r="I92" s="340"/>
      <c r="J92" s="340"/>
      <c r="K92" s="340"/>
      <c r="L92" s="340"/>
      <c r="M92" s="340"/>
      <c r="N92" s="340"/>
      <c r="O92" s="340"/>
      <c r="P92" s="340"/>
      <c r="Q92" s="339"/>
      <c r="R92" s="340" t="s">
        <v>867</v>
      </c>
      <c r="S92" s="1249"/>
      <c r="T92" s="1249"/>
      <c r="U92" s="69"/>
    </row>
    <row r="93" spans="1:22" ht="6" customHeight="1" x14ac:dyDescent="0.3">
      <c r="A93" s="71"/>
      <c r="B93" s="72"/>
      <c r="C93" s="72"/>
      <c r="D93" s="72"/>
      <c r="E93" s="72"/>
      <c r="F93" s="72"/>
      <c r="G93" s="72"/>
      <c r="H93" s="72"/>
      <c r="I93" s="72"/>
      <c r="J93" s="72"/>
      <c r="K93" s="72"/>
      <c r="L93" s="72"/>
      <c r="M93" s="72"/>
      <c r="N93" s="72"/>
      <c r="O93" s="72"/>
      <c r="P93" s="72"/>
      <c r="Q93" s="72"/>
      <c r="R93" s="72"/>
      <c r="S93" s="72"/>
      <c r="T93" s="72"/>
      <c r="U93" s="73"/>
    </row>
    <row r="95" spans="1:22" x14ac:dyDescent="0.3">
      <c r="A95" s="1183" t="s">
        <v>821</v>
      </c>
      <c r="B95" s="1184"/>
      <c r="C95" s="1184"/>
      <c r="D95" s="1184"/>
      <c r="E95" s="1184"/>
      <c r="F95" s="1184"/>
      <c r="G95" s="1184"/>
      <c r="H95" s="1184"/>
      <c r="I95" s="1184"/>
      <c r="J95" s="1184"/>
      <c r="K95" s="1184"/>
      <c r="L95" s="1184"/>
      <c r="M95" s="1184"/>
      <c r="N95" s="1184"/>
      <c r="O95" s="1184"/>
      <c r="P95" s="1184"/>
      <c r="Q95" s="1184"/>
      <c r="R95" s="1184"/>
      <c r="S95" s="1184"/>
      <c r="T95" s="1184"/>
      <c r="U95" s="1185"/>
    </row>
    <row r="96" spans="1:22" x14ac:dyDescent="0.3">
      <c r="A96" s="1186" t="s">
        <v>822</v>
      </c>
      <c r="B96" s="1186"/>
      <c r="C96" s="1186"/>
      <c r="D96" s="1186"/>
      <c r="E96" s="1186"/>
      <c r="F96" s="1186"/>
      <c r="G96" s="1186"/>
      <c r="H96" s="1186"/>
      <c r="I96" s="1186" t="s">
        <v>823</v>
      </c>
      <c r="J96" s="1186"/>
      <c r="K96" s="1186"/>
      <c r="L96" s="1186"/>
      <c r="M96" s="1186"/>
      <c r="N96" s="1186"/>
      <c r="O96" s="1186"/>
      <c r="P96" s="1187" t="s">
        <v>824</v>
      </c>
      <c r="Q96" s="1187"/>
      <c r="R96" s="1187"/>
      <c r="S96" s="1187"/>
      <c r="T96" s="1187"/>
      <c r="U96" s="1187"/>
      <c r="V96" s="56"/>
    </row>
    <row r="97" spans="1:22" x14ac:dyDescent="0.3">
      <c r="A97" s="1182" t="s">
        <v>825</v>
      </c>
      <c r="B97" s="1182"/>
      <c r="C97" s="1182"/>
      <c r="D97" s="1182"/>
      <c r="E97" s="1182"/>
      <c r="F97" s="1182"/>
      <c r="G97" s="1182"/>
      <c r="H97" s="1182"/>
      <c r="I97" s="1244">
        <f>LOI_STANDARD!I55</f>
        <v>0</v>
      </c>
      <c r="J97" s="1244"/>
      <c r="K97" s="1244"/>
      <c r="L97" s="1244"/>
      <c r="M97" s="1244"/>
      <c r="N97" s="1244"/>
      <c r="O97" s="1244"/>
      <c r="P97" s="1244">
        <f>LOI_STANDARD!P55</f>
        <v>0</v>
      </c>
      <c r="Q97" s="1244"/>
      <c r="R97" s="1244"/>
      <c r="S97" s="1244"/>
      <c r="T97" s="1244"/>
      <c r="U97" s="1244"/>
      <c r="V97" s="56"/>
    </row>
    <row r="98" spans="1:22" x14ac:dyDescent="0.3">
      <c r="A98" s="1182" t="s">
        <v>826</v>
      </c>
      <c r="B98" s="1182"/>
      <c r="C98" s="1182"/>
      <c r="D98" s="1182"/>
      <c r="E98" s="1182"/>
      <c r="F98" s="1182"/>
      <c r="G98" s="1182"/>
      <c r="H98" s="1182"/>
      <c r="I98" s="1244">
        <f>LOI_STANDARD!I56</f>
        <v>0</v>
      </c>
      <c r="J98" s="1244"/>
      <c r="K98" s="1244"/>
      <c r="L98" s="1244"/>
      <c r="M98" s="1244"/>
      <c r="N98" s="1244"/>
      <c r="O98" s="1244"/>
      <c r="P98" s="1244">
        <f>LOI_STANDARD!P56</f>
        <v>0</v>
      </c>
      <c r="Q98" s="1244"/>
      <c r="R98" s="1244"/>
      <c r="S98" s="1244"/>
      <c r="T98" s="1244"/>
      <c r="U98" s="1244"/>
      <c r="V98" s="56"/>
    </row>
    <row r="99" spans="1:22" x14ac:dyDescent="0.3">
      <c r="A99" s="1182" t="s">
        <v>827</v>
      </c>
      <c r="B99" s="1182"/>
      <c r="C99" s="1182"/>
      <c r="D99" s="1182"/>
      <c r="E99" s="1182"/>
      <c r="F99" s="1182"/>
      <c r="G99" s="1182"/>
      <c r="H99" s="1182"/>
      <c r="I99" s="1244">
        <f>LOI_STANDARD!I57</f>
        <v>0</v>
      </c>
      <c r="J99" s="1244"/>
      <c r="K99" s="1244"/>
      <c r="L99" s="1244"/>
      <c r="M99" s="1244"/>
      <c r="N99" s="1244"/>
      <c r="O99" s="1244"/>
      <c r="P99" s="1244">
        <f>LOI_STANDARD!P57</f>
        <v>0</v>
      </c>
      <c r="Q99" s="1244"/>
      <c r="R99" s="1244"/>
      <c r="S99" s="1244"/>
      <c r="T99" s="1244"/>
      <c r="U99" s="1244"/>
      <c r="V99" s="56"/>
    </row>
    <row r="100" spans="1:22" x14ac:dyDescent="0.3">
      <c r="A100" s="1182" t="s">
        <v>828</v>
      </c>
      <c r="B100" s="1182"/>
      <c r="C100" s="1182"/>
      <c r="D100" s="1182"/>
      <c r="E100" s="1182"/>
      <c r="F100" s="1182"/>
      <c r="G100" s="1182"/>
      <c r="H100" s="1182"/>
      <c r="I100" s="1244">
        <f>LOI_STANDARD!I58</f>
        <v>0</v>
      </c>
      <c r="J100" s="1244"/>
      <c r="K100" s="1244"/>
      <c r="L100" s="1244"/>
      <c r="M100" s="1244"/>
      <c r="N100" s="1244"/>
      <c r="O100" s="1244"/>
      <c r="P100" s="1244">
        <f>LOI_STANDARD!P58</f>
        <v>0</v>
      </c>
      <c r="Q100" s="1244"/>
      <c r="R100" s="1244"/>
      <c r="S100" s="1244"/>
      <c r="T100" s="1244"/>
      <c r="U100" s="1244"/>
    </row>
    <row r="103" spans="1:22" x14ac:dyDescent="0.3">
      <c r="A103" s="1251" t="s">
        <v>868</v>
      </c>
      <c r="B103" s="1251"/>
      <c r="C103" s="1251"/>
      <c r="D103" s="1251"/>
      <c r="E103" s="1251"/>
      <c r="F103" s="1251"/>
      <c r="G103" s="1251"/>
      <c r="H103" s="1251"/>
      <c r="I103" s="1251"/>
      <c r="J103" s="1251"/>
      <c r="K103" s="1251"/>
      <c r="L103" s="1251"/>
      <c r="M103" s="1251"/>
      <c r="N103" s="1251"/>
      <c r="O103" s="1251"/>
      <c r="P103" s="1251"/>
      <c r="Q103" s="1251"/>
      <c r="R103" s="1251"/>
      <c r="S103" s="1251"/>
      <c r="T103" s="1251"/>
      <c r="U103" s="1251"/>
    </row>
    <row r="104" spans="1:22" x14ac:dyDescent="0.3">
      <c r="A104" s="629"/>
      <c r="B104" s="629"/>
      <c r="C104" s="629"/>
      <c r="D104" s="629"/>
      <c r="E104" s="629"/>
      <c r="F104" s="629"/>
      <c r="G104" s="629"/>
      <c r="H104" s="629"/>
      <c r="I104" s="629"/>
      <c r="J104" s="629"/>
      <c r="K104" s="629"/>
      <c r="L104" s="629"/>
      <c r="M104" s="629"/>
      <c r="N104" s="629"/>
      <c r="O104" s="629"/>
      <c r="P104" s="629"/>
      <c r="Q104" s="629"/>
      <c r="R104" s="629"/>
      <c r="S104" s="629"/>
      <c r="T104" s="629"/>
      <c r="U104" s="629"/>
    </row>
    <row r="105" spans="1:22" x14ac:dyDescent="0.3">
      <c r="A105" s="1246"/>
      <c r="B105" s="1246"/>
      <c r="C105" s="1246"/>
      <c r="D105" s="1246"/>
      <c r="E105" s="1246"/>
      <c r="F105" s="1246"/>
      <c r="G105" s="1246"/>
      <c r="H105" s="1246"/>
      <c r="I105" s="1246"/>
      <c r="J105" s="1246"/>
      <c r="K105" s="1246"/>
      <c r="L105" s="1246"/>
      <c r="M105" s="1246"/>
      <c r="N105" s="1246"/>
      <c r="O105" s="1246"/>
      <c r="P105" s="1246"/>
      <c r="Q105" s="1246"/>
      <c r="R105" s="1246"/>
      <c r="S105" s="1246"/>
      <c r="T105" s="1246"/>
      <c r="U105" s="1246"/>
    </row>
    <row r="115" spans="1:21" x14ac:dyDescent="0.3">
      <c r="I115" s="1234">
        <f>D3</f>
        <v>0</v>
      </c>
      <c r="J115" s="1234"/>
      <c r="K115" s="1234"/>
      <c r="L115" s="1234"/>
      <c r="M115" s="1234"/>
      <c r="N115" s="1234"/>
      <c r="O115" s="1234"/>
      <c r="P115" s="1234"/>
      <c r="Q115" s="1234"/>
    </row>
    <row r="116" spans="1:21" ht="25.5" customHeight="1" x14ac:dyDescent="0.3">
      <c r="A116" s="1245" t="s">
        <v>869</v>
      </c>
      <c r="B116" s="1245"/>
      <c r="C116" s="1245"/>
      <c r="D116" s="1245"/>
      <c r="E116" s="1245"/>
      <c r="F116" s="1245"/>
      <c r="G116" s="1245"/>
      <c r="H116" s="1245"/>
      <c r="I116" s="1245"/>
      <c r="J116" s="1245"/>
      <c r="K116" s="1245"/>
      <c r="L116" s="1245"/>
      <c r="M116" s="1245"/>
      <c r="N116" s="1245"/>
      <c r="O116" s="1245"/>
      <c r="P116" s="1245"/>
      <c r="Q116" s="1245"/>
      <c r="R116" s="1245"/>
      <c r="S116" s="1245"/>
      <c r="T116" s="1245"/>
      <c r="U116" s="1245"/>
    </row>
    <row r="117" spans="1:21" x14ac:dyDescent="0.3">
      <c r="A117" s="21"/>
      <c r="B117" s="21"/>
      <c r="C117" s="21"/>
      <c r="D117" s="21"/>
      <c r="E117" s="21"/>
      <c r="F117" s="21"/>
      <c r="G117" s="21"/>
      <c r="H117" s="21"/>
      <c r="I117" s="21"/>
      <c r="J117" s="21"/>
      <c r="K117" s="21"/>
      <c r="L117" s="21"/>
      <c r="M117" s="21"/>
      <c r="N117" s="21"/>
      <c r="O117" s="21"/>
      <c r="P117" s="21"/>
      <c r="Q117" s="21"/>
      <c r="R117" s="21"/>
      <c r="S117" s="21"/>
      <c r="T117" s="21"/>
      <c r="U117" s="21"/>
    </row>
    <row r="118" spans="1:21" x14ac:dyDescent="0.3">
      <c r="A118" s="21"/>
      <c r="B118" s="21"/>
      <c r="C118" s="21"/>
      <c r="D118" s="21"/>
      <c r="E118" s="21"/>
      <c r="F118" s="21"/>
      <c r="G118" s="21"/>
      <c r="H118" s="21"/>
      <c r="I118" s="21"/>
      <c r="J118" s="21"/>
      <c r="K118" s="21"/>
      <c r="L118" s="21"/>
      <c r="M118" s="21"/>
      <c r="N118" s="21"/>
      <c r="O118" s="21"/>
      <c r="P118" s="21"/>
      <c r="Q118" s="21"/>
      <c r="R118" s="21"/>
      <c r="S118" s="21"/>
      <c r="T118" s="21"/>
      <c r="U118" s="21"/>
    </row>
    <row r="119" spans="1:21" x14ac:dyDescent="0.3">
      <c r="A119" s="1239" t="s">
        <v>870</v>
      </c>
      <c r="B119" s="1239"/>
      <c r="C119" s="1239"/>
      <c r="D119" s="1239"/>
      <c r="E119" s="1239"/>
      <c r="F119" s="1239"/>
      <c r="G119" s="1239"/>
      <c r="H119" s="1239"/>
      <c r="I119" s="1239"/>
      <c r="J119" s="1239"/>
      <c r="K119" s="1239"/>
      <c r="L119" s="1239"/>
      <c r="M119" s="1239"/>
      <c r="N119" s="1239"/>
      <c r="O119" s="1239"/>
      <c r="P119" s="1239"/>
      <c r="Q119" s="1239"/>
      <c r="R119" s="1239"/>
      <c r="S119" s="1239"/>
      <c r="T119" s="1239"/>
      <c r="U119" s="1239"/>
    </row>
    <row r="120" spans="1:21" ht="21.75" customHeight="1" x14ac:dyDescent="0.3">
      <c r="A120" s="1238" t="str">
        <f>H8</f>
        <v>WEE COMMUNITY DEVELOPERS, INC.</v>
      </c>
      <c r="B120" s="1238"/>
      <c r="C120" s="1238"/>
      <c r="D120" s="1238"/>
      <c r="E120" s="1238"/>
      <c r="F120" s="1238"/>
      <c r="G120" s="1238"/>
      <c r="H120" s="1238"/>
      <c r="I120" s="1238"/>
      <c r="J120" s="1238"/>
      <c r="K120" s="1238"/>
      <c r="L120" s="1238"/>
      <c r="M120" s="1238"/>
      <c r="N120" s="1238"/>
      <c r="O120" s="1238"/>
      <c r="P120" s="1238"/>
      <c r="Q120" s="1238"/>
      <c r="R120" s="1238"/>
      <c r="S120" s="1238"/>
      <c r="T120" s="1238"/>
      <c r="U120" s="1238"/>
    </row>
    <row r="121" spans="1:21" x14ac:dyDescent="0.3">
      <c r="A121" s="21"/>
      <c r="B121" s="21"/>
      <c r="C121" s="21"/>
      <c r="D121" s="21"/>
      <c r="E121" s="21"/>
      <c r="F121" s="21"/>
      <c r="G121" s="21"/>
      <c r="H121" s="21"/>
      <c r="I121" s="21"/>
      <c r="J121" s="21"/>
      <c r="K121" s="21"/>
      <c r="L121" s="21"/>
      <c r="M121" s="21"/>
      <c r="N121" s="21"/>
      <c r="O121" s="21"/>
      <c r="P121" s="21"/>
      <c r="Q121" s="21"/>
      <c r="R121" s="21"/>
      <c r="S121" s="21"/>
      <c r="T121" s="21"/>
      <c r="U121" s="21"/>
    </row>
    <row r="122" spans="1:21" x14ac:dyDescent="0.3">
      <c r="A122" s="21"/>
      <c r="B122" s="21"/>
      <c r="C122" s="21"/>
      <c r="D122" s="21"/>
      <c r="E122" s="21"/>
      <c r="F122" s="21"/>
      <c r="G122" s="21"/>
      <c r="H122" s="21"/>
      <c r="I122" s="22"/>
      <c r="J122" s="22"/>
      <c r="K122" s="22"/>
      <c r="L122" s="22"/>
      <c r="M122" s="22"/>
      <c r="N122" s="22"/>
      <c r="O122" s="22"/>
      <c r="P122" s="22"/>
      <c r="Q122" s="22"/>
      <c r="R122" s="21"/>
      <c r="S122" s="21"/>
      <c r="T122" s="21"/>
      <c r="U122" s="21"/>
    </row>
    <row r="126" spans="1:21" x14ac:dyDescent="0.3">
      <c r="I126" s="56"/>
    </row>
  </sheetData>
  <sheetProtection algorithmName="SHA-512" hashValue="T5m0nxgm7uK29MqWI0J9Yf4iEtauICrCi8TTDMdlnqLr+oL52geIm3rmwurmfffi64QMp29FNnave1rmz1t9Ow==" saltValue="RMeSUBE+mtSK02amNq95Rg==" spinCount="100000" sheet="1" formatCells="0" formatColumns="0" formatRows="0" selectLockedCells="1"/>
  <mergeCells count="75">
    <mergeCell ref="I31:U31"/>
    <mergeCell ref="I32:U32"/>
    <mergeCell ref="I33:U33"/>
    <mergeCell ref="S92:T92"/>
    <mergeCell ref="S90:T90"/>
    <mergeCell ref="S91:T91"/>
    <mergeCell ref="A96:H96"/>
    <mergeCell ref="I96:O96"/>
    <mergeCell ref="O41:R41"/>
    <mergeCell ref="P96:U96"/>
    <mergeCell ref="A103:U103"/>
    <mergeCell ref="A97:H97"/>
    <mergeCell ref="I97:O97"/>
    <mergeCell ref="P97:U97"/>
    <mergeCell ref="A98:H98"/>
    <mergeCell ref="I98:O98"/>
    <mergeCell ref="P98:U98"/>
    <mergeCell ref="A105:U105"/>
    <mergeCell ref="D3:Q3"/>
    <mergeCell ref="T22:U22"/>
    <mergeCell ref="T23:U23"/>
    <mergeCell ref="T24:U25"/>
    <mergeCell ref="A95:U95"/>
    <mergeCell ref="I27:U27"/>
    <mergeCell ref="I28:U28"/>
    <mergeCell ref="I29:U29"/>
    <mergeCell ref="I30:U30"/>
    <mergeCell ref="C41:N41"/>
    <mergeCell ref="E90:G90"/>
    <mergeCell ref="E91:G91"/>
    <mergeCell ref="M90:O90"/>
    <mergeCell ref="M91:O91"/>
    <mergeCell ref="P100:U100"/>
    <mergeCell ref="A120:U120"/>
    <mergeCell ref="A119:U119"/>
    <mergeCell ref="A10:P10"/>
    <mergeCell ref="I11:U11"/>
    <mergeCell ref="M12:U12"/>
    <mergeCell ref="K13:U13"/>
    <mergeCell ref="D23:E23"/>
    <mergeCell ref="D24:E24"/>
    <mergeCell ref="A99:H99"/>
    <mergeCell ref="I99:O99"/>
    <mergeCell ref="P99:U99"/>
    <mergeCell ref="A100:H100"/>
    <mergeCell ref="I100:O100"/>
    <mergeCell ref="T21:U21"/>
    <mergeCell ref="I115:Q115"/>
    <mergeCell ref="A116:U116"/>
    <mergeCell ref="R24:S25"/>
    <mergeCell ref="D21:F21"/>
    <mergeCell ref="D25:F25"/>
    <mergeCell ref="J25:L25"/>
    <mergeCell ref="J24:L24"/>
    <mergeCell ref="J23:L23"/>
    <mergeCell ref="J22:L22"/>
    <mergeCell ref="J21:L21"/>
    <mergeCell ref="P21:Q21"/>
    <mergeCell ref="P22:Q22"/>
    <mergeCell ref="P23:Q23"/>
    <mergeCell ref="P24:Q24"/>
    <mergeCell ref="P25:Q25"/>
    <mergeCell ref="R21:S21"/>
    <mergeCell ref="R22:S22"/>
    <mergeCell ref="R23:S23"/>
    <mergeCell ref="D22:F22"/>
    <mergeCell ref="A5:U6"/>
    <mergeCell ref="A4:Q4"/>
    <mergeCell ref="A20:F20"/>
    <mergeCell ref="G20:L20"/>
    <mergeCell ref="M20:Q20"/>
    <mergeCell ref="A9:U9"/>
    <mergeCell ref="R20:U20"/>
    <mergeCell ref="E16:T16"/>
    <mergeCell ref="H8:O8"/>
  </mergeCells>
  <pageMargins left="0.51181102362204722" right="0.51181102362204722" top="0.96929347826086953" bottom="0.74803149606299213" header="0.31496062992125984" footer="0.31496062992125984"/>
  <pageSetup paperSize="14" scale="87" orientation="portrait" r:id="rId1"/>
  <headerFooter>
    <oddHeader xml:space="preserve">&amp;R&amp;"Century Gothic,Bold"&amp;18
RESERVATION AGREEMENT&amp;"Century Gothic,Regular"
</oddHeader>
    <oddFooter>&amp;C&amp;"Century Gothic,Regular"&amp;8Page &amp;P of &amp;N</oddFooter>
  </headerFooter>
  <rowBreaks count="1" manualBreakCount="1">
    <brk id="62" max="20" man="1"/>
  </rowBreaks>
  <drawing r:id="rId2"/>
  <legacyDrawing r:id="rId3"/>
  <mc:AlternateContent xmlns:mc="http://schemas.openxmlformats.org/markup-compatibility/2006">
    <mc:Choice Requires="x14">
      <controls>
        <mc:AlternateContent xmlns:mc="http://schemas.openxmlformats.org/markup-compatibility/2006">
          <mc:Choice Requires="x14">
            <control shapeId="6148" r:id="rId4" name="Check Box 4">
              <controlPr defaultSize="0" autoFill="0" autoLine="0" autoPict="0">
                <anchor moveWithCells="1">
                  <from>
                    <xdr:col>2</xdr:col>
                    <xdr:colOff>38100</xdr:colOff>
                    <xdr:row>36</xdr:row>
                    <xdr:rowOff>0</xdr:rowOff>
                  </from>
                  <to>
                    <xdr:col>2</xdr:col>
                    <xdr:colOff>285750</xdr:colOff>
                    <xdr:row>37</xdr:row>
                    <xdr:rowOff>19050</xdr:rowOff>
                  </to>
                </anchor>
              </controlPr>
            </control>
          </mc:Choice>
        </mc:AlternateContent>
        <mc:AlternateContent xmlns:mc="http://schemas.openxmlformats.org/markup-compatibility/2006">
          <mc:Choice Requires="x14">
            <control shapeId="6150" r:id="rId5" name="Check Box 6">
              <controlPr defaultSize="0" autoFill="0" autoLine="0" autoPict="0">
                <anchor moveWithCells="1">
                  <from>
                    <xdr:col>9</xdr:col>
                    <xdr:colOff>219075</xdr:colOff>
                    <xdr:row>36</xdr:row>
                    <xdr:rowOff>0</xdr:rowOff>
                  </from>
                  <to>
                    <xdr:col>10</xdr:col>
                    <xdr:colOff>209550</xdr:colOff>
                    <xdr:row>37</xdr:row>
                    <xdr:rowOff>19050</xdr:rowOff>
                  </to>
                </anchor>
              </controlPr>
            </control>
          </mc:Choice>
        </mc:AlternateContent>
        <mc:AlternateContent xmlns:mc="http://schemas.openxmlformats.org/markup-compatibility/2006">
          <mc:Choice Requires="x14">
            <control shapeId="6152" r:id="rId6" name="Check Box 8">
              <controlPr defaultSize="0" autoFill="0" autoLine="0" autoPict="0">
                <anchor moveWithCells="1">
                  <from>
                    <xdr:col>2</xdr:col>
                    <xdr:colOff>257175</xdr:colOff>
                    <xdr:row>17</xdr:row>
                    <xdr:rowOff>0</xdr:rowOff>
                  </from>
                  <to>
                    <xdr:col>3</xdr:col>
                    <xdr:colOff>171450</xdr:colOff>
                    <xdr:row>18</xdr:row>
                    <xdr:rowOff>19050</xdr:rowOff>
                  </to>
                </anchor>
              </controlPr>
            </control>
          </mc:Choice>
        </mc:AlternateContent>
        <mc:AlternateContent xmlns:mc="http://schemas.openxmlformats.org/markup-compatibility/2006">
          <mc:Choice Requires="x14">
            <control shapeId="6153" r:id="rId7" name="Check Box 9">
              <controlPr defaultSize="0" autoFill="0" autoLine="0" autoPict="0">
                <anchor moveWithCells="1">
                  <from>
                    <xdr:col>2</xdr:col>
                    <xdr:colOff>257175</xdr:colOff>
                    <xdr:row>16</xdr:row>
                    <xdr:rowOff>19050</xdr:rowOff>
                  </from>
                  <to>
                    <xdr:col>3</xdr:col>
                    <xdr:colOff>171450</xdr:colOff>
                    <xdr:row>17</xdr:row>
                    <xdr:rowOff>19050</xdr:rowOff>
                  </to>
                </anchor>
              </controlPr>
            </control>
          </mc:Choice>
        </mc:AlternateContent>
        <mc:AlternateContent xmlns:mc="http://schemas.openxmlformats.org/markup-compatibility/2006">
          <mc:Choice Requires="x14">
            <control shapeId="6154" r:id="rId8" name="Check Box 10">
              <controlPr defaultSize="0" autoFill="0" autoLine="0" autoPict="0">
                <anchor moveWithCells="1">
                  <from>
                    <xdr:col>10</xdr:col>
                    <xdr:colOff>133350</xdr:colOff>
                    <xdr:row>16</xdr:row>
                    <xdr:rowOff>209550</xdr:rowOff>
                  </from>
                  <to>
                    <xdr:col>11</xdr:col>
                    <xdr:colOff>28575</xdr:colOff>
                    <xdr:row>18</xdr:row>
                    <xdr:rowOff>0</xdr:rowOff>
                  </to>
                </anchor>
              </controlPr>
            </control>
          </mc:Choice>
        </mc:AlternateContent>
        <mc:AlternateContent xmlns:mc="http://schemas.openxmlformats.org/markup-compatibility/2006">
          <mc:Choice Requires="x14">
            <control shapeId="6155" r:id="rId9" name="Check Box 11">
              <controlPr defaultSize="0" autoFill="0" autoLine="0" autoPict="0">
                <anchor moveWithCells="1">
                  <from>
                    <xdr:col>10</xdr:col>
                    <xdr:colOff>133350</xdr:colOff>
                    <xdr:row>16</xdr:row>
                    <xdr:rowOff>0</xdr:rowOff>
                  </from>
                  <to>
                    <xdr:col>11</xdr:col>
                    <xdr:colOff>28575</xdr:colOff>
                    <xdr:row>17</xdr:row>
                    <xdr:rowOff>19050</xdr:rowOff>
                  </to>
                </anchor>
              </controlPr>
            </control>
          </mc:Choice>
        </mc:AlternateContent>
        <mc:AlternateContent xmlns:mc="http://schemas.openxmlformats.org/markup-compatibility/2006">
          <mc:Choice Requires="x14">
            <control shapeId="6157" r:id="rId10" name="Check Box 13">
              <controlPr defaultSize="0" autoFill="0" autoLine="0" autoPict="0">
                <anchor moveWithCells="1">
                  <from>
                    <xdr:col>18</xdr:col>
                    <xdr:colOff>19050</xdr:colOff>
                    <xdr:row>16</xdr:row>
                    <xdr:rowOff>0</xdr:rowOff>
                  </from>
                  <to>
                    <xdr:col>19</xdr:col>
                    <xdr:colOff>19050</xdr:colOff>
                    <xdr:row>17</xdr:row>
                    <xdr:rowOff>19050</xdr:rowOff>
                  </to>
                </anchor>
              </controlPr>
            </control>
          </mc:Choice>
        </mc:AlternateContent>
        <mc:AlternateContent xmlns:mc="http://schemas.openxmlformats.org/markup-compatibility/2006">
          <mc:Choice Requires="x14">
            <control shapeId="6158" r:id="rId11" name="Check Box 14">
              <controlPr defaultSize="0" autoFill="0" autoLine="0" autoPict="0">
                <anchor moveWithCells="1">
                  <from>
                    <xdr:col>0</xdr:col>
                    <xdr:colOff>95250</xdr:colOff>
                    <xdr:row>87</xdr:row>
                    <xdr:rowOff>66675</xdr:rowOff>
                  </from>
                  <to>
                    <xdr:col>2</xdr:col>
                    <xdr:colOff>19050</xdr:colOff>
                    <xdr:row>89</xdr:row>
                    <xdr:rowOff>0</xdr:rowOff>
                  </to>
                </anchor>
              </controlPr>
            </control>
          </mc:Choice>
        </mc:AlternateContent>
        <mc:AlternateContent xmlns:mc="http://schemas.openxmlformats.org/markup-compatibility/2006">
          <mc:Choice Requires="x14">
            <control shapeId="6159" r:id="rId12" name="Check Box 15">
              <controlPr defaultSize="0" autoFill="0" autoLine="0" autoPict="0">
                <anchor moveWithCells="1">
                  <from>
                    <xdr:col>9</xdr:col>
                    <xdr:colOff>19050</xdr:colOff>
                    <xdr:row>88</xdr:row>
                    <xdr:rowOff>0</xdr:rowOff>
                  </from>
                  <to>
                    <xdr:col>10</xdr:col>
                    <xdr:colOff>19050</xdr:colOff>
                    <xdr:row>89</xdr:row>
                    <xdr:rowOff>19050</xdr:rowOff>
                  </to>
                </anchor>
              </controlPr>
            </control>
          </mc:Choice>
        </mc:AlternateContent>
        <mc:AlternateContent xmlns:mc="http://schemas.openxmlformats.org/markup-compatibility/2006">
          <mc:Choice Requires="x14">
            <control shapeId="6160" r:id="rId13" name="Check Box 16">
              <controlPr defaultSize="0" autoFill="0" autoLine="0" autoPict="0">
                <anchor moveWithCells="1">
                  <from>
                    <xdr:col>16</xdr:col>
                    <xdr:colOff>152400</xdr:colOff>
                    <xdr:row>88</xdr:row>
                    <xdr:rowOff>0</xdr:rowOff>
                  </from>
                  <to>
                    <xdr:col>17</xdr:col>
                    <xdr:colOff>0</xdr:colOff>
                    <xdr:row>89</xdr:row>
                    <xdr:rowOff>19050</xdr:rowOff>
                  </to>
                </anchor>
              </controlPr>
            </control>
          </mc:Choice>
        </mc:AlternateContent>
        <mc:AlternateContent xmlns:mc="http://schemas.openxmlformats.org/markup-compatibility/2006">
          <mc:Choice Requires="x14">
            <control shapeId="6161" r:id="rId14" name="Check Box 17">
              <controlPr defaultSize="0" autoFill="0" autoLine="0" autoPict="0">
                <anchor moveWithCells="1">
                  <from>
                    <xdr:col>18</xdr:col>
                    <xdr:colOff>19050</xdr:colOff>
                    <xdr:row>16</xdr:row>
                    <xdr:rowOff>190500</xdr:rowOff>
                  </from>
                  <to>
                    <xdr:col>19</xdr:col>
                    <xdr:colOff>19050</xdr:colOff>
                    <xdr:row>18</xdr:row>
                    <xdr:rowOff>0</xdr:rowOff>
                  </to>
                </anchor>
              </controlPr>
            </control>
          </mc:Choice>
        </mc:AlternateContent>
        <mc:AlternateContent xmlns:mc="http://schemas.openxmlformats.org/markup-compatibility/2006">
          <mc:Choice Requires="x14">
            <control shapeId="6165" r:id="rId15" name="Check Box 21">
              <controlPr defaultSize="0" autoFill="0" autoLine="0" autoPict="0">
                <anchor moveWithCells="1">
                  <from>
                    <xdr:col>17</xdr:col>
                    <xdr:colOff>781050</xdr:colOff>
                    <xdr:row>36</xdr:row>
                    <xdr:rowOff>0</xdr:rowOff>
                  </from>
                  <to>
                    <xdr:col>18</xdr:col>
                    <xdr:colOff>133350</xdr:colOff>
                    <xdr:row>37</xdr:row>
                    <xdr:rowOff>19050</xdr:rowOff>
                  </to>
                </anchor>
              </controlPr>
            </control>
          </mc:Choice>
        </mc:AlternateContent>
        <mc:AlternateContent xmlns:mc="http://schemas.openxmlformats.org/markup-compatibility/2006">
          <mc:Choice Requires="x14">
            <control shapeId="6166" r:id="rId16" name="Check Box 22">
              <controlPr defaultSize="0" autoFill="0" autoLine="0" autoPict="0">
                <anchor moveWithCells="1">
                  <from>
                    <xdr:col>0</xdr:col>
                    <xdr:colOff>114300</xdr:colOff>
                    <xdr:row>89</xdr:row>
                    <xdr:rowOff>19050</xdr:rowOff>
                  </from>
                  <to>
                    <xdr:col>2</xdr:col>
                    <xdr:colOff>57150</xdr:colOff>
                    <xdr:row>90</xdr:row>
                    <xdr:rowOff>28575</xdr:rowOff>
                  </to>
                </anchor>
              </controlPr>
            </control>
          </mc:Choice>
        </mc:AlternateContent>
        <mc:AlternateContent xmlns:mc="http://schemas.openxmlformats.org/markup-compatibility/2006">
          <mc:Choice Requires="x14">
            <control shapeId="6167" r:id="rId17" name="Check Box 23">
              <controlPr defaultSize="0" autoFill="0" autoLine="0" autoPict="0">
                <anchor moveWithCells="1">
                  <from>
                    <xdr:col>0</xdr:col>
                    <xdr:colOff>114300</xdr:colOff>
                    <xdr:row>89</xdr:row>
                    <xdr:rowOff>209550</xdr:rowOff>
                  </from>
                  <to>
                    <xdr:col>2</xdr:col>
                    <xdr:colOff>57150</xdr:colOff>
                    <xdr:row>91</xdr:row>
                    <xdr:rowOff>19050</xdr:rowOff>
                  </to>
                </anchor>
              </controlPr>
            </control>
          </mc:Choice>
        </mc:AlternateContent>
        <mc:AlternateContent xmlns:mc="http://schemas.openxmlformats.org/markup-compatibility/2006">
          <mc:Choice Requires="x14">
            <control shapeId="6168" r:id="rId18" name="Check Box 24">
              <controlPr defaultSize="0" autoFill="0" autoLine="0" autoPict="0">
                <anchor moveWithCells="1">
                  <from>
                    <xdr:col>9</xdr:col>
                    <xdr:colOff>57150</xdr:colOff>
                    <xdr:row>89</xdr:row>
                    <xdr:rowOff>0</xdr:rowOff>
                  </from>
                  <to>
                    <xdr:col>10</xdr:col>
                    <xdr:colOff>38100</xdr:colOff>
                    <xdr:row>90</xdr:row>
                    <xdr:rowOff>19050</xdr:rowOff>
                  </to>
                </anchor>
              </controlPr>
            </control>
          </mc:Choice>
        </mc:AlternateContent>
        <mc:AlternateContent xmlns:mc="http://schemas.openxmlformats.org/markup-compatibility/2006">
          <mc:Choice Requires="x14">
            <control shapeId="6169" r:id="rId19" name="Check Box 25">
              <controlPr defaultSize="0" autoFill="0" autoLine="0" autoPict="0">
                <anchor moveWithCells="1">
                  <from>
                    <xdr:col>9</xdr:col>
                    <xdr:colOff>57150</xdr:colOff>
                    <xdr:row>89</xdr:row>
                    <xdr:rowOff>190500</xdr:rowOff>
                  </from>
                  <to>
                    <xdr:col>10</xdr:col>
                    <xdr:colOff>38100</xdr:colOff>
                    <xdr:row>91</xdr:row>
                    <xdr:rowOff>0</xdr:rowOff>
                  </to>
                </anchor>
              </controlPr>
            </control>
          </mc:Choice>
        </mc:AlternateContent>
        <mc:AlternateContent xmlns:mc="http://schemas.openxmlformats.org/markup-compatibility/2006">
          <mc:Choice Requires="x14">
            <control shapeId="6170" r:id="rId20" name="Check Box 26">
              <controlPr defaultSize="0" autoFill="0" autoLine="0" autoPict="0">
                <anchor moveWithCells="1">
                  <from>
                    <xdr:col>16</xdr:col>
                    <xdr:colOff>171450</xdr:colOff>
                    <xdr:row>89</xdr:row>
                    <xdr:rowOff>0</xdr:rowOff>
                  </from>
                  <to>
                    <xdr:col>17</xdr:col>
                    <xdr:colOff>28575</xdr:colOff>
                    <xdr:row>90</xdr:row>
                    <xdr:rowOff>19050</xdr:rowOff>
                  </to>
                </anchor>
              </controlPr>
            </control>
          </mc:Choice>
        </mc:AlternateContent>
        <mc:AlternateContent xmlns:mc="http://schemas.openxmlformats.org/markup-compatibility/2006">
          <mc:Choice Requires="x14">
            <control shapeId="6171" r:id="rId21" name="Check Box 27">
              <controlPr defaultSize="0" autoFill="0" autoLine="0" autoPict="0">
                <anchor moveWithCells="1">
                  <from>
                    <xdr:col>16</xdr:col>
                    <xdr:colOff>171450</xdr:colOff>
                    <xdr:row>89</xdr:row>
                    <xdr:rowOff>190500</xdr:rowOff>
                  </from>
                  <to>
                    <xdr:col>17</xdr:col>
                    <xdr:colOff>28575</xdr:colOff>
                    <xdr:row>91</xdr:row>
                    <xdr:rowOff>0</xdr:rowOff>
                  </to>
                </anchor>
              </controlPr>
            </control>
          </mc:Choice>
        </mc:AlternateContent>
        <mc:AlternateContent xmlns:mc="http://schemas.openxmlformats.org/markup-compatibility/2006">
          <mc:Choice Requires="x14">
            <control shapeId="6172" r:id="rId22" name="Check Box 28">
              <controlPr defaultSize="0" autoFill="0" autoLine="0" autoPict="0">
                <anchor moveWithCells="1">
                  <from>
                    <xdr:col>16</xdr:col>
                    <xdr:colOff>171450</xdr:colOff>
                    <xdr:row>91</xdr:row>
                    <xdr:rowOff>0</xdr:rowOff>
                  </from>
                  <to>
                    <xdr:col>17</xdr:col>
                    <xdr:colOff>28575</xdr:colOff>
                    <xdr:row>92</xdr:row>
                    <xdr:rowOff>19050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6"/>
  <dimension ref="A1:BM114"/>
  <sheetViews>
    <sheetView showGridLines="0" showZeros="0" view="pageLayout" zoomScale="85" zoomScaleNormal="90" zoomScaleSheetLayoutView="80" zoomScalePageLayoutView="85" workbookViewId="0">
      <selection activeCell="E31" sqref="E31"/>
    </sheetView>
  </sheetViews>
  <sheetFormatPr defaultColWidth="9.28515625" defaultRowHeight="16.5" x14ac:dyDescent="0.3"/>
  <cols>
    <col min="1" max="1" width="1.28515625" style="5" customWidth="1"/>
    <col min="2" max="2" width="12" style="5" customWidth="1"/>
    <col min="3" max="3" width="28.28515625" style="5" customWidth="1"/>
    <col min="4" max="4" width="21" style="103" customWidth="1"/>
    <col min="5" max="5" width="11.28515625" style="5" customWidth="1"/>
    <col min="6" max="6" width="16.28515625" style="5" customWidth="1"/>
    <col min="7" max="7" width="12.28515625" style="5" customWidth="1"/>
    <col min="8" max="8" width="5.7109375" style="5" customWidth="1"/>
    <col min="9" max="9" width="3.7109375" style="5" customWidth="1"/>
    <col min="10" max="10" width="3.28515625" style="5" customWidth="1"/>
    <col min="11" max="11" width="9.28515625" style="5"/>
    <col min="12" max="12" width="26" style="5" customWidth="1"/>
    <col min="13" max="13" width="21.7109375" style="256" customWidth="1"/>
    <col min="14" max="14" width="12.28515625" style="5" customWidth="1"/>
    <col min="15" max="15" width="14" style="5" customWidth="1"/>
    <col min="16" max="16" width="15.5703125" style="5" customWidth="1"/>
    <col min="17" max="17" width="4" style="5" customWidth="1"/>
    <col min="18" max="18" width="3.7109375" customWidth="1"/>
    <col min="19" max="19" width="2.28515625" customWidth="1"/>
    <col min="20" max="20" width="11.5703125" customWidth="1"/>
    <col min="21" max="21" width="14.5703125" customWidth="1"/>
    <col min="22" max="23" width="12.28515625" customWidth="1"/>
    <col min="24" max="24" width="9.5703125" customWidth="1"/>
    <col min="25" max="25" width="15" customWidth="1"/>
    <col min="26" max="26" width="12.7109375" customWidth="1"/>
    <col min="27" max="27" width="15.5703125" customWidth="1"/>
    <col min="28" max="28" width="12.28515625" customWidth="1"/>
    <col min="29" max="29" width="7.5703125" style="5" customWidth="1"/>
    <col min="30" max="30" width="7.7109375" style="5" customWidth="1"/>
    <col min="31" max="31" width="4.42578125" customWidth="1"/>
    <col min="32" max="33" width="9.28515625" style="5" customWidth="1"/>
    <col min="34" max="34" width="11.7109375" style="646" customWidth="1"/>
    <col min="35" max="35" width="9.7109375" style="5" customWidth="1"/>
    <col min="36" max="37" width="9.28515625" style="647" customWidth="1"/>
    <col min="38" max="38" width="15.5703125" style="5" customWidth="1"/>
    <col min="39" max="39" width="9.28515625" style="5" customWidth="1"/>
    <col min="40" max="41" width="9.28515625" style="5"/>
    <col min="42" max="43" width="8.7109375" customWidth="1"/>
    <col min="44" max="16384" width="9.28515625" style="5"/>
  </cols>
  <sheetData>
    <row r="1" spans="1:65" s="109" customFormat="1" ht="22.5" x14ac:dyDescent="0.25">
      <c r="B1" s="314" t="s">
        <v>681</v>
      </c>
      <c r="C1" s="578">
        <f>FORM!G22</f>
        <v>45870</v>
      </c>
      <c r="D1" s="105"/>
      <c r="F1" s="323" t="s">
        <v>871</v>
      </c>
      <c r="G1" s="1318" t="s">
        <v>872</v>
      </c>
      <c r="H1" s="1318"/>
      <c r="I1" s="1318"/>
      <c r="J1" s="111"/>
      <c r="K1" s="314" t="s">
        <v>681</v>
      </c>
      <c r="L1" s="578">
        <f>C1</f>
        <v>45870</v>
      </c>
      <c r="M1" s="639"/>
      <c r="O1" s="640"/>
      <c r="P1" s="323" t="s">
        <v>873</v>
      </c>
      <c r="Q1" s="275" t="s">
        <v>874</v>
      </c>
      <c r="R1"/>
      <c r="S1" s="1253" t="s">
        <v>681</v>
      </c>
      <c r="T1" s="1253"/>
      <c r="U1" s="1265">
        <f>L1</f>
        <v>45870</v>
      </c>
      <c r="V1" s="1265"/>
      <c r="W1" s="91"/>
      <c r="X1" s="17"/>
      <c r="Y1" s="343"/>
      <c r="Z1" s="1266" t="s">
        <v>873</v>
      </c>
      <c r="AA1" s="1266"/>
      <c r="AB1" s="1265" t="s">
        <v>875</v>
      </c>
      <c r="AC1" s="1265"/>
      <c r="AD1" s="1265"/>
      <c r="AE1"/>
      <c r="AH1" s="641"/>
      <c r="AP1"/>
      <c r="AQ1"/>
    </row>
    <row r="2" spans="1:65" s="109" customFormat="1" ht="7.5" customHeight="1" x14ac:dyDescent="0.25">
      <c r="C2" s="110"/>
      <c r="D2" s="110"/>
      <c r="K2" s="200"/>
      <c r="L2" s="200"/>
      <c r="M2" s="200"/>
      <c r="N2" s="200"/>
      <c r="O2" s="200"/>
      <c r="P2" s="200"/>
      <c r="Q2" s="200"/>
      <c r="R2"/>
      <c r="S2" s="17"/>
      <c r="T2" s="17"/>
      <c r="U2" s="17"/>
      <c r="V2" s="17"/>
      <c r="W2" s="17"/>
      <c r="X2" s="17"/>
      <c r="Y2" s="17"/>
      <c r="Z2" s="17"/>
      <c r="AA2" s="17"/>
      <c r="AB2" s="17"/>
      <c r="AC2" s="17"/>
      <c r="AD2" s="17"/>
      <c r="AE2"/>
      <c r="AH2" s="641"/>
      <c r="AP2"/>
      <c r="AQ2"/>
    </row>
    <row r="3" spans="1:65" s="109" customFormat="1" ht="14.25" customHeight="1" x14ac:dyDescent="0.25">
      <c r="B3" s="1319" t="s">
        <v>876</v>
      </c>
      <c r="C3" s="1319"/>
      <c r="D3" s="1319"/>
      <c r="E3" s="1319"/>
      <c r="F3" s="1319"/>
      <c r="G3" s="1319"/>
      <c r="H3" s="1319"/>
      <c r="I3" s="1319"/>
      <c r="J3" s="642"/>
      <c r="K3" s="1319" t="s">
        <v>687</v>
      </c>
      <c r="L3" s="1319"/>
      <c r="M3" s="1319"/>
      <c r="N3" s="1319"/>
      <c r="O3" s="1319"/>
      <c r="P3" s="1319"/>
      <c r="Q3" s="1319"/>
      <c r="R3"/>
      <c r="S3" s="1267" t="s">
        <v>877</v>
      </c>
      <c r="T3" s="1267"/>
      <c r="U3" s="1267"/>
      <c r="V3" s="1267"/>
      <c r="W3" s="1267"/>
      <c r="X3" s="1267"/>
      <c r="Y3" s="1267"/>
      <c r="Z3" s="1267"/>
      <c r="AA3" s="1267"/>
      <c r="AB3" s="1267"/>
      <c r="AC3" s="1267"/>
      <c r="AD3" s="1267"/>
      <c r="AE3"/>
      <c r="AH3" s="641"/>
      <c r="AP3"/>
      <c r="AQ3"/>
    </row>
    <row r="4" spans="1:65" s="109" customFormat="1" ht="12.75" customHeight="1" x14ac:dyDescent="0.25">
      <c r="B4" s="1319"/>
      <c r="C4" s="1319"/>
      <c r="D4" s="1319"/>
      <c r="E4" s="1319"/>
      <c r="F4" s="1319"/>
      <c r="G4" s="1319"/>
      <c r="H4" s="1319"/>
      <c r="I4" s="1319"/>
      <c r="J4" s="642"/>
      <c r="K4" s="1319"/>
      <c r="L4" s="1319"/>
      <c r="M4" s="1319"/>
      <c r="N4" s="1319"/>
      <c r="O4" s="1319"/>
      <c r="P4" s="1319"/>
      <c r="Q4" s="1319"/>
      <c r="R4"/>
      <c r="S4" s="1267"/>
      <c r="T4" s="1267"/>
      <c r="U4" s="1267"/>
      <c r="V4" s="1267"/>
      <c r="W4" s="1267"/>
      <c r="X4" s="1267"/>
      <c r="Y4" s="1267"/>
      <c r="Z4" s="1267"/>
      <c r="AA4" s="1267"/>
      <c r="AB4" s="1267"/>
      <c r="AC4" s="1267"/>
      <c r="AD4" s="1267"/>
      <c r="AE4"/>
      <c r="AH4" s="641"/>
      <c r="AP4"/>
      <c r="AQ4"/>
    </row>
    <row r="5" spans="1:65" s="109" customFormat="1" ht="12.75" customHeight="1" x14ac:dyDescent="0.3">
      <c r="B5" s="322"/>
      <c r="C5" s="322"/>
      <c r="D5" s="428"/>
      <c r="E5" s="120"/>
      <c r="F5" s="120"/>
      <c r="G5" s="120"/>
      <c r="H5" s="120"/>
      <c r="I5" s="120"/>
      <c r="J5" s="322"/>
      <c r="K5" s="643"/>
      <c r="L5" s="644"/>
      <c r="M5" s="645"/>
      <c r="N5" s="644"/>
      <c r="O5" s="644"/>
      <c r="P5" s="644"/>
      <c r="Q5" s="645"/>
      <c r="R5"/>
      <c r="S5" s="17"/>
      <c r="T5" s="17"/>
      <c r="U5" s="17"/>
      <c r="V5" s="17"/>
      <c r="W5" s="17"/>
      <c r="X5" s="17"/>
      <c r="Y5" s="17"/>
      <c r="Z5" s="17"/>
      <c r="AA5" s="17"/>
      <c r="AB5" s="17"/>
      <c r="AC5" s="17"/>
      <c r="AD5" s="17"/>
      <c r="AE5"/>
      <c r="AH5" s="641"/>
      <c r="AP5"/>
      <c r="AQ5"/>
    </row>
    <row r="6" spans="1:65" x14ac:dyDescent="0.3">
      <c r="A6" s="131"/>
      <c r="B6" s="167" t="str">
        <f>'STANDARD COMP.'!B6</f>
        <v>CLIENT'S NAME</v>
      </c>
      <c r="C6" s="122"/>
      <c r="D6" s="310" t="s">
        <v>647</v>
      </c>
      <c r="E6" s="1305">
        <f>'STANDARD COMP.'!E6:I6</f>
        <v>0</v>
      </c>
      <c r="F6" s="1306"/>
      <c r="G6" s="1306"/>
      <c r="H6" s="1306"/>
      <c r="I6" s="1313"/>
      <c r="J6" s="223"/>
      <c r="K6" s="454" t="s">
        <v>688</v>
      </c>
      <c r="L6" s="459"/>
      <c r="M6" s="217" t="s">
        <v>647</v>
      </c>
      <c r="N6" s="1274">
        <f>E6</f>
        <v>0</v>
      </c>
      <c r="O6" s="1274"/>
      <c r="P6" s="1274"/>
      <c r="Q6" s="1274"/>
      <c r="S6" s="352" t="s">
        <v>688</v>
      </c>
      <c r="T6" s="352"/>
      <c r="U6" s="352"/>
      <c r="V6" s="352"/>
      <c r="W6" s="19" t="s">
        <v>647</v>
      </c>
      <c r="X6" s="1260">
        <f t="shared" ref="X6:X13" si="0">N6</f>
        <v>0</v>
      </c>
      <c r="Y6" s="1261"/>
      <c r="Z6" s="1261"/>
      <c r="AA6" s="1261"/>
      <c r="AB6" s="1261"/>
      <c r="AC6" s="1261"/>
      <c r="AD6" s="1262"/>
      <c r="AY6" s="648"/>
      <c r="BL6" s="649"/>
      <c r="BM6" s="650"/>
    </row>
    <row r="7" spans="1:65" x14ac:dyDescent="0.3">
      <c r="A7" s="131"/>
      <c r="B7" s="167" t="str">
        <f>'STANDARD COMP.'!B7</f>
        <v>PROJECT NAME</v>
      </c>
      <c r="C7" s="123"/>
      <c r="D7" s="310" t="s">
        <v>647</v>
      </c>
      <c r="E7" s="1305" t="str">
        <f>'STANDARD COMP.'!E7:I7</f>
        <v>WEECOMM CENTRE</v>
      </c>
      <c r="F7" s="1306"/>
      <c r="G7" s="1306"/>
      <c r="H7" s="1306"/>
      <c r="I7" s="1313"/>
      <c r="J7" s="223"/>
      <c r="K7" s="226" t="s">
        <v>646</v>
      </c>
      <c r="L7" s="234"/>
      <c r="M7" s="217" t="s">
        <v>647</v>
      </c>
      <c r="N7" s="1274" t="str">
        <f>E7</f>
        <v>WEECOMM CENTRE</v>
      </c>
      <c r="O7" s="1274"/>
      <c r="P7" s="1274"/>
      <c r="Q7" s="1274"/>
      <c r="S7" s="352" t="s">
        <v>646</v>
      </c>
      <c r="T7" s="352"/>
      <c r="U7" s="352"/>
      <c r="V7" s="352"/>
      <c r="W7" s="19" t="s">
        <v>647</v>
      </c>
      <c r="X7" s="1260" t="str">
        <f t="shared" si="0"/>
        <v>WEECOMM CENTRE</v>
      </c>
      <c r="Y7" s="1261"/>
      <c r="Z7" s="1261"/>
      <c r="AA7" s="1261"/>
      <c r="AB7" s="1261"/>
      <c r="AC7" s="1261"/>
      <c r="AD7" s="1262"/>
      <c r="AY7" s="648"/>
      <c r="BL7" s="649"/>
      <c r="BM7" s="650"/>
    </row>
    <row r="8" spans="1:65" x14ac:dyDescent="0.3">
      <c r="A8" s="131"/>
      <c r="B8" s="167" t="str">
        <f>'STANDARD COMP.'!B8</f>
        <v>UNIT NUMBER</v>
      </c>
      <c r="C8" s="123"/>
      <c r="D8" s="310" t="s">
        <v>647</v>
      </c>
      <c r="E8" s="1305" t="str">
        <f>'STANDARD COMP.'!E8:I8</f>
        <v>9G</v>
      </c>
      <c r="F8" s="1306"/>
      <c r="G8" s="1306"/>
      <c r="H8" s="1306"/>
      <c r="I8" s="1313"/>
      <c r="J8" s="223"/>
      <c r="K8" s="226" t="s">
        <v>689</v>
      </c>
      <c r="L8" s="234"/>
      <c r="M8" s="217" t="s">
        <v>647</v>
      </c>
      <c r="N8" s="1274" t="str">
        <f>E8</f>
        <v>9G</v>
      </c>
      <c r="O8" s="1274"/>
      <c r="P8" s="1274"/>
      <c r="Q8" s="1274"/>
      <c r="S8" s="352" t="s">
        <v>689</v>
      </c>
      <c r="T8" s="352"/>
      <c r="U8" s="352"/>
      <c r="V8" s="352"/>
      <c r="W8" s="19" t="s">
        <v>647</v>
      </c>
      <c r="X8" s="1260" t="str">
        <f t="shared" si="0"/>
        <v>9G</v>
      </c>
      <c r="Y8" s="1261"/>
      <c r="Z8" s="1261"/>
      <c r="AA8" s="1261"/>
      <c r="AB8" s="1261"/>
      <c r="AC8" s="1261"/>
      <c r="AD8" s="1262"/>
      <c r="AY8" s="648"/>
      <c r="BL8" s="649"/>
      <c r="BM8" s="650"/>
    </row>
    <row r="9" spans="1:65" hidden="1" x14ac:dyDescent="0.3">
      <c r="A9" s="131"/>
      <c r="B9" s="167" t="str">
        <f>'STANDARD COMP.'!B9</f>
        <v>TOWER</v>
      </c>
      <c r="C9" s="123"/>
      <c r="D9" s="310" t="s">
        <v>647</v>
      </c>
      <c r="E9" s="1305" t="str">
        <f>'STANDARD COMP.'!E9:I9</f>
        <v>NA</v>
      </c>
      <c r="F9" s="1306"/>
      <c r="G9" s="1306"/>
      <c r="H9" s="1306"/>
      <c r="I9" s="1313"/>
      <c r="J9" s="223"/>
      <c r="K9" s="226" t="s">
        <v>690</v>
      </c>
      <c r="L9" s="234"/>
      <c r="M9" s="217" t="s">
        <v>647</v>
      </c>
      <c r="N9" s="1274" t="str">
        <f>[23]FORM!I14</f>
        <v>TOWER 1</v>
      </c>
      <c r="O9" s="1274"/>
      <c r="P9" s="1314"/>
      <c r="Q9" s="1314"/>
      <c r="S9" s="352" t="s">
        <v>690</v>
      </c>
      <c r="T9" s="352"/>
      <c r="U9" s="352"/>
      <c r="V9" s="352"/>
      <c r="W9" s="19" t="s">
        <v>647</v>
      </c>
      <c r="X9" s="1260" t="str">
        <f t="shared" si="0"/>
        <v>TOWER 1</v>
      </c>
      <c r="Y9" s="1261"/>
      <c r="Z9" s="1261"/>
      <c r="AA9" s="1261"/>
      <c r="AB9" s="1261"/>
      <c r="AC9" s="1261"/>
      <c r="AD9" s="1262"/>
      <c r="AY9" s="648"/>
      <c r="BL9" s="649"/>
      <c r="BM9" s="650"/>
    </row>
    <row r="10" spans="1:65" x14ac:dyDescent="0.3">
      <c r="A10" s="131"/>
      <c r="B10" s="167" t="str">
        <f>'STANDARD COMP.'!B10</f>
        <v>UNIT TYPE</v>
      </c>
      <c r="C10" s="123"/>
      <c r="D10" s="310" t="s">
        <v>647</v>
      </c>
      <c r="E10" s="1305" t="str">
        <f>'STANDARD COMP.'!E10:I10</f>
        <v>2-BR</v>
      </c>
      <c r="F10" s="1306"/>
      <c r="G10" s="1315" t="str">
        <f>'STANDARD COMP.'!G10:I10</f>
        <v>BARE</v>
      </c>
      <c r="H10" s="1315"/>
      <c r="I10" s="1316"/>
      <c r="J10" s="223"/>
      <c r="K10" s="226" t="s">
        <v>612</v>
      </c>
      <c r="L10" s="234"/>
      <c r="M10" s="217" t="s">
        <v>647</v>
      </c>
      <c r="N10" s="1270" t="str">
        <f>E10</f>
        <v>2-BR</v>
      </c>
      <c r="O10" s="1317"/>
      <c r="P10" s="1311" t="str">
        <f>G10</f>
        <v>BARE</v>
      </c>
      <c r="Q10" s="1312"/>
      <c r="S10" s="352" t="s">
        <v>612</v>
      </c>
      <c r="T10" s="352"/>
      <c r="U10" s="352"/>
      <c r="V10" s="352"/>
      <c r="W10" s="19" t="s">
        <v>647</v>
      </c>
      <c r="X10" s="1260" t="str">
        <f t="shared" si="0"/>
        <v>2-BR</v>
      </c>
      <c r="Y10" s="1261"/>
      <c r="Z10" s="1259" t="str">
        <f>P10</f>
        <v>BARE</v>
      </c>
      <c r="AA10" s="1259"/>
      <c r="AB10" s="1259"/>
      <c r="AC10" s="1259"/>
      <c r="AD10" s="600"/>
      <c r="AY10" s="648"/>
      <c r="BL10" s="649"/>
      <c r="BM10" s="650"/>
    </row>
    <row r="11" spans="1:65" x14ac:dyDescent="0.3">
      <c r="A11" s="131"/>
      <c r="B11" s="167" t="str">
        <f>'STANDARD COMP.'!B11</f>
        <v>LIVEABLE AREA</v>
      </c>
      <c r="C11" s="123"/>
      <c r="D11" s="310" t="s">
        <v>647</v>
      </c>
      <c r="E11" s="1305">
        <f>'STANDARD COMP.'!E11:I11</f>
        <v>95.44</v>
      </c>
      <c r="F11" s="1306"/>
      <c r="G11" s="1307" t="s">
        <v>693</v>
      </c>
      <c r="H11" s="1307"/>
      <c r="I11" s="1308"/>
      <c r="J11" s="223"/>
      <c r="K11" s="226" t="s">
        <v>692</v>
      </c>
      <c r="L11" s="234"/>
      <c r="M11" s="217" t="s">
        <v>647</v>
      </c>
      <c r="N11" s="1320">
        <f>E11</f>
        <v>95.44</v>
      </c>
      <c r="O11" s="1321"/>
      <c r="P11" s="1322" t="s">
        <v>693</v>
      </c>
      <c r="Q11" s="1323"/>
      <c r="S11" s="352" t="s">
        <v>692</v>
      </c>
      <c r="T11" s="352"/>
      <c r="U11" s="352"/>
      <c r="V11" s="352"/>
      <c r="W11" s="19" t="s">
        <v>647</v>
      </c>
      <c r="X11" s="1263">
        <f t="shared" si="0"/>
        <v>95.44</v>
      </c>
      <c r="Y11" s="1264"/>
      <c r="Z11" s="360" t="s">
        <v>693</v>
      </c>
      <c r="AA11" s="360"/>
      <c r="AB11" s="361"/>
      <c r="AC11" s="361"/>
      <c r="AD11" s="362"/>
      <c r="AY11" s="648"/>
      <c r="BL11" s="649"/>
      <c r="BM11" s="650"/>
    </row>
    <row r="12" spans="1:65" x14ac:dyDescent="0.3">
      <c r="A12" s="131"/>
      <c r="B12" s="167" t="str">
        <f>'STANDARD COMP.'!B12</f>
        <v>BALCONY AREA</v>
      </c>
      <c r="C12" s="123"/>
      <c r="D12" s="310" t="s">
        <v>647</v>
      </c>
      <c r="E12" s="1305">
        <f>'STANDARD COMP.'!E12:I12</f>
        <v>13.34</v>
      </c>
      <c r="F12" s="1306"/>
      <c r="G12" s="1307" t="s">
        <v>693</v>
      </c>
      <c r="H12" s="1307"/>
      <c r="I12" s="1308"/>
      <c r="J12" s="223"/>
      <c r="K12" s="234" t="s">
        <v>694</v>
      </c>
      <c r="L12" s="234"/>
      <c r="M12" s="217" t="s">
        <v>647</v>
      </c>
      <c r="N12" s="1309">
        <f>E12</f>
        <v>13.34</v>
      </c>
      <c r="O12" s="1310"/>
      <c r="P12" s="1311" t="s">
        <v>693</v>
      </c>
      <c r="Q12" s="1312"/>
      <c r="S12" s="352" t="s">
        <v>694</v>
      </c>
      <c r="T12" s="352"/>
      <c r="U12" s="352"/>
      <c r="V12" s="352"/>
      <c r="W12" s="19" t="s">
        <v>647</v>
      </c>
      <c r="X12" s="1263">
        <f t="shared" si="0"/>
        <v>13.34</v>
      </c>
      <c r="Y12" s="1264"/>
      <c r="Z12" s="360" t="s">
        <v>693</v>
      </c>
      <c r="AA12" s="360"/>
      <c r="AB12" s="361"/>
      <c r="AC12" s="361"/>
      <c r="AD12" s="362"/>
      <c r="AY12" s="648"/>
      <c r="BL12" s="649"/>
      <c r="BM12" s="650"/>
    </row>
    <row r="13" spans="1:65" x14ac:dyDescent="0.3">
      <c r="A13" s="131"/>
      <c r="B13" s="167" t="str">
        <f>'STANDARD COMP.'!B13</f>
        <v>GROSS AREA</v>
      </c>
      <c r="C13" s="129"/>
      <c r="D13" s="310" t="s">
        <v>647</v>
      </c>
      <c r="E13" s="1305">
        <f>'STANDARD COMP.'!E13:I13</f>
        <v>108.78</v>
      </c>
      <c r="F13" s="1306"/>
      <c r="G13" s="1307" t="s">
        <v>693</v>
      </c>
      <c r="H13" s="1307"/>
      <c r="I13" s="1308"/>
      <c r="J13" s="223"/>
      <c r="K13" s="475" t="s">
        <v>695</v>
      </c>
      <c r="L13" s="182"/>
      <c r="M13" s="217" t="s">
        <v>647</v>
      </c>
      <c r="N13" s="1309">
        <f>E13</f>
        <v>108.78</v>
      </c>
      <c r="O13" s="1310"/>
      <c r="P13" s="1311" t="s">
        <v>693</v>
      </c>
      <c r="Q13" s="1312"/>
      <c r="S13" s="352" t="s">
        <v>695</v>
      </c>
      <c r="T13" s="352"/>
      <c r="U13" s="352"/>
      <c r="V13" s="352"/>
      <c r="W13" s="19" t="s">
        <v>647</v>
      </c>
      <c r="X13" s="1263">
        <f t="shared" si="0"/>
        <v>108.78</v>
      </c>
      <c r="Y13" s="1264"/>
      <c r="Z13" s="360" t="s">
        <v>693</v>
      </c>
      <c r="AA13" s="360"/>
      <c r="AB13" s="361"/>
      <c r="AC13" s="361"/>
      <c r="AD13" s="362"/>
      <c r="AY13" s="648"/>
      <c r="BL13" s="649"/>
      <c r="BM13" s="650"/>
    </row>
    <row r="14" spans="1:65" x14ac:dyDescent="0.3">
      <c r="A14" s="130"/>
      <c r="B14" s="124"/>
      <c r="C14" s="124"/>
      <c r="D14" s="310"/>
      <c r="E14" s="124"/>
      <c r="F14" s="124"/>
      <c r="G14" s="124"/>
      <c r="H14" s="124"/>
      <c r="I14" s="124" t="s">
        <v>660</v>
      </c>
      <c r="S14" s="12"/>
      <c r="T14" s="12"/>
      <c r="U14" s="12"/>
      <c r="V14" s="12"/>
      <c r="W14" s="12"/>
      <c r="X14" s="12"/>
      <c r="Y14" s="12"/>
      <c r="Z14" s="12"/>
      <c r="AA14" s="12"/>
      <c r="AB14" s="12"/>
      <c r="AC14" s="12"/>
      <c r="AD14" s="12"/>
    </row>
    <row r="15" spans="1:65" x14ac:dyDescent="0.3">
      <c r="A15" s="130"/>
      <c r="B15" s="309" t="s">
        <v>696</v>
      </c>
      <c r="C15" s="122"/>
      <c r="D15" s="147" t="s">
        <v>647</v>
      </c>
      <c r="E15" s="651"/>
      <c r="F15" s="1290">
        <f>'STANDARD COMP.'!F15:I15</f>
        <v>20466686.730335645</v>
      </c>
      <c r="G15" s="1290"/>
      <c r="H15" s="1290"/>
      <c r="I15" s="1291"/>
      <c r="J15" s="263"/>
      <c r="K15" s="1116" t="s">
        <v>697</v>
      </c>
      <c r="L15" s="1116"/>
      <c r="M15" s="1168" t="s">
        <v>698</v>
      </c>
      <c r="N15" s="1116" t="s">
        <v>699</v>
      </c>
      <c r="O15" s="1116"/>
      <c r="P15" s="1108" t="s">
        <v>639</v>
      </c>
      <c r="Q15" s="1109"/>
      <c r="S15" s="1254" t="s">
        <v>878</v>
      </c>
      <c r="T15" s="1255"/>
      <c r="U15" s="1255"/>
      <c r="V15" s="1255"/>
      <c r="W15" s="1255"/>
      <c r="X15" s="1255"/>
      <c r="Y15" s="1255"/>
      <c r="Z15" s="1255"/>
      <c r="AA15" s="1255"/>
      <c r="AB15" s="1255"/>
      <c r="AC15" s="1255"/>
      <c r="AD15" s="1256"/>
    </row>
    <row r="16" spans="1:65" s="263" customFormat="1" x14ac:dyDescent="0.3">
      <c r="A16" s="6"/>
      <c r="B16" s="308" t="s">
        <v>700</v>
      </c>
      <c r="C16" s="127"/>
      <c r="D16" s="310" t="s">
        <v>647</v>
      </c>
      <c r="E16" s="983"/>
      <c r="F16" s="1290">
        <f>'STANDARD COMP.'!F16:I16</f>
        <v>0</v>
      </c>
      <c r="G16" s="1290"/>
      <c r="H16" s="1290"/>
      <c r="I16" s="1291"/>
      <c r="J16" s="5"/>
      <c r="K16" s="1116"/>
      <c r="L16" s="1116"/>
      <c r="M16" s="1168"/>
      <c r="N16" s="1116"/>
      <c r="O16" s="1116"/>
      <c r="P16" s="1110"/>
      <c r="Q16" s="1111"/>
      <c r="R16"/>
      <c r="S16" s="369" t="s">
        <v>879</v>
      </c>
      <c r="T16" s="370"/>
      <c r="U16" s="371"/>
      <c r="V16" s="371"/>
      <c r="W16" s="371"/>
      <c r="X16" s="370" t="s">
        <v>880</v>
      </c>
      <c r="Y16" s="371"/>
      <c r="Z16" s="371"/>
      <c r="AA16" s="371"/>
      <c r="AB16" s="371"/>
      <c r="AC16" s="371"/>
      <c r="AD16" s="372"/>
      <c r="AE16"/>
      <c r="AH16" s="652"/>
      <c r="AI16" s="263">
        <f>SUM(F30:F32)</f>
        <v>8</v>
      </c>
      <c r="AJ16" s="653"/>
      <c r="AK16" s="653"/>
      <c r="AP16"/>
      <c r="AQ16"/>
    </row>
    <row r="17" spans="1:43" s="21" customFormat="1" ht="15.75" x14ac:dyDescent="0.3">
      <c r="B17" s="289" t="s">
        <v>701</v>
      </c>
      <c r="C17" s="129"/>
      <c r="D17" s="147" t="s">
        <v>647</v>
      </c>
      <c r="E17" s="654"/>
      <c r="F17" s="1289">
        <f>F15-F16</f>
        <v>20466686.730335645</v>
      </c>
      <c r="G17" s="1290"/>
      <c r="H17" s="1290"/>
      <c r="I17" s="1291"/>
      <c r="J17" s="655"/>
      <c r="K17" s="1274" t="s">
        <v>624</v>
      </c>
      <c r="L17" s="1274"/>
      <c r="M17" s="656">
        <f>C1</f>
        <v>45870</v>
      </c>
      <c r="N17" s="1301">
        <f>F26</f>
        <v>50000</v>
      </c>
      <c r="O17" s="1301"/>
      <c r="P17" s="1270"/>
      <c r="Q17" s="1271"/>
      <c r="R17"/>
      <c r="S17" s="376"/>
      <c r="T17" s="377"/>
      <c r="U17" s="377"/>
      <c r="V17" s="377"/>
      <c r="W17" s="377"/>
      <c r="X17" s="377"/>
      <c r="Y17" s="377"/>
      <c r="Z17" s="377"/>
      <c r="AA17" s="377"/>
      <c r="AB17" s="377"/>
      <c r="AC17" s="377"/>
      <c r="AD17" s="378"/>
      <c r="AE17"/>
      <c r="AF17" s="1302" t="s">
        <v>881</v>
      </c>
      <c r="AG17" s="1303"/>
      <c r="AH17" s="657">
        <f>C1</f>
        <v>45870</v>
      </c>
      <c r="AI17" s="658">
        <f>EDATE(AH17,AI16)</f>
        <v>46113</v>
      </c>
      <c r="AJ17" s="90"/>
      <c r="AK17" s="90"/>
      <c r="AP17"/>
      <c r="AQ17"/>
    </row>
    <row r="18" spans="1:43" s="655" customFormat="1" ht="15.75" x14ac:dyDescent="0.3">
      <c r="B18" s="134"/>
      <c r="C18" s="124"/>
      <c r="D18" s="310"/>
      <c r="E18" s="126"/>
      <c r="F18" s="659"/>
      <c r="G18" s="659"/>
      <c r="H18" s="659"/>
      <c r="I18" s="606"/>
      <c r="J18" s="21"/>
      <c r="K18" s="1274" t="s">
        <v>882</v>
      </c>
      <c r="L18" s="1274"/>
      <c r="M18" s="467">
        <f>IF(N18&gt;1,AH18,"")</f>
        <v>45905</v>
      </c>
      <c r="N18" s="1304">
        <f>G30</f>
        <v>244693.57811009488</v>
      </c>
      <c r="O18" s="1304"/>
      <c r="P18" s="1270"/>
      <c r="Q18" s="1271"/>
      <c r="R18"/>
      <c r="S18" s="382"/>
      <c r="T18" s="375"/>
      <c r="U18" s="375"/>
      <c r="V18" s="375"/>
      <c r="W18" s="383" t="s">
        <v>883</v>
      </c>
      <c r="X18" s="433"/>
      <c r="Y18" s="433"/>
      <c r="Z18" s="433"/>
      <c r="AA18" s="433"/>
      <c r="AB18" s="433"/>
      <c r="AC18" s="433"/>
      <c r="AD18" s="384"/>
      <c r="AE18"/>
      <c r="AF18" s="1270" t="s">
        <v>882</v>
      </c>
      <c r="AG18" s="1271"/>
      <c r="AH18" s="660">
        <f>IF(DAY(AH17)=31,AJ21,AL21)</f>
        <v>45905</v>
      </c>
      <c r="AJ18" s="278"/>
      <c r="AK18" s="278"/>
      <c r="AP18"/>
      <c r="AQ18"/>
    </row>
    <row r="19" spans="1:43" s="21" customFormat="1" ht="15.75" x14ac:dyDescent="0.3">
      <c r="B19" s="127" t="s">
        <v>619</v>
      </c>
      <c r="C19" s="127"/>
      <c r="D19" s="310" t="s">
        <v>647</v>
      </c>
      <c r="E19" s="661">
        <v>0.12</v>
      </c>
      <c r="F19" s="1294">
        <f>IF(F17&lt;=PriceLink_Fitted!P11,"",E19*F17)</f>
        <v>2456002.4076402774</v>
      </c>
      <c r="G19" s="1295"/>
      <c r="H19" s="1295"/>
      <c r="I19" s="1296"/>
      <c r="K19" s="1274" t="s">
        <v>884</v>
      </c>
      <c r="L19" s="1274"/>
      <c r="M19" s="467">
        <f t="shared" ref="M19:M42" si="1">IF(N19&gt;1,AH19,"")</f>
        <v>45935</v>
      </c>
      <c r="N19" s="1268">
        <f>N18</f>
        <v>244693.57811009488</v>
      </c>
      <c r="O19" s="1269"/>
      <c r="P19" s="1270"/>
      <c r="Q19" s="1271"/>
      <c r="R19"/>
      <c r="S19" s="382"/>
      <c r="T19" s="375"/>
      <c r="U19" s="375"/>
      <c r="V19" s="375"/>
      <c r="W19" s="383"/>
      <c r="X19" s="431"/>
      <c r="Y19" s="431"/>
      <c r="Z19" s="431"/>
      <c r="AA19" s="431"/>
      <c r="AB19" s="433"/>
      <c r="AC19" s="431"/>
      <c r="AD19" s="384"/>
      <c r="AE19"/>
      <c r="AF19" s="1270" t="s">
        <v>705</v>
      </c>
      <c r="AG19" s="1271"/>
      <c r="AH19" s="662">
        <f t="shared" ref="AH19:AH59" si="2">IF(AND(DAY(AH18)&gt;=6,DAY(AH18)&lt;=20),DATE(YEAR(AH18),MONTH(AH18)+1,DAY(20)),IF(AND(DAY(AH18)&gt;=21,DAY(AH18)&lt;=30),DATE(YEAR(AH18),MONTH(AH18)+1,IF(DAY(EOMONTH(AH18,1))&lt;30,DAY(EOMONTH(AH18,1)),DAY(30))),DATE(YEAR(AH18),MONTH(AH18)+1,DAY(5))))</f>
        <v>45935</v>
      </c>
      <c r="AJ19" s="1105" t="s">
        <v>703</v>
      </c>
      <c r="AK19" s="1105"/>
      <c r="AP19"/>
      <c r="AQ19"/>
    </row>
    <row r="20" spans="1:43" s="21" customFormat="1" ht="15.75" x14ac:dyDescent="0.3">
      <c r="B20" s="121" t="s">
        <v>704</v>
      </c>
      <c r="C20" s="139"/>
      <c r="D20" s="310" t="s">
        <v>647</v>
      </c>
      <c r="E20" s="663">
        <v>0.1</v>
      </c>
      <c r="F20" s="1299">
        <f>E20*F15</f>
        <v>2046668.6730335646</v>
      </c>
      <c r="G20" s="1299"/>
      <c r="H20" s="1299"/>
      <c r="I20" s="1300"/>
      <c r="K20" s="1274" t="s">
        <v>707</v>
      </c>
      <c r="L20" s="1274"/>
      <c r="M20" s="467">
        <f t="shared" si="1"/>
        <v>45966</v>
      </c>
      <c r="N20" s="1268">
        <f t="shared" ref="N20:N42" si="3">N19</f>
        <v>244693.57811009488</v>
      </c>
      <c r="O20" s="1269"/>
      <c r="P20" s="1270"/>
      <c r="Q20" s="1271"/>
      <c r="R20"/>
      <c r="S20" s="382"/>
      <c r="T20" s="1257"/>
      <c r="U20" s="1257"/>
      <c r="V20" s="375"/>
      <c r="W20" s="375" t="s">
        <v>885</v>
      </c>
      <c r="X20" s="433"/>
      <c r="Y20" s="433"/>
      <c r="Z20" s="433"/>
      <c r="AA20" s="433"/>
      <c r="AB20" s="433"/>
      <c r="AC20" s="433"/>
      <c r="AD20" s="384"/>
      <c r="AE20"/>
      <c r="AF20" s="1270" t="s">
        <v>707</v>
      </c>
      <c r="AG20" s="1271"/>
      <c r="AH20" s="662">
        <f t="shared" si="2"/>
        <v>45966</v>
      </c>
      <c r="AI20" s="62" t="s">
        <v>706</v>
      </c>
      <c r="AJ20" s="1106" t="b">
        <f>IF(DAY(AH17)=31,DATE(YEAR(AI17),MONTH(AI17)+2,DAY(5)))</f>
        <v>0</v>
      </c>
      <c r="AK20" s="1107"/>
      <c r="AL20" s="664">
        <f>IF(AND(DAY(AI17)&gt;=6,DAY(AI17)&lt;=20),DATE(YEAR(AI17),MONTH(AI17)+1,DAY(20)),IF(AND(DAY(AI17)&gt;=21,DAY(AI17)&lt;=31),DATE(YEAR(AI17),MONTH(AI17)+1,IF(DAY(EOMONTH(AI17,1))&lt;30,DAY(EOMONTH(AI17,1)),DAY(30))),DATE(YEAR(AI17),MONTH(AI17)+1,DAY(5))))</f>
        <v>46147</v>
      </c>
      <c r="AP20"/>
      <c r="AQ20"/>
    </row>
    <row r="21" spans="1:43" s="21" customFormat="1" ht="15.75" x14ac:dyDescent="0.3">
      <c r="B21" s="134"/>
      <c r="C21" s="124"/>
      <c r="D21" s="310"/>
      <c r="E21" s="665"/>
      <c r="F21" s="666"/>
      <c r="G21" s="667"/>
      <c r="H21" s="667"/>
      <c r="I21" s="128"/>
      <c r="K21" s="1274" t="s">
        <v>709</v>
      </c>
      <c r="L21" s="1274"/>
      <c r="M21" s="467">
        <f t="shared" si="1"/>
        <v>45996</v>
      </c>
      <c r="N21" s="1268">
        <f t="shared" si="3"/>
        <v>244693.57811009488</v>
      </c>
      <c r="O21" s="1269"/>
      <c r="P21" s="1270"/>
      <c r="Q21" s="1271"/>
      <c r="R21"/>
      <c r="S21" s="389"/>
      <c r="T21" s="1258" t="s">
        <v>886</v>
      </c>
      <c r="U21" s="1258"/>
      <c r="V21" s="390"/>
      <c r="W21" s="13"/>
      <c r="X21" s="406" t="s">
        <v>660</v>
      </c>
      <c r="Y21" s="406"/>
      <c r="Z21" s="406"/>
      <c r="AA21" s="406"/>
      <c r="AB21" s="375"/>
      <c r="AC21" s="375"/>
      <c r="AD21" s="392"/>
      <c r="AE21"/>
      <c r="AF21" s="1270" t="s">
        <v>709</v>
      </c>
      <c r="AG21" s="1271"/>
      <c r="AH21" s="662">
        <f t="shared" si="2"/>
        <v>45996</v>
      </c>
      <c r="AI21" s="62" t="s">
        <v>708</v>
      </c>
      <c r="AJ21" s="1106" t="b">
        <f>IF(DAY(AH17)=31,DATE(YEAR(AH17),MONTH(AH17)+2,DAY(5)))</f>
        <v>0</v>
      </c>
      <c r="AK21" s="1107"/>
      <c r="AL21" s="664">
        <f>IF(AND(DAY(AH17)&gt;=6,DAY(AH17)&lt;=20),DATE(YEAR(AH17),MONTH(AH17)+1,DAY(20)),IF(AND(DAY(AH17)&gt;=21,DAY(AH17)&lt;=30),DATE(YEAR(AH17),MONTH(AH17)+1,IF(DAY(EOMONTH(AH17,1))&lt;31,DAY(EOMONTH(AH17,1)),DAY(30))),DATE(YEAR(AH17),MONTH(AH17)+1,DAY(5))))</f>
        <v>45905</v>
      </c>
      <c r="AP21"/>
      <c r="AQ21"/>
    </row>
    <row r="22" spans="1:43" s="21" customFormat="1" ht="15.75" x14ac:dyDescent="0.3">
      <c r="B22" s="289" t="s">
        <v>621</v>
      </c>
      <c r="C22" s="129"/>
      <c r="D22" s="147" t="s">
        <v>647</v>
      </c>
      <c r="E22" s="668"/>
      <c r="F22" s="1297">
        <f>SUM(F17:H21)</f>
        <v>24969357.811009489</v>
      </c>
      <c r="G22" s="1297"/>
      <c r="H22" s="1297"/>
      <c r="I22" s="1298"/>
      <c r="K22" s="1274" t="s">
        <v>710</v>
      </c>
      <c r="L22" s="1274"/>
      <c r="M22" s="467">
        <f t="shared" si="1"/>
        <v>46027</v>
      </c>
      <c r="N22" s="1268">
        <f t="shared" si="3"/>
        <v>244693.57811009488</v>
      </c>
      <c r="O22" s="1269"/>
      <c r="P22" s="1270"/>
      <c r="Q22" s="1271"/>
      <c r="R22"/>
      <c r="S22" s="396" t="s">
        <v>887</v>
      </c>
      <c r="T22" s="397"/>
      <c r="U22" s="398"/>
      <c r="V22" s="398"/>
      <c r="W22" s="399"/>
      <c r="X22" s="400" t="s">
        <v>880</v>
      </c>
      <c r="Y22" s="399"/>
      <c r="Z22" s="399"/>
      <c r="AA22" s="399"/>
      <c r="AB22" s="399"/>
      <c r="AC22" s="399"/>
      <c r="AD22" s="401"/>
      <c r="AE22"/>
      <c r="AF22" s="1270" t="s">
        <v>710</v>
      </c>
      <c r="AG22" s="1271"/>
      <c r="AH22" s="662">
        <f t="shared" si="2"/>
        <v>46027</v>
      </c>
      <c r="AJ22" s="1105"/>
      <c r="AK22" s="1105"/>
      <c r="AP22"/>
      <c r="AQ22"/>
    </row>
    <row r="23" spans="1:43" s="21" customFormat="1" ht="15.75" x14ac:dyDescent="0.3">
      <c r="A23" s="655"/>
      <c r="B23" s="134"/>
      <c r="C23" s="124"/>
      <c r="D23" s="310"/>
      <c r="E23" s="310"/>
      <c r="F23" s="135"/>
      <c r="G23" s="135"/>
      <c r="H23" s="135"/>
      <c r="I23" s="124"/>
      <c r="J23" s="655"/>
      <c r="K23" s="1274" t="s">
        <v>711</v>
      </c>
      <c r="L23" s="1274"/>
      <c r="M23" s="467">
        <f t="shared" si="1"/>
        <v>46058</v>
      </c>
      <c r="N23" s="1268">
        <f t="shared" si="3"/>
        <v>244693.57811009488</v>
      </c>
      <c r="O23" s="1269"/>
      <c r="P23" s="1270"/>
      <c r="Q23" s="1271"/>
      <c r="R23"/>
      <c r="S23" s="382"/>
      <c r="T23" s="375"/>
      <c r="U23" s="375"/>
      <c r="V23" s="375"/>
      <c r="W23" s="375"/>
      <c r="X23" s="432"/>
      <c r="Y23" s="432"/>
      <c r="Z23" s="432"/>
      <c r="AA23" s="432"/>
      <c r="AB23" s="432"/>
      <c r="AC23" s="432"/>
      <c r="AD23" s="384"/>
      <c r="AE23"/>
      <c r="AF23" s="1270" t="s">
        <v>711</v>
      </c>
      <c r="AG23" s="1271"/>
      <c r="AH23" s="662">
        <f t="shared" si="2"/>
        <v>46058</v>
      </c>
      <c r="AJ23" s="1105"/>
      <c r="AK23" s="1105"/>
      <c r="AP23"/>
      <c r="AQ23"/>
    </row>
    <row r="24" spans="1:43" s="655" customFormat="1" ht="15.75" x14ac:dyDescent="0.3">
      <c r="A24" s="21"/>
      <c r="B24" s="289" t="s">
        <v>712</v>
      </c>
      <c r="C24" s="122"/>
      <c r="D24" s="147" t="s">
        <v>647</v>
      </c>
      <c r="E24" s="404">
        <v>0.1</v>
      </c>
      <c r="F24" s="1289">
        <f>F22*E24</f>
        <v>2496935.7811009488</v>
      </c>
      <c r="G24" s="1290"/>
      <c r="H24" s="1290"/>
      <c r="I24" s="1291"/>
      <c r="J24" s="21"/>
      <c r="K24" s="1274" t="s">
        <v>713</v>
      </c>
      <c r="L24" s="1274"/>
      <c r="M24" s="467">
        <f t="shared" si="1"/>
        <v>46086</v>
      </c>
      <c r="N24" s="1268">
        <f>G31</f>
        <v>285475.84112844401</v>
      </c>
      <c r="O24" s="1269"/>
      <c r="P24" s="1270"/>
      <c r="Q24" s="1271"/>
      <c r="R24"/>
      <c r="S24" s="382"/>
      <c r="T24" s="375"/>
      <c r="U24" s="375"/>
      <c r="V24" s="375"/>
      <c r="W24" s="383" t="s">
        <v>883</v>
      </c>
      <c r="X24" s="433"/>
      <c r="Y24" s="433"/>
      <c r="Z24" s="433"/>
      <c r="AA24" s="433"/>
      <c r="AB24" s="433"/>
      <c r="AC24" s="433"/>
      <c r="AD24" s="384"/>
      <c r="AE24"/>
      <c r="AF24" s="1270" t="s">
        <v>713</v>
      </c>
      <c r="AG24" s="1271"/>
      <c r="AH24" s="662">
        <f t="shared" si="2"/>
        <v>46086</v>
      </c>
      <c r="AJ24" s="1105"/>
      <c r="AK24" s="1105"/>
      <c r="AP24"/>
      <c r="AQ24"/>
    </row>
    <row r="25" spans="1:43" s="21" customFormat="1" ht="15.75" x14ac:dyDescent="0.3">
      <c r="B25" s="308" t="s">
        <v>888</v>
      </c>
      <c r="C25" s="122"/>
      <c r="D25" s="310" t="s">
        <v>647</v>
      </c>
      <c r="E25" s="661"/>
      <c r="F25" s="1294">
        <f>'STANDARD COMP.'!F25</f>
        <v>0</v>
      </c>
      <c r="G25" s="1295"/>
      <c r="H25" s="1295"/>
      <c r="I25" s="1296"/>
      <c r="K25" s="1274" t="s">
        <v>715</v>
      </c>
      <c r="L25" s="1274"/>
      <c r="M25" s="467">
        <f t="shared" si="1"/>
        <v>46117</v>
      </c>
      <c r="N25" s="1268">
        <f>G31</f>
        <v>285475.84112844401</v>
      </c>
      <c r="O25" s="1269"/>
      <c r="P25" s="1270"/>
      <c r="Q25" s="1271"/>
      <c r="R25"/>
      <c r="S25" s="389"/>
      <c r="T25" s="13"/>
      <c r="U25" s="13"/>
      <c r="V25" s="13"/>
      <c r="W25" s="383"/>
      <c r="X25" s="433"/>
      <c r="Y25" s="433"/>
      <c r="Z25" s="433"/>
      <c r="AA25" s="433"/>
      <c r="AB25" s="433"/>
      <c r="AC25" s="433"/>
      <c r="AD25" s="392"/>
      <c r="AE25"/>
      <c r="AF25" s="1270" t="s">
        <v>715</v>
      </c>
      <c r="AG25" s="1271"/>
      <c r="AH25" s="662">
        <f t="shared" si="2"/>
        <v>46117</v>
      </c>
      <c r="AJ25" s="1105"/>
      <c r="AK25" s="1105"/>
      <c r="AP25"/>
      <c r="AQ25"/>
    </row>
    <row r="26" spans="1:43" s="21" customFormat="1" ht="15.75" x14ac:dyDescent="0.3">
      <c r="A26" s="655"/>
      <c r="B26" s="308" t="s">
        <v>716</v>
      </c>
      <c r="C26" s="127"/>
      <c r="D26" s="310" t="s">
        <v>647</v>
      </c>
      <c r="E26" s="670"/>
      <c r="F26" s="1294">
        <f>'STANDARD COMP.'!F26</f>
        <v>50000</v>
      </c>
      <c r="G26" s="1295"/>
      <c r="H26" s="1295"/>
      <c r="I26" s="1296"/>
      <c r="J26" s="655"/>
      <c r="K26" s="1274" t="s">
        <v>717</v>
      </c>
      <c r="L26" s="1274"/>
      <c r="M26" s="467">
        <f t="shared" si="1"/>
        <v>46147</v>
      </c>
      <c r="N26" s="1268">
        <f>G31</f>
        <v>285475.84112844401</v>
      </c>
      <c r="O26" s="1269"/>
      <c r="P26" s="1270"/>
      <c r="Q26" s="1271"/>
      <c r="R26"/>
      <c r="S26" s="382"/>
      <c r="T26" s="1257"/>
      <c r="U26" s="1257"/>
      <c r="V26" s="375"/>
      <c r="W26" s="375" t="s">
        <v>885</v>
      </c>
      <c r="X26" s="433"/>
      <c r="Y26" s="433"/>
      <c r="Z26" s="433"/>
      <c r="AA26" s="433"/>
      <c r="AB26" s="433"/>
      <c r="AC26" s="433"/>
      <c r="AD26" s="384"/>
      <c r="AE26"/>
      <c r="AF26" s="1270" t="s">
        <v>717</v>
      </c>
      <c r="AG26" s="1271"/>
      <c r="AH26" s="662">
        <f t="shared" si="2"/>
        <v>46147</v>
      </c>
      <c r="AJ26" s="1105"/>
      <c r="AK26" s="1105"/>
      <c r="AP26"/>
      <c r="AQ26"/>
    </row>
    <row r="27" spans="1:43" s="655" customFormat="1" ht="15.75" x14ac:dyDescent="0.3">
      <c r="B27" s="289" t="s">
        <v>889</v>
      </c>
      <c r="C27" s="129"/>
      <c r="D27" s="147" t="s">
        <v>647</v>
      </c>
      <c r="E27" s="671"/>
      <c r="F27" s="1289">
        <f>F24-(F25+F26)</f>
        <v>2446935.7811009488</v>
      </c>
      <c r="G27" s="1290"/>
      <c r="H27" s="1290"/>
      <c r="I27" s="1291"/>
      <c r="J27" s="672"/>
      <c r="K27" s="1274" t="s">
        <v>719</v>
      </c>
      <c r="L27" s="1274"/>
      <c r="M27" s="467">
        <f t="shared" si="1"/>
        <v>46178</v>
      </c>
      <c r="N27" s="1268">
        <f>G31</f>
        <v>285475.84112844401</v>
      </c>
      <c r="O27" s="1269"/>
      <c r="P27" s="1270"/>
      <c r="Q27" s="1271"/>
      <c r="R27"/>
      <c r="S27" s="405"/>
      <c r="T27" s="1258" t="s">
        <v>890</v>
      </c>
      <c r="U27" s="1258"/>
      <c r="V27" s="20"/>
      <c r="W27" s="406"/>
      <c r="X27" s="391"/>
      <c r="Y27" s="391"/>
      <c r="Z27" s="391"/>
      <c r="AA27" s="391"/>
      <c r="AB27" s="406"/>
      <c r="AC27" s="406"/>
      <c r="AD27" s="407"/>
      <c r="AE27"/>
      <c r="AF27" s="1270" t="s">
        <v>719</v>
      </c>
      <c r="AG27" s="1271"/>
      <c r="AH27" s="662">
        <f t="shared" si="2"/>
        <v>46178</v>
      </c>
      <c r="AJ27" s="1105"/>
      <c r="AK27" s="1105"/>
      <c r="AP27"/>
      <c r="AQ27"/>
    </row>
    <row r="28" spans="1:43" s="655" customFormat="1" ht="15.75" x14ac:dyDescent="0.3">
      <c r="B28" s="134"/>
      <c r="C28" s="124"/>
      <c r="D28" s="310"/>
      <c r="E28" s="310"/>
      <c r="F28" s="135"/>
      <c r="G28" s="135"/>
      <c r="H28" s="135"/>
      <c r="I28" s="125"/>
      <c r="K28" s="1274" t="s">
        <v>720</v>
      </c>
      <c r="L28" s="1274"/>
      <c r="M28" s="467">
        <f t="shared" si="1"/>
        <v>46208</v>
      </c>
      <c r="N28" s="1268">
        <f>G31</f>
        <v>285475.84112844401</v>
      </c>
      <c r="O28" s="1269"/>
      <c r="P28" s="1270"/>
      <c r="Q28" s="1271"/>
      <c r="R28"/>
      <c r="S28" s="396" t="s">
        <v>887</v>
      </c>
      <c r="T28" s="397"/>
      <c r="U28" s="398"/>
      <c r="V28" s="398"/>
      <c r="W28" s="399"/>
      <c r="X28" s="400" t="s">
        <v>880</v>
      </c>
      <c r="Y28" s="399"/>
      <c r="Z28" s="399"/>
      <c r="AA28" s="399"/>
      <c r="AB28" s="399"/>
      <c r="AC28" s="399"/>
      <c r="AD28" s="401"/>
      <c r="AE28"/>
      <c r="AF28" s="1270" t="s">
        <v>720</v>
      </c>
      <c r="AG28" s="1271"/>
      <c r="AH28" s="662">
        <f t="shared" si="2"/>
        <v>46208</v>
      </c>
      <c r="AJ28" s="1105"/>
      <c r="AK28" s="1105"/>
      <c r="AP28"/>
      <c r="AQ28"/>
    </row>
    <row r="29" spans="1:43" s="655" customFormat="1" ht="15.75" x14ac:dyDescent="0.3">
      <c r="A29" s="21"/>
      <c r="B29" s="1292" t="s">
        <v>891</v>
      </c>
      <c r="C29" s="1292"/>
      <c r="D29" s="147"/>
      <c r="E29" s="673" t="s">
        <v>677</v>
      </c>
      <c r="F29" s="674" t="s">
        <v>676</v>
      </c>
      <c r="G29" s="1293" t="s">
        <v>892</v>
      </c>
      <c r="H29" s="1293"/>
      <c r="I29" s="1293"/>
      <c r="J29" s="21"/>
      <c r="K29" s="1274" t="s">
        <v>722</v>
      </c>
      <c r="L29" s="1274"/>
      <c r="M29" s="467">
        <f t="shared" si="1"/>
        <v>46239</v>
      </c>
      <c r="N29" s="1268">
        <f t="shared" si="3"/>
        <v>285475.84112844401</v>
      </c>
      <c r="O29" s="1269"/>
      <c r="P29" s="1270"/>
      <c r="Q29" s="1271"/>
      <c r="R29"/>
      <c r="S29" s="382"/>
      <c r="T29" s="375"/>
      <c r="U29" s="375"/>
      <c r="V29" s="375"/>
      <c r="W29" s="375"/>
      <c r="X29" s="432"/>
      <c r="Y29" s="432"/>
      <c r="Z29" s="432"/>
      <c r="AA29" s="432"/>
      <c r="AB29" s="432"/>
      <c r="AC29" s="432"/>
      <c r="AD29" s="384"/>
      <c r="AE29"/>
      <c r="AF29" s="1270" t="s">
        <v>722</v>
      </c>
      <c r="AG29" s="1271"/>
      <c r="AH29" s="662">
        <f t="shared" si="2"/>
        <v>46239</v>
      </c>
      <c r="AJ29" s="1105"/>
      <c r="AK29" s="1105"/>
      <c r="AP29"/>
      <c r="AQ29"/>
    </row>
    <row r="30" spans="1:43" s="21" customFormat="1" ht="15.75" x14ac:dyDescent="0.3">
      <c r="A30" s="655"/>
      <c r="B30" s="1287">
        <f>FORM!H40</f>
        <v>0</v>
      </c>
      <c r="C30" s="1287"/>
      <c r="D30" s="147" t="s">
        <v>647</v>
      </c>
      <c r="E30" s="877">
        <v>0.2</v>
      </c>
      <c r="F30" s="676">
        <f>FORM!M40</f>
        <v>2</v>
      </c>
      <c r="G30" s="1288">
        <f>F27*E30/F30</f>
        <v>244693.57811009488</v>
      </c>
      <c r="H30" s="1288"/>
      <c r="I30" s="1288"/>
      <c r="J30" s="655"/>
      <c r="K30" s="1274" t="s">
        <v>723</v>
      </c>
      <c r="L30" s="1274"/>
      <c r="M30" s="467">
        <f t="shared" si="1"/>
        <v>46270</v>
      </c>
      <c r="N30" s="1268">
        <f>G32</f>
        <v>367040.36716514238</v>
      </c>
      <c r="O30" s="1269"/>
      <c r="P30" s="1270"/>
      <c r="Q30" s="1271"/>
      <c r="R30"/>
      <c r="S30" s="382"/>
      <c r="T30" s="375"/>
      <c r="U30" s="375"/>
      <c r="V30" s="375"/>
      <c r="W30" s="383" t="s">
        <v>883</v>
      </c>
      <c r="X30" s="433"/>
      <c r="Y30" s="433"/>
      <c r="Z30" s="433"/>
      <c r="AA30" s="433"/>
      <c r="AB30" s="433"/>
      <c r="AC30" s="433"/>
      <c r="AD30" s="384"/>
      <c r="AE30"/>
      <c r="AF30" s="1270" t="s">
        <v>723</v>
      </c>
      <c r="AG30" s="1271"/>
      <c r="AH30" s="662">
        <f t="shared" si="2"/>
        <v>46270</v>
      </c>
      <c r="AJ30" s="1105"/>
      <c r="AK30" s="1105"/>
      <c r="AP30"/>
      <c r="AQ30"/>
    </row>
    <row r="31" spans="1:43" s="655" customFormat="1" ht="15.75" x14ac:dyDescent="0.3">
      <c r="A31" s="21"/>
      <c r="B31" s="1287">
        <f>FORM!H41</f>
        <v>0</v>
      </c>
      <c r="C31" s="1287"/>
      <c r="D31" s="147" t="s">
        <v>647</v>
      </c>
      <c r="E31" s="877">
        <v>0.35</v>
      </c>
      <c r="F31" s="676">
        <f>FORM!M41</f>
        <v>3</v>
      </c>
      <c r="G31" s="1288">
        <f>F27*E31/F31</f>
        <v>285475.84112844401</v>
      </c>
      <c r="H31" s="1288"/>
      <c r="I31" s="1288"/>
      <c r="J31" s="21"/>
      <c r="K31" s="1274" t="s">
        <v>725</v>
      </c>
      <c r="L31" s="1274"/>
      <c r="M31" s="467">
        <f t="shared" si="1"/>
        <v>46300</v>
      </c>
      <c r="N31" s="1268">
        <f t="shared" si="3"/>
        <v>367040.36716514238</v>
      </c>
      <c r="O31" s="1269"/>
      <c r="P31" s="1270"/>
      <c r="Q31" s="1271"/>
      <c r="R31"/>
      <c r="S31" s="389"/>
      <c r="T31" s="13"/>
      <c r="U31" s="13"/>
      <c r="V31" s="13"/>
      <c r="W31" s="383"/>
      <c r="X31" s="433"/>
      <c r="Y31" s="433"/>
      <c r="Z31" s="433"/>
      <c r="AA31" s="433"/>
      <c r="AB31" s="433"/>
      <c r="AC31" s="433"/>
      <c r="AD31" s="392"/>
      <c r="AE31"/>
      <c r="AF31" s="1270" t="s">
        <v>725</v>
      </c>
      <c r="AG31" s="1271"/>
      <c r="AH31" s="662">
        <f t="shared" si="2"/>
        <v>46300</v>
      </c>
      <c r="AJ31" s="1105"/>
      <c r="AK31" s="1105"/>
      <c r="AP31"/>
      <c r="AQ31"/>
    </row>
    <row r="32" spans="1:43" s="21" customFormat="1" ht="15.75" x14ac:dyDescent="0.3">
      <c r="A32" s="655"/>
      <c r="B32" s="1287">
        <f>FORM!H42</f>
        <v>0</v>
      </c>
      <c r="C32" s="1287"/>
      <c r="D32" s="147" t="s">
        <v>647</v>
      </c>
      <c r="E32" s="675">
        <v>0.45</v>
      </c>
      <c r="F32" s="676">
        <f>FORM!M42</f>
        <v>3</v>
      </c>
      <c r="G32" s="1288">
        <f>F27*E32/F32</f>
        <v>367040.36716514238</v>
      </c>
      <c r="H32" s="1288"/>
      <c r="I32" s="1288"/>
      <c r="J32" s="655"/>
      <c r="K32" s="1274" t="s">
        <v>726</v>
      </c>
      <c r="L32" s="1274"/>
      <c r="M32" s="467">
        <f t="shared" si="1"/>
        <v>46331</v>
      </c>
      <c r="N32" s="1268">
        <f>G32</f>
        <v>367040.36716514238</v>
      </c>
      <c r="O32" s="1269"/>
      <c r="P32" s="1270"/>
      <c r="Q32" s="1271"/>
      <c r="R32"/>
      <c r="S32" s="382"/>
      <c r="T32" s="1257"/>
      <c r="U32" s="1257"/>
      <c r="V32" s="375"/>
      <c r="W32" s="375" t="s">
        <v>885</v>
      </c>
      <c r="X32" s="433"/>
      <c r="Y32" s="433"/>
      <c r="Z32" s="433"/>
      <c r="AA32" s="433"/>
      <c r="AB32" s="433"/>
      <c r="AC32" s="433"/>
      <c r="AD32" s="384"/>
      <c r="AE32"/>
      <c r="AF32" s="1270" t="s">
        <v>726</v>
      </c>
      <c r="AG32" s="1271"/>
      <c r="AH32" s="662">
        <f t="shared" si="2"/>
        <v>46331</v>
      </c>
      <c r="AJ32" s="1105"/>
      <c r="AK32" s="1105"/>
      <c r="AP32"/>
      <c r="AQ32"/>
    </row>
    <row r="33" spans="1:43" s="655" customFormat="1" ht="15.75" x14ac:dyDescent="0.3">
      <c r="A33" s="21"/>
      <c r="B33" s="430"/>
      <c r="C33" s="430"/>
      <c r="D33" s="310"/>
      <c r="E33" s="310"/>
      <c r="F33" s="677">
        <f>SUM(F30:F32)</f>
        <v>8</v>
      </c>
      <c r="G33" s="678"/>
      <c r="H33" s="678"/>
      <c r="I33" s="124"/>
      <c r="J33" s="21"/>
      <c r="K33" s="1274" t="s">
        <v>728</v>
      </c>
      <c r="L33" s="1274"/>
      <c r="M33" s="467">
        <f t="shared" si="1"/>
        <v>46361</v>
      </c>
      <c r="N33" s="1268">
        <f>G32</f>
        <v>367040.36716514238</v>
      </c>
      <c r="O33" s="1269"/>
      <c r="P33" s="1270"/>
      <c r="Q33" s="1271"/>
      <c r="R33"/>
      <c r="S33" s="405"/>
      <c r="T33" s="1258" t="s">
        <v>893</v>
      </c>
      <c r="U33" s="1258"/>
      <c r="V33" s="20"/>
      <c r="W33" s="406"/>
      <c r="X33" s="391"/>
      <c r="Y33" s="391"/>
      <c r="Z33" s="391"/>
      <c r="AA33" s="391"/>
      <c r="AB33" s="406"/>
      <c r="AC33" s="406"/>
      <c r="AD33" s="407"/>
      <c r="AE33"/>
      <c r="AF33" s="1270" t="s">
        <v>728</v>
      </c>
      <c r="AG33" s="1271"/>
      <c r="AH33" s="662">
        <f t="shared" si="2"/>
        <v>46361</v>
      </c>
      <c r="AJ33" s="1105"/>
      <c r="AK33" s="1105"/>
      <c r="AP33"/>
      <c r="AQ33"/>
    </row>
    <row r="34" spans="1:43" s="21" customFormat="1" ht="15.75" x14ac:dyDescent="0.3">
      <c r="B34" s="289" t="s">
        <v>724</v>
      </c>
      <c r="C34" s="129"/>
      <c r="D34" s="147" t="s">
        <v>647</v>
      </c>
      <c r="E34" s="669">
        <f>100%-E24</f>
        <v>0.9</v>
      </c>
      <c r="F34" s="1289">
        <f>F22*E34</f>
        <v>22472422.029908542</v>
      </c>
      <c r="G34" s="1290"/>
      <c r="H34" s="1290"/>
      <c r="I34" s="1291"/>
      <c r="K34" s="1274" t="s">
        <v>729</v>
      </c>
      <c r="L34" s="1274"/>
      <c r="M34" s="467">
        <f t="shared" si="1"/>
        <v>46392</v>
      </c>
      <c r="N34" s="1268">
        <f t="shared" si="3"/>
        <v>367040.36716514238</v>
      </c>
      <c r="O34" s="1269"/>
      <c r="P34" s="1270"/>
      <c r="Q34" s="1271"/>
      <c r="R34"/>
      <c r="S34"/>
      <c r="T34"/>
      <c r="U34"/>
      <c r="V34"/>
      <c r="W34"/>
      <c r="X34"/>
      <c r="Y34"/>
      <c r="Z34"/>
      <c r="AA34"/>
      <c r="AB34"/>
      <c r="AE34"/>
      <c r="AF34" s="1274" t="s">
        <v>729</v>
      </c>
      <c r="AG34" s="1274"/>
      <c r="AH34" s="662">
        <f t="shared" si="2"/>
        <v>46392</v>
      </c>
      <c r="AJ34" s="1105"/>
      <c r="AK34" s="1105"/>
      <c r="AP34"/>
      <c r="AQ34"/>
    </row>
    <row r="35" spans="1:43" s="21" customFormat="1" ht="15.75" x14ac:dyDescent="0.3">
      <c r="A35" s="655"/>
      <c r="B35" s="134"/>
      <c r="C35" s="124"/>
      <c r="D35" s="310"/>
      <c r="E35" s="124"/>
      <c r="F35" s="124"/>
      <c r="G35" s="124"/>
      <c r="H35" s="124"/>
      <c r="I35" s="124"/>
      <c r="J35" s="655"/>
      <c r="K35" s="1274"/>
      <c r="L35" s="1274"/>
      <c r="M35" s="467" t="str">
        <f t="shared" si="1"/>
        <v/>
      </c>
      <c r="N35" s="1268"/>
      <c r="O35" s="1269"/>
      <c r="P35" s="1270"/>
      <c r="Q35" s="1271"/>
      <c r="R35"/>
      <c r="S35"/>
      <c r="T35"/>
      <c r="U35"/>
      <c r="V35"/>
      <c r="W35"/>
      <c r="X35"/>
      <c r="Y35"/>
      <c r="Z35"/>
      <c r="AA35"/>
      <c r="AB35"/>
      <c r="AE35"/>
      <c r="AF35" s="1274" t="s">
        <v>735</v>
      </c>
      <c r="AG35" s="1274"/>
      <c r="AH35" s="662">
        <f t="shared" si="2"/>
        <v>46423</v>
      </c>
      <c r="AJ35" s="1105"/>
      <c r="AK35" s="1105"/>
      <c r="AP35"/>
      <c r="AQ35"/>
    </row>
    <row r="36" spans="1:43" s="655" customFormat="1" ht="15.75" x14ac:dyDescent="0.3">
      <c r="A36" s="21"/>
      <c r="B36" s="129" t="s">
        <v>727</v>
      </c>
      <c r="C36" s="129"/>
      <c r="D36" s="430"/>
      <c r="E36" s="430"/>
      <c r="F36" s="430"/>
      <c r="G36" s="430"/>
      <c r="H36" s="430"/>
      <c r="I36" s="430"/>
      <c r="J36" s="21"/>
      <c r="K36" s="1274"/>
      <c r="L36" s="1274"/>
      <c r="M36" s="467" t="str">
        <f t="shared" si="1"/>
        <v/>
      </c>
      <c r="N36" s="1268"/>
      <c r="O36" s="1269"/>
      <c r="P36" s="1270"/>
      <c r="Q36" s="1271"/>
      <c r="R36"/>
      <c r="S36"/>
      <c r="T36"/>
      <c r="U36"/>
      <c r="V36"/>
      <c r="W36"/>
      <c r="X36"/>
      <c r="Y36"/>
      <c r="Z36"/>
      <c r="AA36"/>
      <c r="AB36"/>
      <c r="AE36"/>
      <c r="AF36" s="1274" t="s">
        <v>736</v>
      </c>
      <c r="AG36" s="1274"/>
      <c r="AH36" s="662">
        <f t="shared" si="2"/>
        <v>46451</v>
      </c>
      <c r="AJ36" s="1105"/>
      <c r="AK36" s="1105"/>
      <c r="AP36"/>
      <c r="AQ36"/>
    </row>
    <row r="37" spans="1:43" s="21" customFormat="1" ht="15.75" x14ac:dyDescent="0.3">
      <c r="B37" s="679" t="s">
        <v>730</v>
      </c>
      <c r="C37" s="671" t="s">
        <v>731</v>
      </c>
      <c r="D37" s="1283" t="s">
        <v>732</v>
      </c>
      <c r="E37" s="1283"/>
      <c r="F37" s="671" t="s">
        <v>733</v>
      </c>
      <c r="G37" s="1284" t="s">
        <v>894</v>
      </c>
      <c r="H37" s="1285"/>
      <c r="I37" s="1286"/>
      <c r="K37" s="1274"/>
      <c r="L37" s="1274"/>
      <c r="M37" s="467" t="str">
        <f t="shared" si="1"/>
        <v/>
      </c>
      <c r="N37" s="1268"/>
      <c r="O37" s="1269"/>
      <c r="P37" s="1270"/>
      <c r="Q37" s="1271"/>
      <c r="R37"/>
      <c r="S37"/>
      <c r="T37"/>
      <c r="U37"/>
      <c r="V37"/>
      <c r="W37"/>
      <c r="X37"/>
      <c r="Y37"/>
      <c r="Z37"/>
      <c r="AA37"/>
      <c r="AB37"/>
      <c r="AE37"/>
      <c r="AF37" s="1274" t="s">
        <v>737</v>
      </c>
      <c r="AG37" s="1274"/>
      <c r="AH37" s="662">
        <f t="shared" si="2"/>
        <v>46482</v>
      </c>
      <c r="AJ37" s="1105"/>
      <c r="AK37" s="1105"/>
      <c r="AP37"/>
      <c r="AQ37"/>
    </row>
    <row r="38" spans="1:43" s="21" customFormat="1" ht="15.75" x14ac:dyDescent="0.3">
      <c r="B38" s="680">
        <v>5</v>
      </c>
      <c r="C38" s="681">
        <v>7.0000000000000007E-2</v>
      </c>
      <c r="D38" s="1282">
        <f>PMT(C38/12,B38*12,-1)</f>
        <v>1.9801198540349535E-2</v>
      </c>
      <c r="E38" s="1282"/>
      <c r="F38" s="682">
        <f>D38*F34</f>
        <v>444980.89029674378</v>
      </c>
      <c r="G38" s="1279">
        <f>F38/0.33</f>
        <v>1348426.9402931628</v>
      </c>
      <c r="H38" s="1280"/>
      <c r="I38" s="1281"/>
      <c r="K38" s="1274"/>
      <c r="L38" s="1274"/>
      <c r="M38" s="467" t="str">
        <f t="shared" si="1"/>
        <v/>
      </c>
      <c r="N38" s="1268"/>
      <c r="O38" s="1269"/>
      <c r="P38" s="1270"/>
      <c r="Q38" s="1271"/>
      <c r="R38"/>
      <c r="S38"/>
      <c r="T38"/>
      <c r="U38"/>
      <c r="V38"/>
      <c r="W38"/>
      <c r="X38"/>
      <c r="Y38"/>
      <c r="Z38"/>
      <c r="AA38"/>
      <c r="AB38"/>
      <c r="AE38"/>
      <c r="AF38" s="1274" t="s">
        <v>738</v>
      </c>
      <c r="AG38" s="1274"/>
      <c r="AH38" s="662">
        <f t="shared" si="2"/>
        <v>46512</v>
      </c>
      <c r="AJ38" s="1105"/>
      <c r="AK38" s="1105"/>
      <c r="AP38"/>
      <c r="AQ38"/>
    </row>
    <row r="39" spans="1:43" s="21" customFormat="1" ht="15.75" x14ac:dyDescent="0.3">
      <c r="B39" s="680">
        <v>10</v>
      </c>
      <c r="C39" s="681">
        <v>7.0000000000000007E-2</v>
      </c>
      <c r="D39" s="1282">
        <f>PMT(C39/12,B39*12,-1)</f>
        <v>1.1610847921862406E-2</v>
      </c>
      <c r="E39" s="1282"/>
      <c r="F39" s="682">
        <f>D39*F34</f>
        <v>260923.87462517855</v>
      </c>
      <c r="G39" s="1279">
        <f>F39/0.33</f>
        <v>790678.40795508644</v>
      </c>
      <c r="H39" s="1280"/>
      <c r="I39" s="1281"/>
      <c r="K39" s="1274"/>
      <c r="L39" s="1274"/>
      <c r="M39" s="467" t="str">
        <f t="shared" si="1"/>
        <v/>
      </c>
      <c r="N39" s="1268"/>
      <c r="O39" s="1269"/>
      <c r="P39" s="1270"/>
      <c r="Q39" s="1271"/>
      <c r="R39"/>
      <c r="S39"/>
      <c r="T39"/>
      <c r="U39"/>
      <c r="V39"/>
      <c r="W39"/>
      <c r="X39"/>
      <c r="Y39"/>
      <c r="Z39"/>
      <c r="AA39"/>
      <c r="AB39"/>
      <c r="AE39"/>
      <c r="AF39" s="1274" t="s">
        <v>739</v>
      </c>
      <c r="AG39" s="1274"/>
      <c r="AH39" s="662">
        <f t="shared" si="2"/>
        <v>46543</v>
      </c>
      <c r="AJ39" s="1105"/>
      <c r="AK39" s="1105"/>
      <c r="AP39"/>
      <c r="AQ39"/>
    </row>
    <row r="40" spans="1:43" s="21" customFormat="1" ht="15.75" x14ac:dyDescent="0.3">
      <c r="B40" s="680">
        <v>15</v>
      </c>
      <c r="C40" s="681">
        <v>7.0000000000000007E-2</v>
      </c>
      <c r="D40" s="1282">
        <f>PMT(C40/12,B40*12,-1)</f>
        <v>8.988282708524269E-3</v>
      </c>
      <c r="E40" s="1282"/>
      <c r="F40" s="682">
        <f>D40*F34</f>
        <v>201988.48235008679</v>
      </c>
      <c r="G40" s="1279">
        <f>F40/0.33</f>
        <v>612086.31015177816</v>
      </c>
      <c r="H40" s="1280"/>
      <c r="I40" s="1281"/>
      <c r="K40" s="1274"/>
      <c r="L40" s="1274"/>
      <c r="M40" s="467" t="str">
        <f t="shared" si="1"/>
        <v/>
      </c>
      <c r="N40" s="1268"/>
      <c r="O40" s="1269"/>
      <c r="P40" s="1270"/>
      <c r="Q40" s="1271"/>
      <c r="R40"/>
      <c r="S40"/>
      <c r="T40"/>
      <c r="U40"/>
      <c r="V40"/>
      <c r="W40"/>
      <c r="X40"/>
      <c r="Y40"/>
      <c r="Z40"/>
      <c r="AA40"/>
      <c r="AB40"/>
      <c r="AE40"/>
      <c r="AF40" s="1274" t="s">
        <v>741</v>
      </c>
      <c r="AG40" s="1274"/>
      <c r="AH40" s="662">
        <f t="shared" si="2"/>
        <v>46573</v>
      </c>
      <c r="AJ40" s="1105"/>
      <c r="AK40" s="1105"/>
      <c r="AP40"/>
      <c r="AQ40"/>
    </row>
    <row r="41" spans="1:43" s="21" customFormat="1" ht="15.75" x14ac:dyDescent="0.3">
      <c r="B41" s="680">
        <v>20</v>
      </c>
      <c r="C41" s="681">
        <v>7.0000000000000007E-2</v>
      </c>
      <c r="D41" s="1278">
        <f>PMT(C41/12,B41*12,-1)</f>
        <v>7.7529893561887461E-3</v>
      </c>
      <c r="E41" s="1278"/>
      <c r="F41" s="682">
        <f>D41*F34</f>
        <v>174228.44880566243</v>
      </c>
      <c r="G41" s="1279">
        <f>F41/0.33</f>
        <v>527964.99638079526</v>
      </c>
      <c r="H41" s="1280"/>
      <c r="I41" s="1281"/>
      <c r="K41" s="1274"/>
      <c r="L41" s="1274"/>
      <c r="M41" s="467" t="str">
        <f t="shared" si="1"/>
        <v/>
      </c>
      <c r="N41" s="1268"/>
      <c r="O41" s="1269"/>
      <c r="P41" s="1270"/>
      <c r="Q41" s="1271"/>
      <c r="R41"/>
      <c r="S41"/>
      <c r="T41"/>
      <c r="U41"/>
      <c r="V41"/>
      <c r="W41"/>
      <c r="X41"/>
      <c r="Y41"/>
      <c r="Z41"/>
      <c r="AA41"/>
      <c r="AB41"/>
      <c r="AE41"/>
      <c r="AF41" s="1274" t="s">
        <v>743</v>
      </c>
      <c r="AG41" s="1274"/>
      <c r="AH41" s="662">
        <f t="shared" si="2"/>
        <v>46604</v>
      </c>
      <c r="AJ41" s="1105"/>
      <c r="AK41" s="1105"/>
      <c r="AP41"/>
      <c r="AQ41"/>
    </row>
    <row r="42" spans="1:43" s="21" customFormat="1" ht="15.75" x14ac:dyDescent="0.3">
      <c r="B42" s="683" t="s">
        <v>740</v>
      </c>
      <c r="G42" s="23"/>
      <c r="K42" s="1274"/>
      <c r="L42" s="1274"/>
      <c r="M42" s="467" t="str">
        <f t="shared" si="1"/>
        <v/>
      </c>
      <c r="N42" s="1268">
        <f t="shared" si="3"/>
        <v>0</v>
      </c>
      <c r="O42" s="1269"/>
      <c r="P42" s="1270"/>
      <c r="Q42" s="1271"/>
      <c r="R42"/>
      <c r="S42"/>
      <c r="T42"/>
      <c r="U42"/>
      <c r="V42"/>
      <c r="W42"/>
      <c r="X42"/>
      <c r="Y42"/>
      <c r="Z42"/>
      <c r="AA42"/>
      <c r="AB42"/>
      <c r="AE42"/>
      <c r="AF42" s="1274" t="s">
        <v>745</v>
      </c>
      <c r="AG42" s="1274"/>
      <c r="AH42" s="662">
        <f t="shared" si="2"/>
        <v>46635</v>
      </c>
      <c r="AJ42" s="1105"/>
      <c r="AK42" s="1105"/>
      <c r="AP42"/>
      <c r="AQ42"/>
    </row>
    <row r="43" spans="1:43" s="21" customFormat="1" ht="15.75" x14ac:dyDescent="0.3">
      <c r="B43" s="683" t="s">
        <v>742</v>
      </c>
      <c r="C43" s="684"/>
      <c r="D43" s="633"/>
      <c r="K43" s="1274"/>
      <c r="L43" s="1274"/>
      <c r="M43" s="656"/>
      <c r="N43" s="1268"/>
      <c r="O43" s="1269"/>
      <c r="P43" s="1270"/>
      <c r="Q43" s="1271"/>
      <c r="R43"/>
      <c r="S43"/>
      <c r="T43"/>
      <c r="U43"/>
      <c r="V43"/>
      <c r="W43"/>
      <c r="X43"/>
      <c r="Y43"/>
      <c r="Z43"/>
      <c r="AA43"/>
      <c r="AB43"/>
      <c r="AE43"/>
      <c r="AF43" s="1274" t="s">
        <v>747</v>
      </c>
      <c r="AG43" s="1274"/>
      <c r="AH43" s="662">
        <f t="shared" si="2"/>
        <v>46665</v>
      </c>
      <c r="AJ43" s="1105"/>
      <c r="AK43" s="1105"/>
      <c r="AP43"/>
      <c r="AQ43"/>
    </row>
    <row r="44" spans="1:43" s="21" customFormat="1" ht="15.75" x14ac:dyDescent="0.3">
      <c r="B44" s="685" t="s">
        <v>744</v>
      </c>
      <c r="D44" s="633"/>
      <c r="K44" s="1274"/>
      <c r="L44" s="1274"/>
      <c r="M44" s="656"/>
      <c r="N44" s="1268"/>
      <c r="O44" s="1269"/>
      <c r="P44" s="1270"/>
      <c r="Q44" s="1271"/>
      <c r="R44"/>
      <c r="S44"/>
      <c r="T44"/>
      <c r="U44"/>
      <c r="V44"/>
      <c r="W44"/>
      <c r="X44"/>
      <c r="Y44"/>
      <c r="Z44"/>
      <c r="AA44"/>
      <c r="AB44"/>
      <c r="AE44"/>
      <c r="AF44" s="1274" t="s">
        <v>748</v>
      </c>
      <c r="AG44" s="1274"/>
      <c r="AH44" s="662">
        <f t="shared" si="2"/>
        <v>46696</v>
      </c>
      <c r="AJ44" s="1105"/>
      <c r="AK44" s="1105"/>
      <c r="AP44"/>
      <c r="AQ44"/>
    </row>
    <row r="45" spans="1:43" s="21" customFormat="1" ht="15.75" x14ac:dyDescent="0.3">
      <c r="B45" s="685" t="s">
        <v>746</v>
      </c>
      <c r="C45" s="684"/>
      <c r="D45" s="633"/>
      <c r="K45" s="1274"/>
      <c r="L45" s="1274"/>
      <c r="M45" s="656"/>
      <c r="N45" s="1268"/>
      <c r="O45" s="1269"/>
      <c r="P45" s="1270"/>
      <c r="Q45" s="1271"/>
      <c r="R45"/>
      <c r="S45"/>
      <c r="T45"/>
      <c r="U45"/>
      <c r="V45"/>
      <c r="W45"/>
      <c r="X45"/>
      <c r="Y45"/>
      <c r="Z45"/>
      <c r="AA45"/>
      <c r="AB45"/>
      <c r="AE45"/>
      <c r="AF45" s="1274" t="s">
        <v>750</v>
      </c>
      <c r="AG45" s="1274"/>
      <c r="AH45" s="662">
        <f t="shared" si="2"/>
        <v>46726</v>
      </c>
      <c r="AJ45" s="1105"/>
      <c r="AK45" s="1105"/>
      <c r="AP45"/>
      <c r="AQ45"/>
    </row>
    <row r="46" spans="1:43" s="21" customFormat="1" ht="15.75" x14ac:dyDescent="0.3">
      <c r="D46" s="633"/>
      <c r="K46" s="1274"/>
      <c r="L46" s="1274"/>
      <c r="M46" s="656"/>
      <c r="N46" s="1268"/>
      <c r="O46" s="1269"/>
      <c r="P46" s="1270"/>
      <c r="Q46" s="1271"/>
      <c r="R46"/>
      <c r="S46"/>
      <c r="T46"/>
      <c r="U46"/>
      <c r="V46"/>
      <c r="W46"/>
      <c r="X46"/>
      <c r="Y46"/>
      <c r="Z46"/>
      <c r="AA46"/>
      <c r="AB46"/>
      <c r="AE46"/>
      <c r="AF46" s="1274" t="s">
        <v>751</v>
      </c>
      <c r="AG46" s="1274"/>
      <c r="AH46" s="662">
        <f t="shared" si="2"/>
        <v>46757</v>
      </c>
      <c r="AJ46" s="1105"/>
      <c r="AK46" s="1105"/>
      <c r="AP46"/>
      <c r="AQ46"/>
    </row>
    <row r="47" spans="1:43" s="21" customFormat="1" ht="15.75" x14ac:dyDescent="0.3">
      <c r="B47" s="129" t="s">
        <v>749</v>
      </c>
      <c r="C47" s="293"/>
      <c r="D47" s="655"/>
      <c r="E47" s="655"/>
      <c r="F47" s="655"/>
      <c r="G47" s="655"/>
      <c r="H47" s="655"/>
      <c r="I47" s="655"/>
      <c r="K47" s="1274"/>
      <c r="L47" s="1274"/>
      <c r="M47" s="656"/>
      <c r="N47" s="1268"/>
      <c r="O47" s="1269"/>
      <c r="P47" s="1270"/>
      <c r="Q47" s="1271"/>
      <c r="R47"/>
      <c r="S47"/>
      <c r="T47"/>
      <c r="U47"/>
      <c r="V47"/>
      <c r="W47"/>
      <c r="X47"/>
      <c r="Y47"/>
      <c r="Z47"/>
      <c r="AA47"/>
      <c r="AB47"/>
      <c r="AE47"/>
      <c r="AF47" s="1274" t="s">
        <v>755</v>
      </c>
      <c r="AG47" s="1274"/>
      <c r="AH47" s="662">
        <f t="shared" si="2"/>
        <v>46788</v>
      </c>
      <c r="AJ47" s="1105"/>
      <c r="AK47" s="1105"/>
      <c r="AP47"/>
      <c r="AQ47"/>
    </row>
    <row r="48" spans="1:43" s="21" customFormat="1" ht="15.75" x14ac:dyDescent="0.3">
      <c r="B48" s="655"/>
      <c r="C48" s="655"/>
      <c r="D48" s="655"/>
      <c r="E48" s="655"/>
      <c r="F48" s="655"/>
      <c r="G48" s="655"/>
      <c r="H48" s="655"/>
      <c r="I48" s="655"/>
      <c r="K48" s="1274"/>
      <c r="L48" s="1274"/>
      <c r="M48" s="656"/>
      <c r="N48" s="1268"/>
      <c r="O48" s="1269"/>
      <c r="P48" s="1270"/>
      <c r="Q48" s="1271"/>
      <c r="R48"/>
      <c r="S48"/>
      <c r="T48"/>
      <c r="U48"/>
      <c r="V48"/>
      <c r="W48"/>
      <c r="X48"/>
      <c r="Y48"/>
      <c r="Z48"/>
      <c r="AA48"/>
      <c r="AB48"/>
      <c r="AE48"/>
      <c r="AF48" s="1274" t="s">
        <v>756</v>
      </c>
      <c r="AG48" s="1274"/>
      <c r="AH48" s="662">
        <f t="shared" si="2"/>
        <v>46817</v>
      </c>
      <c r="AJ48" s="1105"/>
      <c r="AK48" s="1105"/>
      <c r="AP48"/>
      <c r="AQ48"/>
    </row>
    <row r="49" spans="1:43" s="21" customFormat="1" ht="15.75" x14ac:dyDescent="0.3">
      <c r="A49" s="130"/>
      <c r="B49" s="1277" t="s">
        <v>655</v>
      </c>
      <c r="C49" s="1277"/>
      <c r="D49" s="1277" t="s">
        <v>656</v>
      </c>
      <c r="E49" s="1277"/>
      <c r="F49" s="1277"/>
      <c r="G49" s="1277" t="s">
        <v>754</v>
      </c>
      <c r="H49" s="1277"/>
      <c r="I49" s="1277"/>
      <c r="K49" s="1274"/>
      <c r="L49" s="1274"/>
      <c r="M49" s="656"/>
      <c r="N49" s="1268"/>
      <c r="O49" s="1269"/>
      <c r="P49" s="1270"/>
      <c r="Q49" s="1271"/>
      <c r="R49"/>
      <c r="S49"/>
      <c r="T49"/>
      <c r="U49"/>
      <c r="V49"/>
      <c r="W49"/>
      <c r="X49"/>
      <c r="Y49"/>
      <c r="Z49"/>
      <c r="AA49"/>
      <c r="AB49"/>
      <c r="AE49"/>
      <c r="AF49" s="1274" t="s">
        <v>757</v>
      </c>
      <c r="AG49" s="1274"/>
      <c r="AH49" s="662">
        <f t="shared" si="2"/>
        <v>46848</v>
      </c>
      <c r="AJ49" s="1276"/>
      <c r="AK49" s="1276"/>
      <c r="AP49"/>
      <c r="AQ49"/>
    </row>
    <row r="50" spans="1:43" x14ac:dyDescent="0.3">
      <c r="A50" s="21"/>
      <c r="B50" s="1175">
        <f>'STANDARD COMP.'!B48</f>
        <v>0</v>
      </c>
      <c r="C50" s="1176"/>
      <c r="D50" s="1175">
        <f>'STANDARD COMP.'!D48</f>
        <v>0</v>
      </c>
      <c r="E50" s="1180"/>
      <c r="F50" s="1176"/>
      <c r="G50" s="1169">
        <f>'STANDARD COMP.'!G48</f>
        <v>0</v>
      </c>
      <c r="H50" s="1170"/>
      <c r="I50" s="1171"/>
      <c r="K50" s="1274"/>
      <c r="L50" s="1274"/>
      <c r="M50" s="656"/>
      <c r="N50" s="1268"/>
      <c r="O50" s="1269"/>
      <c r="P50" s="1270"/>
      <c r="Q50" s="1271"/>
      <c r="AF50" s="1274" t="s">
        <v>758</v>
      </c>
      <c r="AG50" s="1274"/>
      <c r="AH50" s="662">
        <f t="shared" si="2"/>
        <v>46878</v>
      </c>
    </row>
    <row r="51" spans="1:43" s="21" customFormat="1" ht="15.75" x14ac:dyDescent="0.3">
      <c r="B51" s="1177"/>
      <c r="C51" s="1178"/>
      <c r="D51" s="1177"/>
      <c r="E51" s="1181"/>
      <c r="F51" s="1178"/>
      <c r="G51" s="1172"/>
      <c r="H51" s="1173"/>
      <c r="I51" s="1174"/>
      <c r="K51" s="1274"/>
      <c r="L51" s="1274"/>
      <c r="M51" s="656"/>
      <c r="N51" s="1268"/>
      <c r="O51" s="1269"/>
      <c r="P51" s="1270"/>
      <c r="Q51" s="1271"/>
      <c r="R51"/>
      <c r="S51"/>
      <c r="T51"/>
      <c r="U51"/>
      <c r="V51"/>
      <c r="W51"/>
      <c r="X51"/>
      <c r="Y51"/>
      <c r="Z51"/>
      <c r="AA51"/>
      <c r="AB51"/>
      <c r="AE51"/>
      <c r="AF51" s="1274" t="s">
        <v>759</v>
      </c>
      <c r="AG51" s="1274"/>
      <c r="AH51" s="662">
        <f t="shared" si="2"/>
        <v>46909</v>
      </c>
      <c r="AJ51" s="90"/>
      <c r="AK51" s="90"/>
      <c r="AP51"/>
      <c r="AQ51"/>
    </row>
    <row r="52" spans="1:43" s="21" customFormat="1" ht="15.75" x14ac:dyDescent="0.3">
      <c r="B52" s="1175">
        <f>'STANDARD COMP.'!B50</f>
        <v>0</v>
      </c>
      <c r="C52" s="1176"/>
      <c r="D52" s="1175">
        <f>'STANDARD COMP.'!D50</f>
        <v>0</v>
      </c>
      <c r="E52" s="1180"/>
      <c r="F52" s="1176"/>
      <c r="G52" s="1169">
        <f>'STANDARD COMP.'!G50</f>
        <v>0</v>
      </c>
      <c r="H52" s="1170"/>
      <c r="I52" s="1171"/>
      <c r="K52" s="1274"/>
      <c r="L52" s="1274"/>
      <c r="M52" s="656"/>
      <c r="N52" s="1268"/>
      <c r="O52" s="1269"/>
      <c r="P52" s="1270"/>
      <c r="Q52" s="1271"/>
      <c r="R52"/>
      <c r="S52"/>
      <c r="T52"/>
      <c r="U52"/>
      <c r="V52"/>
      <c r="W52"/>
      <c r="X52"/>
      <c r="Y52"/>
      <c r="Z52"/>
      <c r="AA52"/>
      <c r="AB52"/>
      <c r="AE52"/>
      <c r="AF52" s="1274" t="s">
        <v>760</v>
      </c>
      <c r="AG52" s="1274"/>
      <c r="AH52" s="662">
        <f t="shared" si="2"/>
        <v>46939</v>
      </c>
      <c r="AJ52" s="90"/>
      <c r="AK52" s="90"/>
      <c r="AP52"/>
      <c r="AQ52"/>
    </row>
    <row r="53" spans="1:43" s="21" customFormat="1" ht="15.75" x14ac:dyDescent="0.3">
      <c r="B53" s="1177"/>
      <c r="C53" s="1178"/>
      <c r="D53" s="1177"/>
      <c r="E53" s="1181"/>
      <c r="F53" s="1178"/>
      <c r="G53" s="1172"/>
      <c r="H53" s="1173"/>
      <c r="I53" s="1174"/>
      <c r="K53" s="1274"/>
      <c r="L53" s="1274"/>
      <c r="M53" s="656"/>
      <c r="N53" s="1268"/>
      <c r="O53" s="1269"/>
      <c r="P53" s="1270"/>
      <c r="Q53" s="1271"/>
      <c r="R53"/>
      <c r="S53"/>
      <c r="T53"/>
      <c r="U53"/>
      <c r="V53"/>
      <c r="W53"/>
      <c r="X53"/>
      <c r="Y53"/>
      <c r="Z53"/>
      <c r="AA53"/>
      <c r="AB53"/>
      <c r="AE53"/>
      <c r="AF53" s="1274" t="s">
        <v>761</v>
      </c>
      <c r="AG53" s="1274"/>
      <c r="AH53" s="662">
        <f t="shared" si="2"/>
        <v>46970</v>
      </c>
      <c r="AJ53" s="90"/>
      <c r="AK53" s="90"/>
      <c r="AP53"/>
      <c r="AQ53"/>
    </row>
    <row r="54" spans="1:43" s="21" customFormat="1" ht="15.75" x14ac:dyDescent="0.3">
      <c r="B54" s="1175">
        <f>'STANDARD COMP.'!B52</f>
        <v>0</v>
      </c>
      <c r="C54" s="1176"/>
      <c r="D54" s="1175">
        <f>'STANDARD COMP.'!D52</f>
        <v>0</v>
      </c>
      <c r="E54" s="1180"/>
      <c r="F54" s="1176"/>
      <c r="G54" s="1169">
        <f>'STANDARD COMP.'!G52</f>
        <v>0</v>
      </c>
      <c r="H54" s="1170"/>
      <c r="I54" s="1171"/>
      <c r="K54" s="1274"/>
      <c r="L54" s="1274"/>
      <c r="M54" s="656"/>
      <c r="N54" s="1268"/>
      <c r="O54" s="1269"/>
      <c r="P54" s="1270"/>
      <c r="Q54" s="1271"/>
      <c r="R54"/>
      <c r="S54"/>
      <c r="T54"/>
      <c r="U54"/>
      <c r="V54"/>
      <c r="W54"/>
      <c r="X54"/>
      <c r="Y54"/>
      <c r="Z54"/>
      <c r="AA54"/>
      <c r="AB54"/>
      <c r="AE54"/>
      <c r="AF54" s="1274" t="s">
        <v>762</v>
      </c>
      <c r="AG54" s="1274"/>
      <c r="AH54" s="662">
        <f t="shared" si="2"/>
        <v>47001</v>
      </c>
      <c r="AJ54" s="90"/>
      <c r="AK54" s="90"/>
      <c r="AP54"/>
      <c r="AQ54"/>
    </row>
    <row r="55" spans="1:43" s="21" customFormat="1" ht="15.75" x14ac:dyDescent="0.3">
      <c r="B55" s="1177"/>
      <c r="C55" s="1178"/>
      <c r="D55" s="1177"/>
      <c r="E55" s="1181"/>
      <c r="F55" s="1178"/>
      <c r="G55" s="1172"/>
      <c r="H55" s="1173"/>
      <c r="I55" s="1174"/>
      <c r="K55" s="1274"/>
      <c r="L55" s="1274"/>
      <c r="M55" s="656"/>
      <c r="N55" s="1268"/>
      <c r="O55" s="1269"/>
      <c r="P55" s="1270"/>
      <c r="Q55" s="1271"/>
      <c r="R55"/>
      <c r="S55"/>
      <c r="T55"/>
      <c r="U55"/>
      <c r="V55"/>
      <c r="W55"/>
      <c r="X55"/>
      <c r="Y55"/>
      <c r="Z55"/>
      <c r="AA55"/>
      <c r="AB55"/>
      <c r="AE55"/>
      <c r="AF55" s="1274" t="s">
        <v>763</v>
      </c>
      <c r="AG55" s="1274"/>
      <c r="AH55" s="662">
        <f t="shared" si="2"/>
        <v>47031</v>
      </c>
      <c r="AJ55" s="90"/>
      <c r="AK55" s="90"/>
      <c r="AP55"/>
      <c r="AQ55"/>
    </row>
    <row r="56" spans="1:43" s="21" customFormat="1" ht="15.75" x14ac:dyDescent="0.3">
      <c r="B56" s="1175">
        <f>'STANDARD COMP.'!B54</f>
        <v>0</v>
      </c>
      <c r="C56" s="1176"/>
      <c r="D56" s="1175">
        <f>'STANDARD COMP.'!D54</f>
        <v>0</v>
      </c>
      <c r="E56" s="1180"/>
      <c r="F56" s="1176"/>
      <c r="G56" s="1169">
        <f>'STANDARD COMP.'!G54</f>
        <v>0</v>
      </c>
      <c r="H56" s="1170"/>
      <c r="I56" s="1171"/>
      <c r="K56" s="1274"/>
      <c r="L56" s="1274"/>
      <c r="M56" s="656"/>
      <c r="N56" s="1268"/>
      <c r="O56" s="1269"/>
      <c r="P56" s="1270"/>
      <c r="Q56" s="1271"/>
      <c r="R56"/>
      <c r="S56"/>
      <c r="T56"/>
      <c r="U56"/>
      <c r="V56"/>
      <c r="W56"/>
      <c r="X56"/>
      <c r="Y56"/>
      <c r="Z56"/>
      <c r="AA56"/>
      <c r="AB56"/>
      <c r="AE56"/>
      <c r="AF56" s="1274" t="s">
        <v>764</v>
      </c>
      <c r="AG56" s="1274"/>
      <c r="AH56" s="662">
        <f t="shared" si="2"/>
        <v>47062</v>
      </c>
      <c r="AJ56" s="90"/>
      <c r="AK56" s="90"/>
      <c r="AP56"/>
      <c r="AQ56"/>
    </row>
    <row r="57" spans="1:43" s="21" customFormat="1" ht="15.75" x14ac:dyDescent="0.3">
      <c r="B57" s="1177"/>
      <c r="C57" s="1178"/>
      <c r="D57" s="1177"/>
      <c r="E57" s="1181"/>
      <c r="F57" s="1178"/>
      <c r="G57" s="1172"/>
      <c r="H57" s="1173"/>
      <c r="I57" s="1174"/>
      <c r="J57" s="21" t="s">
        <v>660</v>
      </c>
      <c r="K57" s="1274"/>
      <c r="L57" s="1274"/>
      <c r="M57" s="656"/>
      <c r="N57" s="1268"/>
      <c r="O57" s="1269"/>
      <c r="P57" s="1270"/>
      <c r="Q57" s="1271"/>
      <c r="R57"/>
      <c r="S57"/>
      <c r="T57"/>
      <c r="U57"/>
      <c r="V57"/>
      <c r="W57"/>
      <c r="X57"/>
      <c r="Y57"/>
      <c r="Z57"/>
      <c r="AA57"/>
      <c r="AB57"/>
      <c r="AE57"/>
      <c r="AF57" s="1274" t="s">
        <v>765</v>
      </c>
      <c r="AG57" s="1274"/>
      <c r="AH57" s="662">
        <f t="shared" si="2"/>
        <v>47092</v>
      </c>
      <c r="AJ57" s="90"/>
      <c r="AK57" s="90"/>
      <c r="AP57"/>
      <c r="AQ57"/>
    </row>
    <row r="58" spans="1:43" s="21" customFormat="1" ht="15.75" x14ac:dyDescent="0.3">
      <c r="B58" s="1175">
        <f>'STANDARD COMP.'!B56</f>
        <v>0</v>
      </c>
      <c r="C58" s="1176"/>
      <c r="D58" s="1175">
        <f>'STANDARD COMP.'!D56</f>
        <v>0</v>
      </c>
      <c r="E58" s="1180"/>
      <c r="F58" s="1176"/>
      <c r="G58" s="1169">
        <f>'STANDARD COMP.'!G56</f>
        <v>0</v>
      </c>
      <c r="H58" s="1170"/>
      <c r="I58" s="1171"/>
      <c r="K58" s="1274"/>
      <c r="L58" s="1274"/>
      <c r="M58" s="656"/>
      <c r="N58" s="1252"/>
      <c r="O58" s="1252"/>
      <c r="P58" s="1270"/>
      <c r="Q58" s="1271"/>
      <c r="R58"/>
      <c r="S58"/>
      <c r="T58"/>
      <c r="U58"/>
      <c r="V58"/>
      <c r="W58"/>
      <c r="X58"/>
      <c r="Y58"/>
      <c r="Z58"/>
      <c r="AA58"/>
      <c r="AB58"/>
      <c r="AE58"/>
      <c r="AF58" s="1274" t="s">
        <v>766</v>
      </c>
      <c r="AG58" s="1274"/>
      <c r="AH58" s="662">
        <f t="shared" si="2"/>
        <v>47123</v>
      </c>
      <c r="AJ58" s="90"/>
      <c r="AK58" s="90"/>
      <c r="AP58"/>
      <c r="AQ58"/>
    </row>
    <row r="59" spans="1:43" s="21" customFormat="1" ht="15.75" x14ac:dyDescent="0.3">
      <c r="B59" s="1177"/>
      <c r="C59" s="1178"/>
      <c r="D59" s="1177"/>
      <c r="E59" s="1181"/>
      <c r="F59" s="1178"/>
      <c r="G59" s="1172"/>
      <c r="H59" s="1173"/>
      <c r="I59" s="1174"/>
      <c r="K59" s="1274"/>
      <c r="L59" s="1274"/>
      <c r="M59" s="656"/>
      <c r="N59" s="1252"/>
      <c r="O59" s="1252"/>
      <c r="P59" s="874"/>
      <c r="Q59" s="875"/>
      <c r="R59"/>
      <c r="S59"/>
      <c r="T59"/>
      <c r="U59"/>
      <c r="V59"/>
      <c r="W59"/>
      <c r="X59"/>
      <c r="Y59"/>
      <c r="Z59"/>
      <c r="AA59"/>
      <c r="AB59"/>
      <c r="AE59"/>
      <c r="AF59" s="1274" t="s">
        <v>767</v>
      </c>
      <c r="AG59" s="1274"/>
      <c r="AH59" s="662">
        <f t="shared" si="2"/>
        <v>47154</v>
      </c>
      <c r="AJ59" s="90"/>
      <c r="AK59" s="90"/>
      <c r="AP59"/>
      <c r="AQ59"/>
    </row>
    <row r="60" spans="1:43" s="21" customFormat="1" ht="15.75" x14ac:dyDescent="0.3">
      <c r="B60" s="1175">
        <f>'STANDARD COMP.'!B58</f>
        <v>0</v>
      </c>
      <c r="C60" s="1176"/>
      <c r="D60" s="1175">
        <f>'STANDARD COMP.'!D58</f>
        <v>0</v>
      </c>
      <c r="E60" s="1180"/>
      <c r="F60" s="1176"/>
      <c r="G60" s="1169">
        <f>'STANDARD COMP.'!G58</f>
        <v>0</v>
      </c>
      <c r="H60" s="1170"/>
      <c r="I60" s="1171"/>
      <c r="K60" s="1274"/>
      <c r="L60" s="1274"/>
      <c r="M60" s="656"/>
      <c r="N60" s="1252"/>
      <c r="O60" s="1252"/>
      <c r="P60" s="874"/>
      <c r="Q60" s="875"/>
      <c r="R60"/>
      <c r="S60"/>
      <c r="T60"/>
      <c r="U60"/>
      <c r="V60"/>
      <c r="W60"/>
      <c r="X60"/>
      <c r="Y60"/>
      <c r="Z60"/>
      <c r="AA60"/>
      <c r="AB60"/>
      <c r="AE60"/>
      <c r="AH60" s="688"/>
      <c r="AJ60" s="90"/>
      <c r="AK60" s="90"/>
      <c r="AP60"/>
      <c r="AQ60"/>
    </row>
    <row r="61" spans="1:43" s="21" customFormat="1" ht="15.75" x14ac:dyDescent="0.3">
      <c r="B61" s="1177"/>
      <c r="C61" s="1178"/>
      <c r="D61" s="1177"/>
      <c r="E61" s="1181"/>
      <c r="F61" s="1178"/>
      <c r="G61" s="1172"/>
      <c r="H61" s="1173"/>
      <c r="I61" s="1174"/>
      <c r="K61" s="1274"/>
      <c r="L61" s="1274"/>
      <c r="M61" s="656"/>
      <c r="N61" s="1252"/>
      <c r="O61" s="1252"/>
      <c r="P61" s="874"/>
      <c r="Q61" s="875"/>
      <c r="R61"/>
      <c r="S61"/>
      <c r="T61"/>
      <c r="U61"/>
      <c r="V61"/>
      <c r="W61"/>
      <c r="X61"/>
      <c r="Y61"/>
      <c r="Z61"/>
      <c r="AA61"/>
      <c r="AB61"/>
      <c r="AE61"/>
      <c r="AH61" s="658"/>
      <c r="AJ61" s="90"/>
      <c r="AK61" s="90"/>
      <c r="AP61"/>
      <c r="AQ61"/>
    </row>
    <row r="62" spans="1:43" s="21" customFormat="1" ht="15.75" x14ac:dyDescent="0.3">
      <c r="D62" s="633"/>
      <c r="K62" s="1132" t="s">
        <v>773</v>
      </c>
      <c r="L62" s="1132"/>
      <c r="M62" s="656">
        <v>46117</v>
      </c>
      <c r="N62" s="1275">
        <f>F34</f>
        <v>22472422.029908542</v>
      </c>
      <c r="O62" s="1275"/>
      <c r="P62" s="1270"/>
      <c r="Q62" s="1271"/>
      <c r="R62"/>
      <c r="S62"/>
      <c r="T62"/>
      <c r="U62"/>
      <c r="V62"/>
      <c r="W62"/>
      <c r="X62"/>
      <c r="Y62"/>
      <c r="Z62"/>
      <c r="AA62"/>
      <c r="AB62"/>
      <c r="AE62"/>
      <c r="AH62" s="658"/>
      <c r="AJ62" s="90"/>
      <c r="AK62" s="90"/>
      <c r="AP62"/>
      <c r="AQ62"/>
    </row>
    <row r="63" spans="1:43" s="21" customFormat="1" ht="15.75" x14ac:dyDescent="0.3">
      <c r="B63" s="300"/>
      <c r="C63" s="523" t="s">
        <v>895</v>
      </c>
      <c r="D63" s="1272"/>
      <c r="E63" s="1272"/>
      <c r="F63" s="1272"/>
      <c r="K63" s="686"/>
      <c r="M63" s="687"/>
      <c r="R63"/>
      <c r="S63"/>
      <c r="T63"/>
      <c r="U63"/>
      <c r="V63"/>
      <c r="W63"/>
      <c r="X63"/>
      <c r="Y63"/>
      <c r="Z63"/>
      <c r="AA63"/>
      <c r="AB63"/>
      <c r="AE63"/>
      <c r="AH63" s="658"/>
      <c r="AJ63" s="90"/>
      <c r="AK63" s="90"/>
      <c r="AP63"/>
      <c r="AQ63"/>
    </row>
    <row r="64" spans="1:43" s="21" customFormat="1" x14ac:dyDescent="0.3">
      <c r="A64" s="5"/>
      <c r="B64" s="689"/>
      <c r="C64" s="124"/>
      <c r="D64" s="124"/>
      <c r="E64" s="124"/>
      <c r="F64" s="125"/>
      <c r="K64" s="686"/>
      <c r="M64" s="687"/>
      <c r="Q64" s="880"/>
      <c r="R64"/>
      <c r="S64"/>
      <c r="T64"/>
      <c r="U64"/>
      <c r="V64"/>
      <c r="W64"/>
      <c r="X64"/>
      <c r="Y64"/>
      <c r="Z64"/>
      <c r="AA64"/>
      <c r="AB64"/>
      <c r="AE64"/>
      <c r="AH64" s="658"/>
      <c r="AJ64" s="90"/>
      <c r="AK64" s="90"/>
      <c r="AP64"/>
      <c r="AQ64"/>
    </row>
    <row r="65" spans="2:17" x14ac:dyDescent="0.3">
      <c r="B65" s="655" t="s">
        <v>774</v>
      </c>
      <c r="C65" s="655"/>
      <c r="D65" s="655"/>
      <c r="E65" s="655"/>
      <c r="F65" s="655" t="s">
        <v>775</v>
      </c>
      <c r="G65" s="655"/>
      <c r="H65" s="655"/>
      <c r="I65" s="21"/>
      <c r="K65" s="21"/>
      <c r="L65" s="21"/>
      <c r="M65" s="687"/>
      <c r="N65" s="21"/>
      <c r="O65" s="21"/>
      <c r="P65" s="21"/>
      <c r="Q65" s="880"/>
    </row>
    <row r="66" spans="2:17" x14ac:dyDescent="0.3">
      <c r="B66" s="21"/>
      <c r="C66" s="21"/>
      <c r="D66" s="633"/>
      <c r="E66" s="21"/>
      <c r="F66" s="21"/>
      <c r="G66" s="21"/>
      <c r="H66" s="21"/>
      <c r="I66" s="21"/>
      <c r="K66" s="655" t="s">
        <v>774</v>
      </c>
      <c r="L66" s="655"/>
      <c r="M66" s="655"/>
      <c r="N66" s="655"/>
      <c r="O66" s="21"/>
      <c r="P66" s="655" t="s">
        <v>775</v>
      </c>
      <c r="Q66" s="655"/>
    </row>
    <row r="67" spans="2:17" x14ac:dyDescent="0.3">
      <c r="B67" s="1273">
        <f>[23]FORM!I30</f>
        <v>0</v>
      </c>
      <c r="C67" s="1273"/>
      <c r="D67" s="690"/>
      <c r="E67" s="21"/>
      <c r="F67" s="1273">
        <f>[23]FORM!I28</f>
        <v>0</v>
      </c>
      <c r="G67" s="1273"/>
      <c r="H67" s="21"/>
      <c r="I67" s="21"/>
      <c r="K67" s="21"/>
      <c r="L67" s="21"/>
      <c r="M67" s="633"/>
      <c r="N67" s="21"/>
      <c r="O67" s="21"/>
      <c r="P67" s="21"/>
      <c r="Q67" s="21"/>
    </row>
    <row r="68" spans="2:17" x14ac:dyDescent="0.3">
      <c r="B68" s="22" t="s">
        <v>777</v>
      </c>
      <c r="C68" s="22"/>
      <c r="D68" s="633"/>
      <c r="E68" s="21"/>
      <c r="F68" s="22" t="s">
        <v>777</v>
      </c>
      <c r="G68" s="22"/>
      <c r="H68" s="21"/>
      <c r="I68" s="21"/>
      <c r="K68" s="21"/>
      <c r="L68" s="21"/>
      <c r="M68" s="633"/>
      <c r="N68" s="21"/>
      <c r="O68" s="21"/>
      <c r="P68" s="21"/>
      <c r="Q68" s="21"/>
    </row>
    <row r="69" spans="2:17" x14ac:dyDescent="0.3">
      <c r="K69" s="1273">
        <f>[23]FORM!I30</f>
        <v>0</v>
      </c>
      <c r="L69" s="1273"/>
      <c r="M69" s="1273"/>
      <c r="N69" s="21"/>
      <c r="O69" s="21"/>
      <c r="P69" s="1273">
        <f>[23]FORM!I28</f>
        <v>0</v>
      </c>
      <c r="Q69" s="1273"/>
    </row>
    <row r="70" spans="2:17" x14ac:dyDescent="0.3">
      <c r="K70" s="22" t="s">
        <v>777</v>
      </c>
      <c r="L70" s="22"/>
      <c r="M70" s="632"/>
      <c r="N70" s="21"/>
      <c r="O70" s="21"/>
      <c r="P70" s="22" t="s">
        <v>777</v>
      </c>
      <c r="Q70" s="22"/>
    </row>
    <row r="71" spans="2:17" x14ac:dyDescent="0.3">
      <c r="M71" s="5"/>
    </row>
    <row r="72" spans="2:17" x14ac:dyDescent="0.3">
      <c r="M72" s="5"/>
    </row>
    <row r="114" spans="1:1" x14ac:dyDescent="0.3">
      <c r="A114" s="691">
        <f>F17*12%</f>
        <v>2456002.4076402774</v>
      </c>
    </row>
  </sheetData>
  <sheetProtection algorithmName="SHA-512" hashValue="0VZRyg2W1WKIBQFuM07SPcAWMH9+uZhrf0dT7gNWYVdDJyqgaPA27e34zXPPCblIHSLtu/bLMWvICWUAC5Tgwg==" saltValue="UIrRW0eYnuBVQRS+PUG1MA==" spinCount="100000" sheet="1" selectLockedCells="1" selectUnlockedCells="1"/>
  <mergeCells count="316">
    <mergeCell ref="G1:I1"/>
    <mergeCell ref="B3:I4"/>
    <mergeCell ref="K3:Q4"/>
    <mergeCell ref="E6:I6"/>
    <mergeCell ref="N6:Q6"/>
    <mergeCell ref="E7:I7"/>
    <mergeCell ref="N7:Q7"/>
    <mergeCell ref="E11:F11"/>
    <mergeCell ref="G11:I11"/>
    <mergeCell ref="N11:O11"/>
    <mergeCell ref="P11:Q11"/>
    <mergeCell ref="E12:F12"/>
    <mergeCell ref="G12:I12"/>
    <mergeCell ref="N12:O12"/>
    <mergeCell ref="P12:Q12"/>
    <mergeCell ref="E8:I8"/>
    <mergeCell ref="N8:Q8"/>
    <mergeCell ref="E9:I9"/>
    <mergeCell ref="N9:Q9"/>
    <mergeCell ref="E10:F10"/>
    <mergeCell ref="G10:I10"/>
    <mergeCell ref="N10:O10"/>
    <mergeCell ref="P10:Q10"/>
    <mergeCell ref="E13:F13"/>
    <mergeCell ref="G13:I13"/>
    <mergeCell ref="N13:O13"/>
    <mergeCell ref="P13:Q13"/>
    <mergeCell ref="F15:I15"/>
    <mergeCell ref="K15:L16"/>
    <mergeCell ref="M15:M16"/>
    <mergeCell ref="N15:O16"/>
    <mergeCell ref="P15:Q16"/>
    <mergeCell ref="F16:I16"/>
    <mergeCell ref="AJ20:AK20"/>
    <mergeCell ref="F19:I19"/>
    <mergeCell ref="K19:L19"/>
    <mergeCell ref="N19:O19"/>
    <mergeCell ref="P19:Q19"/>
    <mergeCell ref="AF19:AG19"/>
    <mergeCell ref="AJ19:AK19"/>
    <mergeCell ref="F17:I17"/>
    <mergeCell ref="K17:L17"/>
    <mergeCell ref="N17:O17"/>
    <mergeCell ref="P17:Q17"/>
    <mergeCell ref="AF17:AG17"/>
    <mergeCell ref="K18:L18"/>
    <mergeCell ref="N18:O18"/>
    <mergeCell ref="P18:Q18"/>
    <mergeCell ref="AF18:AG18"/>
    <mergeCell ref="F22:I22"/>
    <mergeCell ref="K22:L22"/>
    <mergeCell ref="N22:O22"/>
    <mergeCell ref="P22:Q22"/>
    <mergeCell ref="AF22:AG22"/>
    <mergeCell ref="F20:I20"/>
    <mergeCell ref="K20:L20"/>
    <mergeCell ref="N20:O20"/>
    <mergeCell ref="P20:Q20"/>
    <mergeCell ref="AF20:AG20"/>
    <mergeCell ref="AJ22:AK22"/>
    <mergeCell ref="K23:L23"/>
    <mergeCell ref="N23:O23"/>
    <mergeCell ref="P23:Q23"/>
    <mergeCell ref="AF23:AG23"/>
    <mergeCell ref="AJ23:AK23"/>
    <mergeCell ref="K21:L21"/>
    <mergeCell ref="N21:O21"/>
    <mergeCell ref="P21:Q21"/>
    <mergeCell ref="AF21:AG21"/>
    <mergeCell ref="AJ21:AK21"/>
    <mergeCell ref="F25:I25"/>
    <mergeCell ref="K25:L25"/>
    <mergeCell ref="N25:O25"/>
    <mergeCell ref="P25:Q25"/>
    <mergeCell ref="AF25:AG25"/>
    <mergeCell ref="AJ25:AK25"/>
    <mergeCell ref="F24:I24"/>
    <mergeCell ref="K24:L24"/>
    <mergeCell ref="N24:O24"/>
    <mergeCell ref="P24:Q24"/>
    <mergeCell ref="AF24:AG24"/>
    <mergeCell ref="AJ24:AK24"/>
    <mergeCell ref="F27:I27"/>
    <mergeCell ref="K27:L27"/>
    <mergeCell ref="N27:O27"/>
    <mergeCell ref="P27:Q27"/>
    <mergeCell ref="AF27:AG27"/>
    <mergeCell ref="AJ27:AK27"/>
    <mergeCell ref="T27:U27"/>
    <mergeCell ref="F26:I26"/>
    <mergeCell ref="K26:L26"/>
    <mergeCell ref="N26:O26"/>
    <mergeCell ref="P26:Q26"/>
    <mergeCell ref="AF26:AG26"/>
    <mergeCell ref="AJ26:AK26"/>
    <mergeCell ref="K28:L28"/>
    <mergeCell ref="N28:O28"/>
    <mergeCell ref="P28:Q28"/>
    <mergeCell ref="AF28:AG28"/>
    <mergeCell ref="AJ28:AK28"/>
    <mergeCell ref="B29:C29"/>
    <mergeCell ref="G29:I29"/>
    <mergeCell ref="K29:L29"/>
    <mergeCell ref="N29:O29"/>
    <mergeCell ref="P29:Q29"/>
    <mergeCell ref="AF29:AG29"/>
    <mergeCell ref="AJ29:AK29"/>
    <mergeCell ref="B30:C30"/>
    <mergeCell ref="G30:I30"/>
    <mergeCell ref="K30:L30"/>
    <mergeCell ref="N30:O30"/>
    <mergeCell ref="P30:Q30"/>
    <mergeCell ref="AF30:AG30"/>
    <mergeCell ref="AJ30:AK30"/>
    <mergeCell ref="F34:I34"/>
    <mergeCell ref="K34:L34"/>
    <mergeCell ref="N34:O34"/>
    <mergeCell ref="P34:Q34"/>
    <mergeCell ref="AF34:AG34"/>
    <mergeCell ref="AJ31:AK31"/>
    <mergeCell ref="B32:C32"/>
    <mergeCell ref="G32:I32"/>
    <mergeCell ref="K32:L32"/>
    <mergeCell ref="N32:O32"/>
    <mergeCell ref="P32:Q32"/>
    <mergeCell ref="AF32:AG32"/>
    <mergeCell ref="AJ32:AK32"/>
    <mergeCell ref="T32:U32"/>
    <mergeCell ref="B31:C31"/>
    <mergeCell ref="G31:I31"/>
    <mergeCell ref="K31:L31"/>
    <mergeCell ref="AF31:AG31"/>
    <mergeCell ref="AJ34:AK34"/>
    <mergeCell ref="K35:L35"/>
    <mergeCell ref="N35:O35"/>
    <mergeCell ref="P35:Q35"/>
    <mergeCell ref="AF35:AG35"/>
    <mergeCell ref="AJ35:AK35"/>
    <mergeCell ref="K33:L33"/>
    <mergeCell ref="N33:O33"/>
    <mergeCell ref="P33:Q33"/>
    <mergeCell ref="AF33:AG33"/>
    <mergeCell ref="AJ33:AK33"/>
    <mergeCell ref="T33:U33"/>
    <mergeCell ref="K36:L36"/>
    <mergeCell ref="N36:O36"/>
    <mergeCell ref="P36:Q36"/>
    <mergeCell ref="AF36:AG36"/>
    <mergeCell ref="AJ36:AK36"/>
    <mergeCell ref="D37:E37"/>
    <mergeCell ref="G37:I37"/>
    <mergeCell ref="K37:L37"/>
    <mergeCell ref="N37:O37"/>
    <mergeCell ref="P37:Q37"/>
    <mergeCell ref="AF37:AG37"/>
    <mergeCell ref="AJ37:AK37"/>
    <mergeCell ref="D38:E38"/>
    <mergeCell ref="G38:I38"/>
    <mergeCell ref="K38:L38"/>
    <mergeCell ref="N38:O38"/>
    <mergeCell ref="P38:Q38"/>
    <mergeCell ref="AF38:AG38"/>
    <mergeCell ref="AJ38:AK38"/>
    <mergeCell ref="AJ39:AK39"/>
    <mergeCell ref="D40:E40"/>
    <mergeCell ref="G40:I40"/>
    <mergeCell ref="K40:L40"/>
    <mergeCell ref="N40:O40"/>
    <mergeCell ref="P40:Q40"/>
    <mergeCell ref="AF40:AG40"/>
    <mergeCell ref="AJ40:AK40"/>
    <mergeCell ref="D39:E39"/>
    <mergeCell ref="G39:I39"/>
    <mergeCell ref="K39:L39"/>
    <mergeCell ref="N39:O39"/>
    <mergeCell ref="P39:Q39"/>
    <mergeCell ref="AF39:AG39"/>
    <mergeCell ref="AJ41:AK41"/>
    <mergeCell ref="K42:L42"/>
    <mergeCell ref="N42:O42"/>
    <mergeCell ref="P42:Q42"/>
    <mergeCell ref="AF42:AG42"/>
    <mergeCell ref="AJ42:AK42"/>
    <mergeCell ref="D41:E41"/>
    <mergeCell ref="G41:I41"/>
    <mergeCell ref="K41:L41"/>
    <mergeCell ref="N41:O41"/>
    <mergeCell ref="P41:Q41"/>
    <mergeCell ref="AF41:AG41"/>
    <mergeCell ref="K43:L43"/>
    <mergeCell ref="N43:O43"/>
    <mergeCell ref="P43:Q43"/>
    <mergeCell ref="AF43:AG43"/>
    <mergeCell ref="AJ43:AK43"/>
    <mergeCell ref="K44:L44"/>
    <mergeCell ref="N44:O44"/>
    <mergeCell ref="P44:Q44"/>
    <mergeCell ref="AF44:AG44"/>
    <mergeCell ref="AJ44:AK44"/>
    <mergeCell ref="K45:L45"/>
    <mergeCell ref="N45:O45"/>
    <mergeCell ref="P45:Q45"/>
    <mergeCell ref="AF45:AG45"/>
    <mergeCell ref="AJ45:AK45"/>
    <mergeCell ref="K46:L46"/>
    <mergeCell ref="N46:O46"/>
    <mergeCell ref="P46:Q46"/>
    <mergeCell ref="AF46:AG46"/>
    <mergeCell ref="AJ46:AK46"/>
    <mergeCell ref="K47:L47"/>
    <mergeCell ref="N47:O47"/>
    <mergeCell ref="P47:Q47"/>
    <mergeCell ref="AF47:AG47"/>
    <mergeCell ref="AJ47:AK47"/>
    <mergeCell ref="K48:L48"/>
    <mergeCell ref="N48:O48"/>
    <mergeCell ref="P48:Q48"/>
    <mergeCell ref="AF48:AG48"/>
    <mergeCell ref="AJ48:AK48"/>
    <mergeCell ref="AF49:AG49"/>
    <mergeCell ref="AJ49:AK49"/>
    <mergeCell ref="B50:C51"/>
    <mergeCell ref="D50:F51"/>
    <mergeCell ref="G50:I51"/>
    <mergeCell ref="K50:L50"/>
    <mergeCell ref="N50:O50"/>
    <mergeCell ref="P50:Q50"/>
    <mergeCell ref="AF50:AG50"/>
    <mergeCell ref="K51:L51"/>
    <mergeCell ref="B49:C49"/>
    <mergeCell ref="D49:F49"/>
    <mergeCell ref="G49:I49"/>
    <mergeCell ref="K49:L49"/>
    <mergeCell ref="N49:O49"/>
    <mergeCell ref="P49:Q49"/>
    <mergeCell ref="N51:O51"/>
    <mergeCell ref="P51:Q51"/>
    <mergeCell ref="AF51:AG51"/>
    <mergeCell ref="B52:C53"/>
    <mergeCell ref="D52:F53"/>
    <mergeCell ref="G52:I53"/>
    <mergeCell ref="K52:L52"/>
    <mergeCell ref="N52:O52"/>
    <mergeCell ref="P52:Q52"/>
    <mergeCell ref="AF52:AG52"/>
    <mergeCell ref="B56:C57"/>
    <mergeCell ref="D56:F57"/>
    <mergeCell ref="G56:I57"/>
    <mergeCell ref="K56:L56"/>
    <mergeCell ref="N56:O56"/>
    <mergeCell ref="K53:L53"/>
    <mergeCell ref="N53:O53"/>
    <mergeCell ref="P53:Q53"/>
    <mergeCell ref="AF53:AG53"/>
    <mergeCell ref="B54:C55"/>
    <mergeCell ref="D54:F55"/>
    <mergeCell ref="G54:I55"/>
    <mergeCell ref="K54:L54"/>
    <mergeCell ref="N54:O54"/>
    <mergeCell ref="P54:Q54"/>
    <mergeCell ref="P56:Q56"/>
    <mergeCell ref="AF56:AG56"/>
    <mergeCell ref="K57:L57"/>
    <mergeCell ref="N57:O57"/>
    <mergeCell ref="P57:Q57"/>
    <mergeCell ref="AF57:AG57"/>
    <mergeCell ref="AF54:AG54"/>
    <mergeCell ref="K55:L55"/>
    <mergeCell ref="N55:O55"/>
    <mergeCell ref="P55:Q55"/>
    <mergeCell ref="AF55:AG55"/>
    <mergeCell ref="D63:F63"/>
    <mergeCell ref="K69:M69"/>
    <mergeCell ref="P69:Q69"/>
    <mergeCell ref="B67:C67"/>
    <mergeCell ref="F67:G67"/>
    <mergeCell ref="AF58:AG58"/>
    <mergeCell ref="K62:L62"/>
    <mergeCell ref="N62:O62"/>
    <mergeCell ref="P62:Q62"/>
    <mergeCell ref="AF59:AG59"/>
    <mergeCell ref="B60:C61"/>
    <mergeCell ref="D60:F61"/>
    <mergeCell ref="G60:I61"/>
    <mergeCell ref="B58:C59"/>
    <mergeCell ref="D58:F59"/>
    <mergeCell ref="G58:I59"/>
    <mergeCell ref="K58:L58"/>
    <mergeCell ref="N58:O58"/>
    <mergeCell ref="P58:Q58"/>
    <mergeCell ref="K59:L59"/>
    <mergeCell ref="K60:L60"/>
    <mergeCell ref="K61:L61"/>
    <mergeCell ref="N59:O59"/>
    <mergeCell ref="N60:O60"/>
    <mergeCell ref="N61:O61"/>
    <mergeCell ref="S1:T1"/>
    <mergeCell ref="S15:AD15"/>
    <mergeCell ref="T20:U20"/>
    <mergeCell ref="T21:U21"/>
    <mergeCell ref="T26:U26"/>
    <mergeCell ref="Z10:AC10"/>
    <mergeCell ref="X10:Y10"/>
    <mergeCell ref="X8:AD8"/>
    <mergeCell ref="X9:AD9"/>
    <mergeCell ref="X11:Y11"/>
    <mergeCell ref="X12:Y12"/>
    <mergeCell ref="X13:Y13"/>
    <mergeCell ref="U1:V1"/>
    <mergeCell ref="Z1:AA1"/>
    <mergeCell ref="AB1:AD1"/>
    <mergeCell ref="S3:AD4"/>
    <mergeCell ref="X6:AD6"/>
    <mergeCell ref="X7:AD7"/>
    <mergeCell ref="N31:O31"/>
    <mergeCell ref="P31:Q31"/>
  </mergeCells>
  <phoneticPr fontId="28" type="noConversion"/>
  <pageMargins left="0.59055118110236227" right="0.59055118110236227" top="0.76666666666666672" bottom="0.55397727272727271" header="0.31496062992125984" footer="0.31496062992125984"/>
  <pageSetup paperSize="14" scale="80" orientation="portrait" verticalDpi="360" r:id="rId1"/>
  <headerFooter>
    <oddHeader xml:space="preserve">&amp;R&amp;"Century Gothic,Bold"&amp;18ANNEX A: 
SAMPLE PACKAGE COMPUTATION
</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59405" r:id="rId4" name="Check Box 13">
              <controlPr defaultSize="0" autoFill="0" autoLine="0" autoPict="0">
                <anchor moveWithCells="1">
                  <from>
                    <xdr:col>21</xdr:col>
                    <xdr:colOff>76200</xdr:colOff>
                    <xdr:row>17</xdr:row>
                    <xdr:rowOff>0</xdr:rowOff>
                  </from>
                  <to>
                    <xdr:col>21</xdr:col>
                    <xdr:colOff>295275</xdr:colOff>
                    <xdr:row>18</xdr:row>
                    <xdr:rowOff>38100</xdr:rowOff>
                  </to>
                </anchor>
              </controlPr>
            </control>
          </mc:Choice>
        </mc:AlternateContent>
        <mc:AlternateContent xmlns:mc="http://schemas.openxmlformats.org/markup-compatibility/2006">
          <mc:Choice Requires="x14">
            <control shapeId="59406" r:id="rId5" name="Check Box 14">
              <controlPr defaultSize="0" autoFill="0" autoLine="0" autoPict="0">
                <anchor moveWithCells="1">
                  <from>
                    <xdr:col>21</xdr:col>
                    <xdr:colOff>76200</xdr:colOff>
                    <xdr:row>18</xdr:row>
                    <xdr:rowOff>190500</xdr:rowOff>
                  </from>
                  <to>
                    <xdr:col>21</xdr:col>
                    <xdr:colOff>295275</xdr:colOff>
                    <xdr:row>20</xdr:row>
                    <xdr:rowOff>19050</xdr:rowOff>
                  </to>
                </anchor>
              </controlPr>
            </control>
          </mc:Choice>
        </mc:AlternateContent>
        <mc:AlternateContent xmlns:mc="http://schemas.openxmlformats.org/markup-compatibility/2006">
          <mc:Choice Requires="x14">
            <control shapeId="59407" r:id="rId6" name="Check Box 15">
              <controlPr defaultSize="0" autoFill="0" autoLine="0" autoPict="0">
                <anchor moveWithCells="1">
                  <from>
                    <xdr:col>21</xdr:col>
                    <xdr:colOff>76200</xdr:colOff>
                    <xdr:row>23</xdr:row>
                    <xdr:rowOff>0</xdr:rowOff>
                  </from>
                  <to>
                    <xdr:col>21</xdr:col>
                    <xdr:colOff>285750</xdr:colOff>
                    <xdr:row>24</xdr:row>
                    <xdr:rowOff>38100</xdr:rowOff>
                  </to>
                </anchor>
              </controlPr>
            </control>
          </mc:Choice>
        </mc:AlternateContent>
        <mc:AlternateContent xmlns:mc="http://schemas.openxmlformats.org/markup-compatibility/2006">
          <mc:Choice Requires="x14">
            <control shapeId="59408" r:id="rId7" name="Check Box 16">
              <controlPr defaultSize="0" autoFill="0" autoLine="0" autoPict="0">
                <anchor moveWithCells="1">
                  <from>
                    <xdr:col>21</xdr:col>
                    <xdr:colOff>66675</xdr:colOff>
                    <xdr:row>24</xdr:row>
                    <xdr:rowOff>190500</xdr:rowOff>
                  </from>
                  <to>
                    <xdr:col>21</xdr:col>
                    <xdr:colOff>285750</xdr:colOff>
                    <xdr:row>26</xdr:row>
                    <xdr:rowOff>19050</xdr:rowOff>
                  </to>
                </anchor>
              </controlPr>
            </control>
          </mc:Choice>
        </mc:AlternateContent>
        <mc:AlternateContent xmlns:mc="http://schemas.openxmlformats.org/markup-compatibility/2006">
          <mc:Choice Requires="x14">
            <control shapeId="59409" r:id="rId8" name="Check Box 17">
              <controlPr defaultSize="0" autoFill="0" autoLine="0" autoPict="0">
                <anchor moveWithCells="1">
                  <from>
                    <xdr:col>21</xdr:col>
                    <xdr:colOff>76200</xdr:colOff>
                    <xdr:row>29</xdr:row>
                    <xdr:rowOff>0</xdr:rowOff>
                  </from>
                  <to>
                    <xdr:col>21</xdr:col>
                    <xdr:colOff>285750</xdr:colOff>
                    <xdr:row>30</xdr:row>
                    <xdr:rowOff>38100</xdr:rowOff>
                  </to>
                </anchor>
              </controlPr>
            </control>
          </mc:Choice>
        </mc:AlternateContent>
        <mc:AlternateContent xmlns:mc="http://schemas.openxmlformats.org/markup-compatibility/2006">
          <mc:Choice Requires="x14">
            <control shapeId="59410" r:id="rId9" name="Check Box 18">
              <controlPr defaultSize="0" autoFill="0" autoLine="0" autoPict="0">
                <anchor moveWithCells="1">
                  <from>
                    <xdr:col>21</xdr:col>
                    <xdr:colOff>66675</xdr:colOff>
                    <xdr:row>30</xdr:row>
                    <xdr:rowOff>190500</xdr:rowOff>
                  </from>
                  <to>
                    <xdr:col>21</xdr:col>
                    <xdr:colOff>285750</xdr:colOff>
                    <xdr:row>32</xdr:row>
                    <xdr:rowOff>19050</xdr:rowOff>
                  </to>
                </anchor>
              </controlPr>
            </control>
          </mc:Choice>
        </mc:AlternateContent>
      </controls>
    </mc:Choice>
  </mc:AlternateConten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969248-8F55-4625-80B4-DE2AFC2480BD}">
  <sheetPr codeName="Sheet27"/>
  <dimension ref="A1:U80"/>
  <sheetViews>
    <sheetView showGridLines="0" showZeros="0" view="pageBreakPreview" zoomScale="115" zoomScaleNormal="100" zoomScaleSheetLayoutView="115" workbookViewId="0">
      <selection activeCell="M61" sqref="M61"/>
    </sheetView>
  </sheetViews>
  <sheetFormatPr defaultColWidth="9.28515625" defaultRowHeight="16.5" x14ac:dyDescent="0.3"/>
  <cols>
    <col min="1" max="1" width="3.28515625" style="5" customWidth="1"/>
    <col min="2" max="2" width="1.28515625" style="5" customWidth="1"/>
    <col min="3" max="3" width="4.5703125" style="5" customWidth="1"/>
    <col min="4" max="4" width="2.7109375" style="5" customWidth="1"/>
    <col min="5" max="5" width="7" style="5" customWidth="1"/>
    <col min="6" max="6" width="4.28515625" style="5" customWidth="1"/>
    <col min="7" max="7" width="3.42578125" style="5" customWidth="1"/>
    <col min="8" max="8" width="3.28515625" style="5" customWidth="1"/>
    <col min="9" max="9" width="5.28515625" style="5" customWidth="1"/>
    <col min="10" max="10" width="3.28515625" style="5" customWidth="1"/>
    <col min="11" max="11" width="4.7109375" style="5" customWidth="1"/>
    <col min="12" max="12" width="5.7109375" style="5" customWidth="1"/>
    <col min="13" max="13" width="7" style="5" customWidth="1"/>
    <col min="14" max="14" width="3.28515625" style="5" customWidth="1"/>
    <col min="15" max="15" width="4.42578125" style="5" customWidth="1"/>
    <col min="16" max="16" width="7" style="5" customWidth="1"/>
    <col min="17" max="17" width="5.28515625" style="5" customWidth="1"/>
    <col min="18" max="18" width="15.7109375" style="5" customWidth="1"/>
    <col min="19" max="19" width="2.42578125" style="5" customWidth="1"/>
    <col min="20" max="20" width="12.7109375" style="5" customWidth="1"/>
    <col min="21" max="21" width="1.28515625" style="5" customWidth="1"/>
    <col min="22" max="16384" width="9.28515625" style="5"/>
  </cols>
  <sheetData>
    <row r="1" spans="1:21" ht="7.5" customHeight="1" x14ac:dyDescent="0.3">
      <c r="U1" s="58"/>
    </row>
    <row r="2" spans="1:21" s="18" customFormat="1" ht="14.25" x14ac:dyDescent="0.3">
      <c r="A2" s="18" t="s">
        <v>778</v>
      </c>
      <c r="C2" s="1227">
        <f>FORM!G22</f>
        <v>45870</v>
      </c>
      <c r="D2" s="1227"/>
      <c r="E2" s="1227"/>
      <c r="F2" s="1227"/>
    </row>
    <row r="3" spans="1:21" s="18" customFormat="1" ht="13.5" x14ac:dyDescent="0.3"/>
    <row r="4" spans="1:21" s="18" customFormat="1" ht="14.25" x14ac:dyDescent="0.3">
      <c r="A4" s="655" t="s">
        <v>779</v>
      </c>
    </row>
    <row r="5" spans="1:21" s="18" customFormat="1" ht="9" customHeight="1" x14ac:dyDescent="0.3"/>
    <row r="6" spans="1:21" s="18" customFormat="1" ht="16.5" customHeight="1" x14ac:dyDescent="0.3">
      <c r="A6" s="1228" t="s">
        <v>780</v>
      </c>
      <c r="B6" s="1228"/>
      <c r="C6" s="1228"/>
      <c r="D6" s="1228"/>
      <c r="E6" s="1228"/>
      <c r="F6" s="1228"/>
      <c r="G6" s="1228"/>
      <c r="H6" s="1228"/>
      <c r="I6" s="1228"/>
      <c r="J6" s="1228"/>
      <c r="K6" s="1228"/>
      <c r="L6" s="1228"/>
      <c r="M6" s="1228"/>
      <c r="N6" s="1228"/>
      <c r="O6" s="1228"/>
      <c r="P6" s="1228"/>
      <c r="Q6" s="1228"/>
      <c r="R6" s="1228"/>
      <c r="S6" s="1228"/>
      <c r="T6" s="1228"/>
      <c r="U6" s="1228"/>
    </row>
    <row r="7" spans="1:21" ht="8.25" customHeight="1" x14ac:dyDescent="0.3">
      <c r="A7" s="21"/>
      <c r="B7" s="21"/>
      <c r="C7" s="21"/>
      <c r="D7" s="21"/>
      <c r="E7" s="21"/>
      <c r="F7" s="21"/>
      <c r="G7" s="21"/>
      <c r="H7" s="21"/>
      <c r="I7" s="21"/>
      <c r="J7" s="21"/>
      <c r="K7" s="21"/>
      <c r="L7" s="21"/>
      <c r="M7" s="21"/>
      <c r="N7" s="21"/>
      <c r="O7" s="21"/>
      <c r="P7" s="21"/>
      <c r="Q7" s="21"/>
      <c r="R7" s="21"/>
      <c r="S7" s="21"/>
      <c r="T7" s="21"/>
      <c r="U7" s="21"/>
    </row>
    <row r="8" spans="1:21" x14ac:dyDescent="0.3">
      <c r="A8" s="25" t="s">
        <v>781</v>
      </c>
      <c r="B8" s="26"/>
      <c r="C8" s="26"/>
      <c r="D8" s="24"/>
      <c r="E8" s="1229" t="str">
        <f>FORM!G11</f>
        <v>WEECOMM CENTRE</v>
      </c>
      <c r="F8" s="1229"/>
      <c r="G8" s="1229"/>
      <c r="H8" s="1229"/>
      <c r="I8" s="1229"/>
      <c r="J8" s="1229"/>
      <c r="K8" s="1229"/>
      <c r="L8" s="1229"/>
      <c r="M8" s="1229"/>
      <c r="N8" s="1229"/>
      <c r="O8" s="1229"/>
      <c r="P8" s="1229"/>
      <c r="Q8" s="1229"/>
      <c r="R8" s="1229"/>
      <c r="S8" s="1229"/>
      <c r="T8" s="1229"/>
      <c r="U8" s="62"/>
    </row>
    <row r="9" spans="1:21" x14ac:dyDescent="0.3">
      <c r="A9" s="27" t="s">
        <v>782</v>
      </c>
      <c r="B9" s="28"/>
      <c r="C9" s="28"/>
      <c r="D9" s="29"/>
      <c r="E9" s="30" t="s">
        <v>783</v>
      </c>
      <c r="F9" s="29"/>
      <c r="G9" s="29"/>
      <c r="H9" s="29"/>
      <c r="I9" s="29"/>
      <c r="J9" s="29"/>
      <c r="K9" s="29"/>
      <c r="L9" s="60"/>
      <c r="M9" s="29"/>
      <c r="N9" s="29"/>
      <c r="O9" s="29"/>
      <c r="P9" s="29"/>
      <c r="Q9" s="29"/>
      <c r="R9" s="29"/>
      <c r="S9" s="29"/>
      <c r="T9" s="30"/>
      <c r="U9" s="59"/>
    </row>
    <row r="10" spans="1:21" x14ac:dyDescent="0.3">
      <c r="A10" s="31"/>
      <c r="B10" s="8"/>
      <c r="C10" s="8"/>
      <c r="D10" s="8"/>
      <c r="E10" s="32"/>
      <c r="F10" s="8"/>
      <c r="G10" s="8"/>
      <c r="H10" s="8"/>
      <c r="I10" s="8"/>
      <c r="J10" s="8"/>
      <c r="K10" s="8"/>
      <c r="L10" s="32"/>
      <c r="M10" s="8"/>
      <c r="N10" s="8"/>
      <c r="O10" s="8"/>
      <c r="P10" s="8"/>
      <c r="Q10" s="8"/>
      <c r="R10" s="8"/>
      <c r="S10" s="8"/>
      <c r="T10" s="32"/>
      <c r="U10" s="33"/>
    </row>
    <row r="11" spans="1:21" ht="7.5" customHeight="1" x14ac:dyDescent="0.3">
      <c r="T11" s="5" t="s">
        <v>660</v>
      </c>
    </row>
    <row r="12" spans="1:21" x14ac:dyDescent="0.3">
      <c r="A12" s="1230" t="s">
        <v>784</v>
      </c>
      <c r="B12" s="1231"/>
      <c r="C12" s="1231"/>
      <c r="D12" s="1231"/>
      <c r="E12" s="1231"/>
      <c r="F12" s="1232"/>
      <c r="G12" s="1230" t="s">
        <v>267</v>
      </c>
      <c r="H12" s="1231"/>
      <c r="I12" s="1231"/>
      <c r="J12" s="1231"/>
      <c r="K12" s="1231"/>
      <c r="L12" s="1232"/>
      <c r="M12" s="1230" t="s">
        <v>785</v>
      </c>
      <c r="N12" s="1231"/>
      <c r="O12" s="1231"/>
      <c r="P12" s="1231"/>
      <c r="Q12" s="1232"/>
      <c r="R12" s="1230" t="s">
        <v>786</v>
      </c>
      <c r="S12" s="1231"/>
      <c r="T12" s="1231"/>
      <c r="U12" s="1232"/>
    </row>
    <row r="13" spans="1:21" x14ac:dyDescent="0.3">
      <c r="A13" s="40" t="s">
        <v>787</v>
      </c>
      <c r="B13" s="41"/>
      <c r="C13" s="41"/>
      <c r="D13" s="1193">
        <f>RA_Standard!D21</f>
        <v>1</v>
      </c>
      <c r="E13" s="1194"/>
      <c r="F13" s="1195"/>
      <c r="G13" s="40" t="s">
        <v>787</v>
      </c>
      <c r="H13" s="41"/>
      <c r="I13" s="42"/>
      <c r="J13" s="1207"/>
      <c r="K13" s="1208"/>
      <c r="L13" s="1209"/>
      <c r="M13" s="40" t="s">
        <v>788</v>
      </c>
      <c r="N13" s="41"/>
      <c r="O13" s="42"/>
      <c r="P13" s="1210"/>
      <c r="Q13" s="1197"/>
      <c r="R13" s="1211" t="s">
        <v>787</v>
      </c>
      <c r="S13" s="1212"/>
      <c r="T13" s="1213"/>
      <c r="U13" s="1214"/>
    </row>
    <row r="14" spans="1:21" x14ac:dyDescent="0.3">
      <c r="A14" s="36" t="s">
        <v>789</v>
      </c>
      <c r="B14" s="37"/>
      <c r="C14" s="37"/>
      <c r="D14" s="1193" t="str">
        <f>RA_Standard!D22</f>
        <v>GF</v>
      </c>
      <c r="E14" s="1194"/>
      <c r="F14" s="1195"/>
      <c r="G14" s="40" t="s">
        <v>790</v>
      </c>
      <c r="H14" s="41"/>
      <c r="I14" s="42"/>
      <c r="J14" s="1207"/>
      <c r="K14" s="1208"/>
      <c r="L14" s="1209"/>
      <c r="M14" s="40" t="s">
        <v>791</v>
      </c>
      <c r="N14" s="41"/>
      <c r="O14" s="42"/>
      <c r="P14" s="1210"/>
      <c r="Q14" s="1197"/>
      <c r="R14" s="1211" t="s">
        <v>792</v>
      </c>
      <c r="S14" s="1212"/>
      <c r="T14" s="1213"/>
      <c r="U14" s="1214"/>
    </row>
    <row r="15" spans="1:21" x14ac:dyDescent="0.3">
      <c r="A15" s="40" t="s">
        <v>792</v>
      </c>
      <c r="B15" s="41"/>
      <c r="C15" s="42"/>
      <c r="D15" s="1193" t="str">
        <f>RA_Standard!D23</f>
        <v>9G</v>
      </c>
      <c r="E15" s="1194"/>
      <c r="F15" s="1195"/>
      <c r="G15" s="40" t="s">
        <v>793</v>
      </c>
      <c r="H15" s="41"/>
      <c r="I15" s="42"/>
      <c r="J15" s="1207"/>
      <c r="K15" s="1208"/>
      <c r="L15" s="1209"/>
      <c r="M15" s="40" t="s">
        <v>794</v>
      </c>
      <c r="N15" s="41"/>
      <c r="O15" s="42"/>
      <c r="P15" s="1210"/>
      <c r="Q15" s="1197"/>
      <c r="R15" s="1211" t="s">
        <v>795</v>
      </c>
      <c r="S15" s="1212"/>
      <c r="T15" s="1213"/>
      <c r="U15" s="1214"/>
    </row>
    <row r="16" spans="1:21" ht="16.5" customHeight="1" x14ac:dyDescent="0.3">
      <c r="A16" s="36" t="s">
        <v>80</v>
      </c>
      <c r="B16" s="40"/>
      <c r="C16" s="42"/>
      <c r="D16" s="1193">
        <f>RA_Standard!D24</f>
        <v>108.78</v>
      </c>
      <c r="E16" s="1194"/>
      <c r="F16" s="1195"/>
      <c r="G16" s="40" t="s">
        <v>795</v>
      </c>
      <c r="H16" s="41"/>
      <c r="I16" s="42"/>
      <c r="J16" s="1207"/>
      <c r="K16" s="1208"/>
      <c r="L16" s="1209"/>
      <c r="M16" s="36" t="s">
        <v>80</v>
      </c>
      <c r="N16" s="37"/>
      <c r="O16" s="37"/>
      <c r="P16" s="1196"/>
      <c r="Q16" s="1197"/>
      <c r="R16" s="1215" t="s">
        <v>796</v>
      </c>
      <c r="S16" s="1216"/>
      <c r="T16" s="1221"/>
      <c r="U16" s="1222"/>
    </row>
    <row r="17" spans="1:21" ht="16.5" customHeight="1" x14ac:dyDescent="0.3">
      <c r="A17" s="40" t="s">
        <v>797</v>
      </c>
      <c r="B17" s="37"/>
      <c r="C17" s="37"/>
      <c r="D17" s="1193" t="str">
        <f>RA_Standard!D25</f>
        <v>2-BR BARE</v>
      </c>
      <c r="E17" s="1194"/>
      <c r="F17" s="1195"/>
      <c r="G17" s="40" t="s">
        <v>798</v>
      </c>
      <c r="H17" s="41"/>
      <c r="I17" s="42"/>
      <c r="J17" s="698"/>
      <c r="K17" s="699"/>
      <c r="L17" s="700"/>
      <c r="M17" s="36" t="s">
        <v>799</v>
      </c>
      <c r="N17" s="37"/>
      <c r="O17" s="37"/>
      <c r="P17" s="1196"/>
      <c r="Q17" s="1197"/>
      <c r="R17" s="1217"/>
      <c r="S17" s="1218"/>
      <c r="T17" s="1223"/>
      <c r="U17" s="1224"/>
    </row>
    <row r="18" spans="1:21" x14ac:dyDescent="0.3">
      <c r="B18"/>
      <c r="C18"/>
      <c r="D18"/>
      <c r="E18"/>
      <c r="F18"/>
      <c r="G18"/>
      <c r="H18"/>
      <c r="I18"/>
      <c r="J18"/>
      <c r="K18"/>
      <c r="L18"/>
      <c r="M18" s="40" t="s">
        <v>800</v>
      </c>
      <c r="N18" s="41"/>
      <c r="O18" s="42"/>
      <c r="P18" s="1198"/>
      <c r="Q18" s="1195"/>
      <c r="R18" s="1219"/>
      <c r="S18" s="1220"/>
      <c r="T18" s="1225"/>
      <c r="U18" s="1226"/>
    </row>
    <row r="19" spans="1:21" ht="7.5" customHeight="1" x14ac:dyDescent="0.3"/>
    <row r="20" spans="1:21" x14ac:dyDescent="0.3">
      <c r="A20" s="40" t="s">
        <v>37</v>
      </c>
      <c r="B20" s="41"/>
      <c r="C20" s="41"/>
      <c r="D20" s="41"/>
      <c r="E20" s="41"/>
      <c r="F20" s="41"/>
      <c r="G20" s="41"/>
      <c r="H20" s="42"/>
      <c r="I20" s="1199">
        <f>'RA_Step up'!I27:U27</f>
        <v>20466686.730335645</v>
      </c>
      <c r="J20" s="1200"/>
      <c r="K20" s="1200"/>
      <c r="L20" s="1200"/>
      <c r="M20" s="1200"/>
      <c r="N20" s="1200"/>
      <c r="O20" s="1200"/>
      <c r="P20" s="1200"/>
      <c r="Q20" s="1200"/>
      <c r="R20" s="1200"/>
      <c r="S20" s="1200"/>
      <c r="T20" s="1200"/>
      <c r="U20" s="1201"/>
    </row>
    <row r="21" spans="1:21" x14ac:dyDescent="0.3">
      <c r="A21" s="40" t="s">
        <v>801</v>
      </c>
      <c r="B21" s="41"/>
      <c r="C21" s="43"/>
      <c r="D21" s="43"/>
      <c r="E21" s="43"/>
      <c r="F21" s="43"/>
      <c r="G21" s="43"/>
      <c r="H21" s="44"/>
      <c r="I21" s="1199">
        <f>'RA_Step up'!I28:U28</f>
        <v>0</v>
      </c>
      <c r="J21" s="1200"/>
      <c r="K21" s="1200"/>
      <c r="L21" s="1200"/>
      <c r="M21" s="1200"/>
      <c r="N21" s="1200"/>
      <c r="O21" s="1200"/>
      <c r="P21" s="1200"/>
      <c r="Q21" s="1200"/>
      <c r="R21" s="1200"/>
      <c r="S21" s="1200"/>
      <c r="T21" s="1200"/>
      <c r="U21" s="1201"/>
    </row>
    <row r="22" spans="1:21" x14ac:dyDescent="0.3">
      <c r="A22" s="52" t="s">
        <v>92</v>
      </c>
      <c r="B22" s="53"/>
      <c r="C22" s="54"/>
      <c r="D22" s="54"/>
      <c r="E22" s="54"/>
      <c r="F22" s="54"/>
      <c r="G22" s="54"/>
      <c r="H22" s="51"/>
      <c r="I22" s="1199">
        <f>'RA_Step up'!I29:U29</f>
        <v>20466686.730335645</v>
      </c>
      <c r="J22" s="1200"/>
      <c r="K22" s="1200"/>
      <c r="L22" s="1200"/>
      <c r="M22" s="1200"/>
      <c r="N22" s="1200"/>
      <c r="O22" s="1200"/>
      <c r="P22" s="1200"/>
      <c r="Q22" s="1200"/>
      <c r="R22" s="1200"/>
      <c r="S22" s="1200"/>
      <c r="T22" s="1200"/>
      <c r="U22" s="1201"/>
    </row>
    <row r="23" spans="1:21" x14ac:dyDescent="0.3">
      <c r="A23" s="40" t="s">
        <v>802</v>
      </c>
      <c r="B23" s="41"/>
      <c r="C23" s="43"/>
      <c r="D23" s="43"/>
      <c r="E23" s="43"/>
      <c r="F23" s="43"/>
      <c r="G23" s="43"/>
      <c r="H23" s="44"/>
      <c r="I23" s="1199">
        <f>'RA_Step up'!I30:U30</f>
        <v>2046668.6730335646</v>
      </c>
      <c r="J23" s="1200"/>
      <c r="K23" s="1200"/>
      <c r="L23" s="1200"/>
      <c r="M23" s="1200"/>
      <c r="N23" s="1200"/>
      <c r="O23" s="1200"/>
      <c r="P23" s="1200"/>
      <c r="Q23" s="1200"/>
      <c r="R23" s="1200"/>
      <c r="S23" s="1200"/>
      <c r="T23" s="1200"/>
      <c r="U23" s="1201"/>
    </row>
    <row r="24" spans="1:21" x14ac:dyDescent="0.3">
      <c r="A24" s="40" t="s">
        <v>803</v>
      </c>
      <c r="B24" s="41"/>
      <c r="C24" s="43"/>
      <c r="D24" s="43"/>
      <c r="E24" s="43"/>
      <c r="F24" s="43"/>
      <c r="G24" s="43"/>
      <c r="H24" s="44"/>
      <c r="I24" s="1199">
        <f>'RA_Step up'!I32</f>
        <v>2456002.4076402774</v>
      </c>
      <c r="J24" s="1200"/>
      <c r="K24" s="1200"/>
      <c r="L24" s="1200"/>
      <c r="M24" s="1200"/>
      <c r="N24" s="1200"/>
      <c r="O24" s="1200"/>
      <c r="P24" s="1200"/>
      <c r="Q24" s="1200"/>
      <c r="R24" s="1200"/>
      <c r="S24" s="1200"/>
      <c r="T24" s="1200"/>
      <c r="U24" s="1201"/>
    </row>
    <row r="25" spans="1:21" x14ac:dyDescent="0.3">
      <c r="A25" s="40" t="s">
        <v>41</v>
      </c>
      <c r="B25" s="41"/>
      <c r="C25" s="43"/>
      <c r="D25" s="43"/>
      <c r="E25" s="43"/>
      <c r="F25" s="43"/>
      <c r="G25" s="43"/>
      <c r="H25" s="44"/>
      <c r="I25" s="1199">
        <f>'RA_Step up'!I33</f>
        <v>24969357.811009489</v>
      </c>
      <c r="J25" s="1200"/>
      <c r="K25" s="1200"/>
      <c r="L25" s="1200"/>
      <c r="M25" s="1200"/>
      <c r="N25" s="1200"/>
      <c r="O25" s="1200"/>
      <c r="P25" s="1200"/>
      <c r="Q25" s="1200"/>
      <c r="R25" s="1200"/>
      <c r="S25" s="1200"/>
      <c r="T25" s="1200"/>
      <c r="U25" s="1201"/>
    </row>
    <row r="26" spans="1:21" ht="7.5" customHeight="1" x14ac:dyDescent="0.3"/>
    <row r="27" spans="1:21" x14ac:dyDescent="0.3">
      <c r="A27" s="18" t="s">
        <v>804</v>
      </c>
      <c r="B27" s="18"/>
      <c r="C27" s="18"/>
      <c r="D27" s="18"/>
      <c r="E27" s="18"/>
      <c r="F27" s="18"/>
      <c r="G27" s="1205" t="str">
        <f>IF(OR(LEN(FLOOR(P27,1))=13,FLOOR(P27,1)&lt;=0),"Out of range",PROPER(SUBSTITUTE(CONCATENATE(CHOOSE(MID(TEXT(INT(P27),REPT(0,12)),1,1)+1,"","one hundred ","two hundred ","three hundred ","four hundred ","five hundred ","six hundred ","seven hundred ","eight hundred ","nine hundred "),CHOOSE(MID(TEXT(INT(P27),REPT(0,12)),2,1)+1,"",CHOOSE(MID(TEXT(INT(P27),REPT(0,12)),3,1)+1,"ten","eleven","twelve","thirteen","fourteen","fifteen","sixteen","seventeen","eighteen","nineteen"),"twenty","thirty","forty","fifty","sixty","seventy","eighty","ninety"),IF(VALUE(MID(TEXT(INT(P27),REPT(0,12)),2,1))&gt;1,CHOOSE(MID(TEXT(INT(P27),REPT(0,12)),3,1)+1,"","-one","-two","-three","-four","-five","-six","-seven","-eight","-nine"),IF(VALUE(MID(TEXT(INT(P27),REPT(0,12)),2,1))=0,CHOOSE(MID(TEXT(INT(P27),REPT(0,12)),3,1)+1,"","one","two","three","four","five","six","seven","eight","nine"),"")),IF(P27&gt;=10^9," billion ",""),CHOOSE(MID(TEXT(INT(P27),REPT(0,12)),4,1)+1,"","one hundred ","two hundred ","three hundred ","four hundred ","five hundred ","six hundred ","seven hundred ","eight hundred ","nine hundred "),CHOOSE(MID(TEXT(INT(P27),REPT(0,12)),5,1)+1,"",CHOOSE(MID(TEXT(INT(P27),REPT(0,12)),6,1)+1,"ten","eleven","twelve","thirteen","fourteen","fifteen","sixteen","seventeen","eighteen","nineteen"),"twenty","thirty","forty","fifty","sixty","seventy","eighty","ninety"),IF(VALUE(MID(TEXT(INT(P27),REPT(0,12)),5,1))&gt;1,CHOOSE(MID(TEXT(INT(P27),REPT(0,12)),6,1)+1,"","-one","-two","-three","-four","-five","-six","-seven","-eight","-nine"),IF(VALUE(MID(TEXT(INT(P27),REPT(0,12)),5,1))=0,CHOOSE(MID(TEXT(INT(P27),REPT(0,12)),6,1)+1,"","one","two","three","four","five","six","seven","eight","nine"),"")),IF(VALUE(MID(TEXT(INT(P27),REPT(0,12)),4,3))&gt;0," million ",""),CHOOSE(MID(TEXT(INT(P27),REPT(0,12)),7,1)+1,"","one hundred ","two hundred ","three hundred ","four hundred ","five hundred ","six hundred ","seven hundred ","eight hundred ","nine hundred "),CHOOSE(MID(TEXT(INT(P27),REPT(0,12)),8,1)+1,"",CHOOSE(MID(TEXT(INT(P27),REPT(0,12)),9,1)+1,"ten","eleven","twelve","thirteen","fourteen","fifteen","sixteen","seventeen","eighteen","nineteen"),"twenty","thirty","forty","fifty","sixty","seventy","eighty","ninety"),IF(VALUE(MID(TEXT(INT(P27),REPT(0,12)),8,1))&gt;1,CHOOSE(MID(TEXT(INT(P27),REPT(0,12)),9,1)+1,"","-one","-two","-three","-four","-five","-six","-seven","-eight","-nine"),IF(VALUE(MID(TEXT(INT(P27),REPT(0,12)),8,1))=0,CHOOSE(MID(TEXT(INT(P27),REPT(0,12)),9,1)+1,"","one","two","three","four","five","six","seven","eight","nine"),"")),IF(VALUE(MID(TEXT(INT(P27),REPT(0,12)),7,3))," thousand ",""),CHOOSE(MID(TEXT(INT(P27),REPT(0,12)),10,1)+1,"","one hundred ","two hundred ","three hundred ","four hundred ","five hundred ","six hundred ","seven hundred ","eight hundred ","nine hundred "),CHOOSE(MID(TEXT(INT(P27),REPT(0,12)),11,1)+1,"",CHOOSE(MID(TEXT(INT(P27),REPT(0,12)),12,1)+1,"ten","eleven","twelve","thirteen","fourteen","fifteen","sixteen","seventeen","eighteen","nineteen"),"twenty","thirty","forty","fifty","sixty","seventy","eighty","ninety"),IF(VALUE(MID(TEXT(INT(P27),REPT(0,12)),11,1))&gt;1,CHOOSE(MID(TEXT(INT(P27),REPT(0,12)),12,1)+1,"","-one","-two","-three","-four","-five","-six","-seven","-eight","-nine"),IF(VALUE(MID(TEXT(INT(P27),REPT(0,12)),11,1))=0,CHOOSE(MID(TEXT(INT(P27),REPT(0,12)),12,1)+1,"","one","two","three","four","five","six","seven","eight","nine"),""))),"  "," ")&amp;IF(FLOOR(P27,1)&gt;1," PESOS"," dollar"))&amp;IF(ISERROR(FIND(".",P27,1)),""," and "&amp;PROPER(IF(LEN(LEFT(TRIM(MID(SUBSTITUTE([22]Sheet1!A2,".",REPT(" ",255)),255,200)),2))=1,CHOOSE(1*LEFT(TRIM(MID(SUBSTITUTE([22]Sheet1!A2,".",REPT(" ",255)),255,200)),2),"ten","twenty","thirty","forty","fifty","sixty","seventy","eighty","ninety")&amp;" cents","")&amp;CONCATENATE(CHOOSE(MID(TEXT(INT(LEFT(TRIM(MID(SUBSTITUTE([22]Sheet1!A2,".",REPT(" ",255)),255,200)),2)),REPT(0,12)),11,1)+1,"",CHOOSE(MID(TEXT(INT(LEFT(TRIM(MID(SUBSTITUTE([22]Sheet1!A2,".",REPT(" ",255)),255,200)),2)),REPT(0,12)),12,1)+1,"ten","eleven","twelve","thirteen","fourteen","fifteen","sixteen","seventeen","eighteen","nineteen")&amp;" cents","twenty","thirty","forty","fifty","sixty","seventy","eighty","ninety"),IF(VALUE(MID(TEXT(INT(LEFT(TRIM(MID(SUBSTITUTE([22]Sheet1!A2,".",REPT(" ",255)),255,200)),2)),REPT(0,12)),11,1))&gt;1,CHOOSE(MID(TEXT(INT(LEFT(TRIM(MID(SUBSTITUTE([22]Sheet1!A2,".",REPT(" ",255)),255,200)),2)),REPT(0,12)),12,1)+1,"","-one","-two","-three","-four","-five","-six","-seven","-eight","-nine")&amp;" cents",IF(LEFT(TRIM(MID(SUBSTITUTE([22]Sheet1!A2,".",REPT(" ",255)),255,200)),2)="01","one cent",IF(LEFT(TRIM(MID(SUBSTITUTE([22]Sheet1!A2,".",REPT(" ",255)),255,200)),1)="0",CHOOSE(MID(TEXT(INT(LEFT(TRIM(MID(SUBSTITUTE([22]Sheet1!A2,".",REPT(" ",255)),255,200)),2)),REPT(0,12)),12,1)+1,"","one","two","three","four","five","six","seven","eight","nine")&amp;" cents","")))))))</f>
        <v>Fifty Thousand  Pesos</v>
      </c>
      <c r="H27" s="1205"/>
      <c r="I27" s="1205"/>
      <c r="J27" s="1205"/>
      <c r="K27" s="1205"/>
      <c r="L27" s="1205"/>
      <c r="M27" s="1205"/>
      <c r="N27" s="18"/>
      <c r="O27" s="701" t="s">
        <v>805</v>
      </c>
      <c r="P27" s="1205">
        <f>FORM!G24</f>
        <v>50000</v>
      </c>
      <c r="Q27" s="1205"/>
      <c r="R27" s="1205"/>
      <c r="S27" s="18" t="s">
        <v>806</v>
      </c>
      <c r="T27" s="18"/>
      <c r="U27" s="18"/>
    </row>
    <row r="28" spans="1:21" ht="7.5" customHeight="1" x14ac:dyDescent="0.3">
      <c r="A28" s="77"/>
      <c r="B28" s="78"/>
      <c r="C28" s="78"/>
      <c r="D28" s="78"/>
      <c r="E28" s="78"/>
      <c r="F28" s="78"/>
      <c r="G28" s="78"/>
      <c r="H28" s="78"/>
      <c r="I28" s="78"/>
      <c r="J28" s="78"/>
      <c r="K28" s="78"/>
      <c r="L28" s="78"/>
      <c r="M28" s="78"/>
      <c r="N28" s="78"/>
      <c r="O28" s="84"/>
      <c r="P28" s="84"/>
      <c r="Q28" s="84"/>
      <c r="R28" s="84"/>
      <c r="S28" s="61"/>
      <c r="T28" s="85"/>
      <c r="U28" s="61"/>
    </row>
    <row r="29" spans="1:21" ht="13.5" customHeight="1" x14ac:dyDescent="0.3">
      <c r="A29" s="18" t="s">
        <v>807</v>
      </c>
      <c r="B29" s="78"/>
      <c r="C29" s="78"/>
      <c r="D29" s="78"/>
      <c r="E29" s="78"/>
      <c r="F29" s="78"/>
      <c r="G29" s="78"/>
      <c r="H29" s="78"/>
      <c r="I29" s="78"/>
      <c r="J29" s="78"/>
      <c r="K29" s="78"/>
      <c r="L29" s="78"/>
      <c r="M29" s="78"/>
      <c r="N29" s="78"/>
      <c r="O29" s="84"/>
      <c r="P29" s="84"/>
      <c r="Q29" s="84"/>
      <c r="R29" s="84"/>
      <c r="S29" s="61"/>
      <c r="T29" s="85"/>
      <c r="U29" s="61"/>
    </row>
    <row r="30" spans="1:21" ht="13.5" customHeight="1" x14ac:dyDescent="0.3">
      <c r="A30" s="702" t="s">
        <v>808</v>
      </c>
      <c r="B30" s="78"/>
      <c r="C30" s="78"/>
      <c r="D30" s="78"/>
      <c r="E30" s="78"/>
      <c r="F30" s="78"/>
      <c r="G30" s="78"/>
      <c r="H30" s="78"/>
      <c r="I30" s="78"/>
      <c r="J30" s="78"/>
      <c r="K30" s="78"/>
      <c r="L30" s="78"/>
      <c r="M30" s="78"/>
      <c r="N30" s="78"/>
      <c r="O30" s="84"/>
      <c r="P30" s="84"/>
      <c r="Q30" s="84"/>
      <c r="R30" s="84"/>
      <c r="S30" s="61"/>
      <c r="T30" s="85"/>
      <c r="U30" s="61"/>
    </row>
    <row r="31" spans="1:21" ht="13.5" customHeight="1" x14ac:dyDescent="0.3">
      <c r="A31" s="702" t="s">
        <v>809</v>
      </c>
      <c r="B31" s="78"/>
      <c r="C31" s="78"/>
      <c r="D31" s="78"/>
      <c r="E31" s="78"/>
      <c r="F31" s="78"/>
      <c r="G31" s="78"/>
      <c r="H31" s="78"/>
      <c r="I31" s="78"/>
      <c r="J31" s="78"/>
      <c r="K31" s="78"/>
      <c r="L31" s="78"/>
      <c r="M31" s="78"/>
      <c r="N31" s="78"/>
      <c r="O31" s="84"/>
      <c r="P31" s="84"/>
      <c r="Q31" s="84"/>
      <c r="R31" s="84"/>
      <c r="S31" s="61"/>
      <c r="T31" s="85"/>
      <c r="U31" s="61"/>
    </row>
    <row r="32" spans="1:21" ht="7.5" customHeight="1" x14ac:dyDescent="0.3">
      <c r="A32" s="77"/>
      <c r="B32" s="78"/>
      <c r="C32" s="78"/>
      <c r="D32" s="78"/>
      <c r="E32" s="78"/>
      <c r="F32" s="78"/>
      <c r="G32" s="78"/>
      <c r="H32" s="78"/>
      <c r="I32" s="78"/>
      <c r="J32" s="78"/>
      <c r="K32" s="78"/>
      <c r="L32" s="78"/>
      <c r="M32" s="78"/>
      <c r="N32" s="78"/>
      <c r="O32" s="84"/>
      <c r="P32" s="84"/>
      <c r="Q32" s="84"/>
      <c r="R32" s="84"/>
      <c r="S32" s="61"/>
      <c r="T32" s="85"/>
      <c r="U32" s="61"/>
    </row>
    <row r="33" spans="1:21" ht="13.5" customHeight="1" x14ac:dyDescent="0.3">
      <c r="A33" s="701" t="s">
        <v>810</v>
      </c>
      <c r="B33" s="78"/>
      <c r="C33" s="78"/>
      <c r="D33" s="78"/>
      <c r="E33" s="78"/>
      <c r="F33" s="78"/>
      <c r="G33" s="78"/>
      <c r="H33" s="78"/>
      <c r="I33" s="78"/>
      <c r="J33" s="78"/>
      <c r="K33" s="78"/>
      <c r="L33" s="78"/>
      <c r="M33" s="78"/>
      <c r="N33" s="78"/>
      <c r="O33" s="84"/>
      <c r="P33" s="84"/>
      <c r="Q33" s="84"/>
      <c r="R33" s="84"/>
      <c r="S33" s="61"/>
      <c r="T33" s="85"/>
      <c r="U33" s="61"/>
    </row>
    <row r="34" spans="1:21" ht="13.5" customHeight="1" x14ac:dyDescent="0.3">
      <c r="A34" s="701" t="s">
        <v>811</v>
      </c>
      <c r="B34" s="78"/>
      <c r="C34" s="78"/>
      <c r="D34" s="78"/>
      <c r="E34" s="78"/>
      <c r="F34" s="78"/>
      <c r="G34" s="78"/>
      <c r="H34" s="78"/>
      <c r="I34" s="78"/>
      <c r="J34" s="78"/>
      <c r="K34" s="78"/>
      <c r="L34" s="78"/>
      <c r="M34" s="78"/>
      <c r="N34" s="78"/>
      <c r="O34" s="84"/>
      <c r="P34" s="84"/>
      <c r="Q34" s="84"/>
      <c r="R34" s="84"/>
      <c r="S34" s="61"/>
      <c r="T34" s="85"/>
      <c r="U34" s="61"/>
    </row>
    <row r="35" spans="1:21" ht="7.5" customHeight="1" x14ac:dyDescent="0.3">
      <c r="A35" s="77"/>
      <c r="B35" s="78"/>
      <c r="C35" s="78"/>
      <c r="D35" s="78"/>
      <c r="E35" s="78"/>
      <c r="F35" s="78"/>
      <c r="G35" s="78"/>
      <c r="H35" s="78"/>
      <c r="I35" s="78"/>
      <c r="J35" s="78"/>
      <c r="K35" s="78"/>
      <c r="L35" s="78"/>
      <c r="M35" s="78"/>
      <c r="N35" s="78"/>
      <c r="O35" s="84"/>
      <c r="P35" s="84"/>
      <c r="Q35" s="84"/>
      <c r="R35" s="84"/>
      <c r="S35" s="61"/>
      <c r="T35" s="85"/>
      <c r="U35" s="61"/>
    </row>
    <row r="36" spans="1:21" ht="13.5" customHeight="1" x14ac:dyDescent="0.3">
      <c r="A36" s="702" t="s">
        <v>812</v>
      </c>
      <c r="B36" s="78"/>
      <c r="C36" s="78"/>
      <c r="D36" s="78"/>
      <c r="E36" s="78"/>
      <c r="F36" s="78"/>
      <c r="G36" s="78"/>
      <c r="H36" s="78"/>
      <c r="I36" s="78"/>
      <c r="J36" s="78"/>
      <c r="K36" s="78"/>
      <c r="L36" s="78"/>
      <c r="M36" s="78"/>
      <c r="N36" s="78"/>
      <c r="O36" s="84"/>
      <c r="P36" s="84"/>
      <c r="Q36" s="84"/>
      <c r="R36" s="84"/>
      <c r="S36" s="61"/>
      <c r="T36" s="85"/>
      <c r="U36" s="61"/>
    </row>
    <row r="37" spans="1:21" ht="7.5" customHeight="1" x14ac:dyDescent="0.3">
      <c r="A37" s="77"/>
      <c r="B37" s="78"/>
      <c r="C37" s="78"/>
      <c r="D37" s="78"/>
      <c r="E37" s="78"/>
      <c r="F37" s="78"/>
      <c r="G37" s="78"/>
      <c r="H37" s="78"/>
      <c r="I37" s="78"/>
      <c r="J37" s="78"/>
      <c r="K37" s="78"/>
      <c r="L37" s="78"/>
      <c r="M37" s="78"/>
      <c r="N37" s="78"/>
      <c r="O37" s="84"/>
      <c r="P37" s="84"/>
      <c r="Q37" s="84"/>
      <c r="R37" s="84"/>
      <c r="S37" s="61"/>
      <c r="T37" s="85"/>
      <c r="U37" s="61"/>
    </row>
    <row r="38" spans="1:21" ht="13.5" customHeight="1" x14ac:dyDescent="0.3">
      <c r="A38" s="701" t="s">
        <v>813</v>
      </c>
      <c r="B38" s="78"/>
      <c r="C38" s="78"/>
      <c r="D38" s="78"/>
      <c r="E38" s="78"/>
      <c r="F38" s="78"/>
      <c r="G38" s="78"/>
      <c r="H38" s="78"/>
      <c r="I38" s="78"/>
      <c r="J38" s="78"/>
      <c r="K38" s="78"/>
      <c r="L38" s="78"/>
      <c r="M38" s="78"/>
      <c r="N38" s="78"/>
      <c r="O38" s="84"/>
      <c r="P38" s="84"/>
      <c r="Q38" s="84"/>
      <c r="R38" s="84"/>
      <c r="S38" s="61"/>
      <c r="T38" s="85"/>
      <c r="U38" s="61"/>
    </row>
    <row r="39" spans="1:21" ht="13.5" customHeight="1" x14ac:dyDescent="0.3">
      <c r="A39" s="703" t="s">
        <v>814</v>
      </c>
      <c r="B39" s="78"/>
      <c r="C39" s="78"/>
      <c r="D39" s="78"/>
      <c r="E39" s="78"/>
      <c r="F39" s="78"/>
      <c r="G39" s="78"/>
      <c r="H39" s="78"/>
      <c r="I39" s="78"/>
      <c r="J39" s="78"/>
      <c r="K39" s="78"/>
      <c r="L39" s="78"/>
      <c r="M39" s="78"/>
      <c r="N39" s="78"/>
      <c r="O39" s="84"/>
      <c r="P39" s="84"/>
      <c r="Q39" s="84"/>
      <c r="R39" s="84"/>
      <c r="S39" s="61"/>
      <c r="T39" s="85"/>
      <c r="U39" s="61"/>
    </row>
    <row r="40" spans="1:21" ht="13.5" customHeight="1" x14ac:dyDescent="0.3">
      <c r="A40" s="703" t="s">
        <v>815</v>
      </c>
      <c r="B40" s="78"/>
      <c r="C40" s="78"/>
      <c r="D40" s="78"/>
      <c r="E40" s="78"/>
      <c r="F40" s="78"/>
      <c r="G40" s="78"/>
      <c r="H40" s="78"/>
      <c r="I40" s="78"/>
      <c r="J40" s="78"/>
      <c r="K40" s="78"/>
      <c r="L40" s="78"/>
      <c r="M40" s="78"/>
      <c r="N40" s="78"/>
      <c r="O40" s="84"/>
      <c r="P40" s="84"/>
      <c r="Q40" s="84"/>
      <c r="R40" s="84"/>
      <c r="S40" s="61"/>
      <c r="T40" s="85"/>
      <c r="U40" s="61"/>
    </row>
    <row r="41" spans="1:21" ht="13.5" customHeight="1" x14ac:dyDescent="0.3">
      <c r="A41" s="77"/>
      <c r="B41" s="78"/>
      <c r="C41" s="78"/>
      <c r="D41" s="78"/>
      <c r="E41" s="78"/>
      <c r="F41" s="78"/>
      <c r="G41" s="78"/>
      <c r="H41" s="78"/>
      <c r="I41" s="78"/>
      <c r="J41" s="78"/>
      <c r="K41" s="78"/>
      <c r="L41" s="78"/>
      <c r="M41" s="78"/>
      <c r="N41" s="78"/>
      <c r="O41" s="84"/>
      <c r="P41" s="84"/>
      <c r="Q41" s="84"/>
      <c r="R41" s="84"/>
      <c r="S41" s="61"/>
      <c r="T41" s="85"/>
      <c r="U41" s="61"/>
    </row>
    <row r="42" spans="1:21" ht="13.5" customHeight="1" x14ac:dyDescent="0.3">
      <c r="A42" s="702" t="s">
        <v>816</v>
      </c>
      <c r="B42" s="78"/>
      <c r="C42" s="78"/>
      <c r="D42" s="78"/>
      <c r="E42" s="78"/>
      <c r="F42" s="78"/>
      <c r="G42" s="78"/>
      <c r="H42" s="78"/>
      <c r="I42" s="78"/>
      <c r="J42" s="78"/>
      <c r="K42" s="78"/>
      <c r="L42" s="78"/>
      <c r="M42" s="78"/>
      <c r="N42" s="78"/>
      <c r="O42" s="84"/>
      <c r="P42" s="84"/>
      <c r="Q42" s="84"/>
      <c r="R42" s="84"/>
      <c r="S42" s="61"/>
      <c r="T42" s="85"/>
      <c r="U42" s="61"/>
    </row>
    <row r="43" spans="1:21" ht="13.5" customHeight="1" x14ac:dyDescent="0.3">
      <c r="A43" s="77"/>
      <c r="B43" s="78"/>
      <c r="C43" s="78"/>
      <c r="D43" s="78"/>
      <c r="E43" s="78"/>
      <c r="F43" s="78"/>
      <c r="G43" s="78"/>
      <c r="H43" s="78"/>
      <c r="I43" s="78"/>
      <c r="J43" s="78"/>
      <c r="K43" s="78"/>
      <c r="L43" s="78"/>
      <c r="M43" s="78"/>
      <c r="N43" s="78"/>
      <c r="O43" s="84"/>
      <c r="P43" s="84"/>
      <c r="Q43" s="84"/>
      <c r="R43" s="84"/>
      <c r="S43" s="61"/>
      <c r="T43" s="85"/>
      <c r="U43" s="61"/>
    </row>
    <row r="44" spans="1:21" ht="13.5" customHeight="1" x14ac:dyDescent="0.3">
      <c r="A44" s="704"/>
      <c r="B44" s="705"/>
      <c r="C44" s="705"/>
      <c r="D44" s="1191" t="s">
        <v>817</v>
      </c>
      <c r="E44" s="1191"/>
      <c r="F44" s="1191"/>
      <c r="G44" s="1191"/>
      <c r="H44" s="1191"/>
      <c r="I44" s="1191"/>
      <c r="J44" s="705"/>
      <c r="K44" s="705"/>
      <c r="L44" s="705"/>
      <c r="M44" s="705"/>
      <c r="N44" s="705"/>
      <c r="O44" s="706"/>
      <c r="P44" s="706"/>
      <c r="Q44" s="1192" t="s">
        <v>774</v>
      </c>
      <c r="R44" s="1192"/>
      <c r="S44" s="1192"/>
      <c r="T44" s="707"/>
      <c r="U44" s="61"/>
    </row>
    <row r="45" spans="1:21" ht="13.5" customHeight="1" x14ac:dyDescent="0.3">
      <c r="A45" s="704"/>
      <c r="B45" s="705"/>
      <c r="C45" s="705"/>
      <c r="D45" s="705"/>
      <c r="E45" s="705"/>
      <c r="F45" s="705"/>
      <c r="G45" s="705"/>
      <c r="H45" s="705"/>
      <c r="I45" s="705"/>
      <c r="J45" s="705"/>
      <c r="K45" s="705"/>
      <c r="L45" s="705"/>
      <c r="M45" s="705"/>
      <c r="N45" s="705"/>
      <c r="O45" s="706"/>
      <c r="P45" s="706"/>
      <c r="Q45" s="706"/>
      <c r="R45" s="706"/>
      <c r="S45" s="708"/>
      <c r="T45" s="707"/>
      <c r="U45" s="61"/>
    </row>
    <row r="46" spans="1:21" ht="13.5" customHeight="1" x14ac:dyDescent="0.3">
      <c r="A46" s="704"/>
      <c r="B46" s="705"/>
      <c r="C46" s="705"/>
      <c r="D46" s="705"/>
      <c r="E46" s="705"/>
      <c r="F46" s="705"/>
      <c r="G46" s="705"/>
      <c r="H46" s="705"/>
      <c r="I46" s="705"/>
      <c r="J46" s="705"/>
      <c r="K46" s="705"/>
      <c r="L46" s="705"/>
      <c r="M46" s="705"/>
      <c r="N46" s="705"/>
      <c r="O46" s="706"/>
      <c r="P46" s="706"/>
      <c r="Q46" s="706"/>
      <c r="R46" s="706"/>
      <c r="S46" s="708"/>
      <c r="T46" s="707"/>
      <c r="U46" s="61"/>
    </row>
    <row r="47" spans="1:21" ht="13.5" customHeight="1" x14ac:dyDescent="0.3">
      <c r="A47" s="704"/>
      <c r="B47" s="705"/>
      <c r="C47" s="705"/>
      <c r="D47" s="705"/>
      <c r="E47" s="705"/>
      <c r="F47" s="705"/>
      <c r="G47" s="705"/>
      <c r="H47" s="705"/>
      <c r="I47" s="705"/>
      <c r="J47" s="705"/>
      <c r="K47" s="705"/>
      <c r="L47" s="705"/>
      <c r="M47" s="705"/>
      <c r="N47" s="705"/>
      <c r="O47" s="706"/>
      <c r="P47" s="706"/>
      <c r="Q47" s="706"/>
      <c r="R47" s="706"/>
      <c r="S47" s="708"/>
      <c r="T47" s="707"/>
      <c r="U47" s="61"/>
    </row>
    <row r="48" spans="1:21" x14ac:dyDescent="0.3">
      <c r="A48" s="50"/>
      <c r="B48" s="50"/>
      <c r="C48" s="50"/>
      <c r="D48" s="1188">
        <f>FORM!G30</f>
        <v>0</v>
      </c>
      <c r="E48" s="1188"/>
      <c r="F48" s="1188"/>
      <c r="G48" s="1188"/>
      <c r="H48" s="1188"/>
      <c r="I48" s="1188"/>
      <c r="J48" s="50"/>
      <c r="K48" s="50"/>
      <c r="L48" s="50"/>
      <c r="M48" s="50"/>
      <c r="N48" s="50"/>
      <c r="O48" s="50"/>
      <c r="P48" s="50"/>
      <c r="Q48" s="1188" t="str">
        <f>FORM!G32</f>
        <v>Seller</v>
      </c>
      <c r="R48" s="1188"/>
      <c r="S48" s="1188"/>
      <c r="T48" s="50"/>
      <c r="U48" s="50"/>
    </row>
    <row r="49" spans="1:21" x14ac:dyDescent="0.3">
      <c r="A49" s="50"/>
      <c r="B49" s="50"/>
      <c r="C49" s="50"/>
      <c r="D49" s="1189" t="s">
        <v>818</v>
      </c>
      <c r="E49" s="1189"/>
      <c r="F49" s="1189"/>
      <c r="G49" s="1189"/>
      <c r="H49" s="1189"/>
      <c r="I49" s="1189"/>
      <c r="J49" s="50"/>
      <c r="K49" s="50"/>
      <c r="L49" s="50"/>
      <c r="M49" s="50"/>
      <c r="N49" s="50"/>
      <c r="O49" s="50"/>
      <c r="P49" s="50"/>
      <c r="Q49" s="1189" t="s">
        <v>818</v>
      </c>
      <c r="R49" s="1189"/>
      <c r="S49" s="1189"/>
      <c r="T49" s="50"/>
      <c r="U49" s="50"/>
    </row>
    <row r="50" spans="1:21" x14ac:dyDescent="0.3">
      <c r="A50" s="50"/>
      <c r="B50" s="50"/>
      <c r="C50" s="50"/>
      <c r="D50" s="1190" t="s">
        <v>819</v>
      </c>
      <c r="E50" s="1190"/>
      <c r="F50" s="1190"/>
      <c r="G50" s="1190"/>
      <c r="H50" s="1190"/>
      <c r="I50" s="1190"/>
      <c r="J50" s="50"/>
      <c r="K50" s="50"/>
      <c r="L50" s="50"/>
      <c r="M50" s="50"/>
      <c r="N50" s="50"/>
      <c r="O50" s="50"/>
      <c r="P50" s="50"/>
      <c r="Q50" s="1190" t="s">
        <v>820</v>
      </c>
      <c r="R50" s="1190"/>
      <c r="S50" s="1190"/>
      <c r="T50" s="50"/>
      <c r="U50" s="50"/>
    </row>
    <row r="51" spans="1:21" x14ac:dyDescent="0.3">
      <c r="A51" s="50"/>
      <c r="B51" s="50"/>
      <c r="C51" s="50"/>
      <c r="D51" s="50"/>
      <c r="E51" s="50"/>
      <c r="F51" s="50"/>
      <c r="G51" s="50"/>
      <c r="H51" s="50"/>
      <c r="I51" s="50"/>
      <c r="J51" s="50"/>
      <c r="K51" s="50"/>
      <c r="L51" s="50"/>
      <c r="M51" s="50"/>
      <c r="N51" s="50"/>
      <c r="O51" s="50"/>
      <c r="P51" s="50"/>
      <c r="Q51" s="50"/>
      <c r="R51" s="50"/>
      <c r="S51" s="50"/>
      <c r="T51" s="50"/>
      <c r="U51" s="50"/>
    </row>
    <row r="53" spans="1:21" x14ac:dyDescent="0.3">
      <c r="A53" s="1183" t="s">
        <v>821</v>
      </c>
      <c r="B53" s="1184"/>
      <c r="C53" s="1184"/>
      <c r="D53" s="1184"/>
      <c r="E53" s="1184"/>
      <c r="F53" s="1184"/>
      <c r="G53" s="1184"/>
      <c r="H53" s="1184"/>
      <c r="I53" s="1184"/>
      <c r="J53" s="1184"/>
      <c r="K53" s="1184"/>
      <c r="L53" s="1184"/>
      <c r="M53" s="1184"/>
      <c r="N53" s="1184"/>
      <c r="O53" s="1184"/>
      <c r="P53" s="1184"/>
      <c r="Q53" s="1184"/>
      <c r="R53" s="1184"/>
      <c r="S53" s="1184"/>
      <c r="T53" s="1184"/>
      <c r="U53" s="1185"/>
    </row>
    <row r="54" spans="1:21" x14ac:dyDescent="0.3">
      <c r="A54" s="1186" t="s">
        <v>822</v>
      </c>
      <c r="B54" s="1186"/>
      <c r="C54" s="1186"/>
      <c r="D54" s="1186"/>
      <c r="E54" s="1186"/>
      <c r="F54" s="1186"/>
      <c r="G54" s="1186"/>
      <c r="H54" s="1186"/>
      <c r="I54" s="1186" t="s">
        <v>823</v>
      </c>
      <c r="J54" s="1186"/>
      <c r="K54" s="1186"/>
      <c r="L54" s="1186"/>
      <c r="M54" s="1186"/>
      <c r="N54" s="1186"/>
      <c r="O54" s="1186"/>
      <c r="P54" s="1187" t="s">
        <v>824</v>
      </c>
      <c r="Q54" s="1187"/>
      <c r="R54" s="1187"/>
      <c r="S54" s="1187"/>
      <c r="T54" s="1187"/>
      <c r="U54" s="1187"/>
    </row>
    <row r="55" spans="1:21" x14ac:dyDescent="0.3">
      <c r="A55" s="1182" t="s">
        <v>825</v>
      </c>
      <c r="B55" s="1182"/>
      <c r="C55" s="1182"/>
      <c r="D55" s="1182"/>
      <c r="E55" s="1182"/>
      <c r="F55" s="1182"/>
      <c r="G55" s="1182"/>
      <c r="H55" s="1182"/>
      <c r="I55" s="1182">
        <f>FORM!J47</f>
        <v>0</v>
      </c>
      <c r="J55" s="1182"/>
      <c r="K55" s="1182"/>
      <c r="L55" s="1182"/>
      <c r="M55" s="1182"/>
      <c r="N55" s="1182"/>
      <c r="O55" s="1182"/>
      <c r="P55" s="1182">
        <f>FORM!Q47</f>
        <v>0</v>
      </c>
      <c r="Q55" s="1182"/>
      <c r="R55" s="1182"/>
      <c r="S55" s="1182"/>
      <c r="T55" s="1182"/>
      <c r="U55" s="1182"/>
    </row>
    <row r="56" spans="1:21" x14ac:dyDescent="0.3">
      <c r="A56" s="1182" t="s">
        <v>826</v>
      </c>
      <c r="B56" s="1182"/>
      <c r="C56" s="1182"/>
      <c r="D56" s="1182"/>
      <c r="E56" s="1182"/>
      <c r="F56" s="1182"/>
      <c r="G56" s="1182"/>
      <c r="H56" s="1182"/>
      <c r="I56" s="1182">
        <f>FORM!J48</f>
        <v>0</v>
      </c>
      <c r="J56" s="1182"/>
      <c r="K56" s="1182"/>
      <c r="L56" s="1182"/>
      <c r="M56" s="1182"/>
      <c r="N56" s="1182"/>
      <c r="O56" s="1182"/>
      <c r="P56" s="1182">
        <f>FORM!Q48</f>
        <v>0</v>
      </c>
      <c r="Q56" s="1182"/>
      <c r="R56" s="1182"/>
      <c r="S56" s="1182"/>
      <c r="T56" s="1182"/>
      <c r="U56" s="1182"/>
    </row>
    <row r="57" spans="1:21" x14ac:dyDescent="0.3">
      <c r="A57" s="1182" t="s">
        <v>827</v>
      </c>
      <c r="B57" s="1182"/>
      <c r="C57" s="1182"/>
      <c r="D57" s="1182"/>
      <c r="E57" s="1182"/>
      <c r="F57" s="1182"/>
      <c r="G57" s="1182"/>
      <c r="H57" s="1182"/>
      <c r="I57" s="1182">
        <f>FORM!J49</f>
        <v>0</v>
      </c>
      <c r="J57" s="1182"/>
      <c r="K57" s="1182"/>
      <c r="L57" s="1182"/>
      <c r="M57" s="1182"/>
      <c r="N57" s="1182"/>
      <c r="O57" s="1182"/>
      <c r="P57" s="1182">
        <f>FORM!Q49</f>
        <v>0</v>
      </c>
      <c r="Q57" s="1182"/>
      <c r="R57" s="1182"/>
      <c r="S57" s="1182"/>
      <c r="T57" s="1182"/>
      <c r="U57" s="1182"/>
    </row>
    <row r="58" spans="1:21" x14ac:dyDescent="0.3">
      <c r="A58" s="1182" t="s">
        <v>828</v>
      </c>
      <c r="B58" s="1182"/>
      <c r="C58" s="1182"/>
      <c r="D58" s="1182"/>
      <c r="E58" s="1182"/>
      <c r="F58" s="1182"/>
      <c r="G58" s="1182"/>
      <c r="H58" s="1182"/>
      <c r="I58" s="1182">
        <f>FORM!J50</f>
        <v>0</v>
      </c>
      <c r="J58" s="1182"/>
      <c r="K58" s="1182"/>
      <c r="L58" s="1182"/>
      <c r="M58" s="1182"/>
      <c r="N58" s="1182"/>
      <c r="O58" s="1182"/>
      <c r="P58" s="1182">
        <f>FORM!Q50</f>
        <v>0</v>
      </c>
      <c r="Q58" s="1182"/>
      <c r="R58" s="1182"/>
      <c r="S58" s="1182"/>
      <c r="T58" s="1182"/>
      <c r="U58" s="1182"/>
    </row>
    <row r="60" spans="1:21" x14ac:dyDescent="0.3">
      <c r="A60"/>
      <c r="B60"/>
      <c r="C60"/>
      <c r="D60"/>
      <c r="E60"/>
      <c r="F60"/>
      <c r="G60"/>
      <c r="H60"/>
      <c r="I60"/>
      <c r="J60"/>
      <c r="K60"/>
      <c r="L60"/>
      <c r="M60"/>
      <c r="N60"/>
      <c r="O60"/>
      <c r="P60"/>
      <c r="Q60"/>
      <c r="R60"/>
      <c r="S60"/>
      <c r="T60"/>
      <c r="U60"/>
    </row>
    <row r="68" spans="1:21" x14ac:dyDescent="0.3">
      <c r="A68"/>
      <c r="B68"/>
      <c r="C68"/>
      <c r="D68"/>
      <c r="E68"/>
      <c r="F68"/>
      <c r="G68"/>
      <c r="H68"/>
      <c r="I68"/>
      <c r="J68"/>
      <c r="K68"/>
      <c r="L68"/>
      <c r="M68"/>
      <c r="N68"/>
      <c r="O68"/>
      <c r="P68"/>
      <c r="Q68"/>
      <c r="R68"/>
      <c r="S68"/>
      <c r="T68"/>
      <c r="U68"/>
    </row>
    <row r="69" spans="1:21" x14ac:dyDescent="0.3">
      <c r="A69"/>
      <c r="B69"/>
      <c r="C69"/>
      <c r="D69"/>
      <c r="E69"/>
      <c r="F69"/>
      <c r="G69"/>
      <c r="H69"/>
      <c r="I69"/>
      <c r="J69"/>
      <c r="K69"/>
      <c r="L69"/>
      <c r="M69"/>
      <c r="N69"/>
      <c r="O69"/>
      <c r="P69"/>
      <c r="Q69"/>
      <c r="R69"/>
      <c r="S69"/>
      <c r="T69"/>
      <c r="U69"/>
    </row>
    <row r="70" spans="1:21" ht="25.5" customHeight="1" x14ac:dyDescent="0.3">
      <c r="A70"/>
      <c r="B70"/>
      <c r="C70"/>
      <c r="D70"/>
      <c r="E70"/>
      <c r="F70"/>
      <c r="G70"/>
      <c r="H70"/>
      <c r="I70"/>
      <c r="J70"/>
      <c r="K70"/>
      <c r="L70"/>
      <c r="M70"/>
      <c r="N70"/>
      <c r="O70"/>
      <c r="P70"/>
      <c r="Q70"/>
      <c r="R70"/>
      <c r="S70"/>
      <c r="T70"/>
      <c r="U70"/>
    </row>
    <row r="71" spans="1:21" x14ac:dyDescent="0.3">
      <c r="A71"/>
      <c r="B71"/>
      <c r="C71"/>
      <c r="D71"/>
      <c r="E71"/>
      <c r="F71"/>
      <c r="G71"/>
      <c r="H71"/>
      <c r="I71"/>
      <c r="J71"/>
      <c r="K71"/>
      <c r="L71"/>
      <c r="M71"/>
      <c r="N71"/>
      <c r="O71"/>
      <c r="P71"/>
      <c r="Q71"/>
      <c r="R71"/>
      <c r="S71"/>
      <c r="T71"/>
      <c r="U71"/>
    </row>
    <row r="72" spans="1:21" x14ac:dyDescent="0.3">
      <c r="A72"/>
      <c r="B72"/>
      <c r="C72"/>
      <c r="D72"/>
      <c r="E72"/>
      <c r="F72"/>
      <c r="G72"/>
      <c r="H72"/>
      <c r="I72"/>
      <c r="J72"/>
      <c r="K72"/>
      <c r="L72"/>
      <c r="M72"/>
      <c r="N72"/>
      <c r="O72"/>
      <c r="P72"/>
      <c r="Q72"/>
      <c r="R72"/>
      <c r="S72"/>
      <c r="T72"/>
      <c r="U72"/>
    </row>
    <row r="73" spans="1:21" x14ac:dyDescent="0.3">
      <c r="A73"/>
      <c r="B73"/>
      <c r="C73"/>
      <c r="D73"/>
      <c r="E73"/>
      <c r="F73"/>
      <c r="G73"/>
      <c r="H73"/>
      <c r="I73"/>
      <c r="J73"/>
      <c r="K73"/>
      <c r="L73"/>
      <c r="M73"/>
      <c r="N73"/>
      <c r="O73"/>
      <c r="P73"/>
      <c r="Q73"/>
      <c r="R73"/>
      <c r="S73"/>
      <c r="T73"/>
      <c r="U73"/>
    </row>
    <row r="74" spans="1:21" ht="21.75" customHeight="1" x14ac:dyDescent="0.3">
      <c r="A74"/>
      <c r="B74"/>
      <c r="C74"/>
      <c r="D74"/>
      <c r="E74"/>
      <c r="F74"/>
      <c r="G74"/>
      <c r="H74"/>
      <c r="I74"/>
      <c r="J74"/>
      <c r="K74"/>
      <c r="L74"/>
      <c r="M74"/>
      <c r="N74"/>
      <c r="O74"/>
      <c r="P74"/>
      <c r="Q74"/>
      <c r="R74"/>
      <c r="S74"/>
      <c r="T74"/>
      <c r="U74"/>
    </row>
    <row r="75" spans="1:21" x14ac:dyDescent="0.3">
      <c r="A75" s="21"/>
      <c r="B75" s="21"/>
      <c r="C75" s="21"/>
      <c r="D75" s="21"/>
      <c r="E75" s="21"/>
      <c r="F75" s="21"/>
      <c r="G75" s="21"/>
      <c r="H75" s="21"/>
      <c r="I75" s="21"/>
      <c r="J75" s="21"/>
      <c r="K75" s="21"/>
      <c r="L75" s="21"/>
      <c r="M75" s="21"/>
      <c r="N75" s="21"/>
      <c r="O75" s="21"/>
      <c r="P75" s="21"/>
      <c r="Q75" s="21"/>
      <c r="R75" s="21"/>
      <c r="S75" s="21"/>
      <c r="T75" s="21"/>
      <c r="U75" s="21"/>
    </row>
    <row r="76" spans="1:21" x14ac:dyDescent="0.3">
      <c r="A76" s="21"/>
      <c r="B76" s="21"/>
      <c r="C76" s="21"/>
      <c r="D76" s="21"/>
      <c r="E76" s="21"/>
      <c r="F76" s="21"/>
      <c r="G76" s="21"/>
      <c r="H76" s="21"/>
      <c r="I76" s="22"/>
      <c r="J76" s="22"/>
      <c r="K76" s="22"/>
      <c r="L76" s="22"/>
      <c r="M76" s="22"/>
      <c r="N76" s="22"/>
      <c r="O76" s="22"/>
      <c r="P76" s="22"/>
      <c r="Q76" s="22"/>
      <c r="R76" s="21"/>
      <c r="S76" s="21"/>
      <c r="T76" s="21"/>
      <c r="U76" s="21"/>
    </row>
    <row r="80" spans="1:21" x14ac:dyDescent="0.3">
      <c r="I80" s="56"/>
    </row>
  </sheetData>
  <sheetProtection sheet="1" formatCells="0" formatColumns="0" formatRows="0"/>
  <mergeCells count="62">
    <mergeCell ref="J14:L14"/>
    <mergeCell ref="P14:Q14"/>
    <mergeCell ref="R14:S14"/>
    <mergeCell ref="T14:U14"/>
    <mergeCell ref="C2:F2"/>
    <mergeCell ref="A6:U6"/>
    <mergeCell ref="E8:T8"/>
    <mergeCell ref="A12:F12"/>
    <mergeCell ref="G12:L12"/>
    <mergeCell ref="M12:Q12"/>
    <mergeCell ref="R12:U12"/>
    <mergeCell ref="D13:F13"/>
    <mergeCell ref="J13:L13"/>
    <mergeCell ref="P13:Q13"/>
    <mergeCell ref="R13:S13"/>
    <mergeCell ref="T13:U13"/>
    <mergeCell ref="I23:U23"/>
    <mergeCell ref="J15:L15"/>
    <mergeCell ref="P15:Q15"/>
    <mergeCell ref="R15:S15"/>
    <mergeCell ref="T15:U15"/>
    <mergeCell ref="J16:L16"/>
    <mergeCell ref="P16:Q16"/>
    <mergeCell ref="R16:S18"/>
    <mergeCell ref="T16:U18"/>
    <mergeCell ref="P17:Q17"/>
    <mergeCell ref="P18:Q18"/>
    <mergeCell ref="I20:U20"/>
    <mergeCell ref="I21:U21"/>
    <mergeCell ref="I22:U22"/>
    <mergeCell ref="I24:U24"/>
    <mergeCell ref="I25:U25"/>
    <mergeCell ref="G27:M27"/>
    <mergeCell ref="P27:R27"/>
    <mergeCell ref="D44:I44"/>
    <mergeCell ref="Q44:S44"/>
    <mergeCell ref="P54:U54"/>
    <mergeCell ref="A55:H55"/>
    <mergeCell ref="I55:O55"/>
    <mergeCell ref="P55:U55"/>
    <mergeCell ref="D48:I48"/>
    <mergeCell ref="Q48:S48"/>
    <mergeCell ref="D49:I49"/>
    <mergeCell ref="Q49:S49"/>
    <mergeCell ref="D50:I50"/>
    <mergeCell ref="Q50:S50"/>
    <mergeCell ref="D14:F14"/>
    <mergeCell ref="A58:H58"/>
    <mergeCell ref="I58:O58"/>
    <mergeCell ref="P58:U58"/>
    <mergeCell ref="D17:F17"/>
    <mergeCell ref="D16:F16"/>
    <mergeCell ref="D15:F15"/>
    <mergeCell ref="A56:H56"/>
    <mergeCell ref="I56:O56"/>
    <mergeCell ref="P56:U56"/>
    <mergeCell ref="A57:H57"/>
    <mergeCell ref="I57:O57"/>
    <mergeCell ref="P57:U57"/>
    <mergeCell ref="A53:U53"/>
    <mergeCell ref="A54:H54"/>
    <mergeCell ref="I54:O54"/>
  </mergeCells>
  <pageMargins left="0.51181102362204722" right="0.51181102362204722" top="0.87791666666666668" bottom="0.74803149606299213" header="0.31496062992125984" footer="0.31496062992125984"/>
  <pageSetup paperSize="305" scale="86" orientation="portrait" verticalDpi="360" r:id="rId1"/>
  <headerFooter>
    <oddHeader xml:space="preserve">&amp;R
&amp;"Century Gothic,Bold"&amp;18LETTER OF INTENT    
 &amp;"-,Regular"&amp;11
</oddHeader>
    <oddFooter>&amp;C&amp;"Century Gothic,Regular"&amp;8Page &amp;P of &amp;N</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76801" r:id="rId4" name="Check Box 1">
              <controlPr defaultSize="0" autoFill="0" autoLine="0" autoPict="0">
                <anchor moveWithCells="1">
                  <from>
                    <xdr:col>11</xdr:col>
                    <xdr:colOff>304800</xdr:colOff>
                    <xdr:row>7</xdr:row>
                    <xdr:rowOff>209550</xdr:rowOff>
                  </from>
                  <to>
                    <xdr:col>14</xdr:col>
                    <xdr:colOff>171450</xdr:colOff>
                    <xdr:row>9</xdr:row>
                    <xdr:rowOff>0</xdr:rowOff>
                  </to>
                </anchor>
              </controlPr>
            </control>
          </mc:Choice>
        </mc:AlternateContent>
        <mc:AlternateContent xmlns:mc="http://schemas.openxmlformats.org/markup-compatibility/2006">
          <mc:Choice Requires="x14">
            <control shapeId="76802" r:id="rId5" name="Check Box 2">
              <controlPr defaultSize="0" autoFill="0" autoLine="0" autoPict="0">
                <anchor moveWithCells="1">
                  <from>
                    <xdr:col>11</xdr:col>
                    <xdr:colOff>304800</xdr:colOff>
                    <xdr:row>9</xdr:row>
                    <xdr:rowOff>0</xdr:rowOff>
                  </from>
                  <to>
                    <xdr:col>14</xdr:col>
                    <xdr:colOff>171450</xdr:colOff>
                    <xdr:row>10</xdr:row>
                    <xdr:rowOff>0</xdr:rowOff>
                  </to>
                </anchor>
              </controlPr>
            </control>
          </mc:Choice>
        </mc:AlternateContent>
        <mc:AlternateContent xmlns:mc="http://schemas.openxmlformats.org/markup-compatibility/2006">
          <mc:Choice Requires="x14">
            <control shapeId="76803" r:id="rId6" name="Check Box 3">
              <controlPr defaultSize="0" autoFill="0" autoLine="0" autoPict="0">
                <anchor moveWithCells="1">
                  <from>
                    <xdr:col>4</xdr:col>
                    <xdr:colOff>57150</xdr:colOff>
                    <xdr:row>8</xdr:row>
                    <xdr:rowOff>19050</xdr:rowOff>
                  </from>
                  <to>
                    <xdr:col>8</xdr:col>
                    <xdr:colOff>285750</xdr:colOff>
                    <xdr:row>9</xdr:row>
                    <xdr:rowOff>19050</xdr:rowOff>
                  </to>
                </anchor>
              </controlPr>
            </control>
          </mc:Choice>
        </mc:AlternateContent>
        <mc:AlternateContent xmlns:mc="http://schemas.openxmlformats.org/markup-compatibility/2006">
          <mc:Choice Requires="x14">
            <control shapeId="76804" r:id="rId7" name="Check Box 4">
              <controlPr defaultSize="0" autoFill="0" autoLine="0" autoPict="0">
                <anchor moveWithCells="1">
                  <from>
                    <xdr:col>4</xdr:col>
                    <xdr:colOff>57150</xdr:colOff>
                    <xdr:row>8</xdr:row>
                    <xdr:rowOff>209550</xdr:rowOff>
                  </from>
                  <to>
                    <xdr:col>8</xdr:col>
                    <xdr:colOff>285750</xdr:colOff>
                    <xdr:row>10</xdr:row>
                    <xdr:rowOff>0</xdr:rowOff>
                  </to>
                </anchor>
              </controlPr>
            </control>
          </mc:Choice>
        </mc:AlternateContent>
        <mc:AlternateContent xmlns:mc="http://schemas.openxmlformats.org/markup-compatibility/2006">
          <mc:Choice Requires="x14">
            <control shapeId="76805" r:id="rId8" name="Check Box 5">
              <controlPr defaultSize="0" autoFill="0" autoLine="0" autoPict="0">
                <anchor moveWithCells="1">
                  <from>
                    <xdr:col>17</xdr:col>
                    <xdr:colOff>476250</xdr:colOff>
                    <xdr:row>8</xdr:row>
                    <xdr:rowOff>0</xdr:rowOff>
                  </from>
                  <to>
                    <xdr:col>19</xdr:col>
                    <xdr:colOff>180975</xdr:colOff>
                    <xdr:row>9</xdr:row>
                    <xdr:rowOff>0</xdr:rowOff>
                  </to>
                </anchor>
              </controlPr>
            </control>
          </mc:Choice>
        </mc:AlternateContent>
        <mc:AlternateContent xmlns:mc="http://schemas.openxmlformats.org/markup-compatibility/2006">
          <mc:Choice Requires="x14">
            <control shapeId="76806" r:id="rId9" name="Check Box 6">
              <controlPr defaultSize="0" autoFill="0" autoLine="0" autoPict="0">
                <anchor moveWithCells="1">
                  <from>
                    <xdr:col>17</xdr:col>
                    <xdr:colOff>476250</xdr:colOff>
                    <xdr:row>9</xdr:row>
                    <xdr:rowOff>0</xdr:rowOff>
                  </from>
                  <to>
                    <xdr:col>19</xdr:col>
                    <xdr:colOff>180975</xdr:colOff>
                    <xdr:row>10</xdr:row>
                    <xdr:rowOff>0</xdr:rowOff>
                  </to>
                </anchor>
              </controlPr>
            </control>
          </mc:Choice>
        </mc:AlternateContent>
      </controls>
    </mc:Choice>
  </mc:AlternateContent>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28"/>
  <dimension ref="A1:V126"/>
  <sheetViews>
    <sheetView showGridLines="0" showZeros="0" view="pageLayout" zoomScale="115" zoomScaleNormal="100" zoomScaleSheetLayoutView="100" zoomScalePageLayoutView="115" workbookViewId="0">
      <selection activeCell="O41" sqref="O41:R41"/>
    </sheetView>
  </sheetViews>
  <sheetFormatPr defaultColWidth="9.28515625" defaultRowHeight="16.5" x14ac:dyDescent="0.3"/>
  <cols>
    <col min="1" max="1" width="2.7109375" style="5" customWidth="1"/>
    <col min="2" max="2" width="1.42578125" style="5" customWidth="1"/>
    <col min="3" max="3" width="4.5703125" style="5" customWidth="1"/>
    <col min="4" max="4" width="4.42578125" style="5" customWidth="1"/>
    <col min="5" max="5" width="7" style="5" customWidth="1"/>
    <col min="6" max="6" width="4.28515625" style="5" customWidth="1"/>
    <col min="7" max="7" width="4.7109375" style="5" customWidth="1"/>
    <col min="8" max="8" width="2.5703125" style="5" customWidth="1"/>
    <col min="9" max="9" width="6.28515625" style="5" customWidth="1"/>
    <col min="10" max="10" width="3.28515625" style="5" customWidth="1"/>
    <col min="11" max="11" width="4.7109375" style="5" customWidth="1"/>
    <col min="12" max="12" width="4.28515625" style="5" customWidth="1"/>
    <col min="13" max="13" width="5.7109375" style="5" customWidth="1"/>
    <col min="14" max="14" width="3.28515625" style="5" customWidth="1"/>
    <col min="15" max="15" width="4.42578125" style="5" customWidth="1"/>
    <col min="16" max="16" width="7.5703125" style="5" customWidth="1"/>
    <col min="17" max="17" width="5.28515625" style="5" customWidth="1"/>
    <col min="18" max="18" width="14.5703125" style="5" customWidth="1"/>
    <col min="19" max="19" width="3.28515625" style="5" customWidth="1"/>
    <col min="20" max="20" width="11.7109375" style="5" customWidth="1"/>
    <col min="21" max="21" width="2" style="5" customWidth="1"/>
    <col min="22" max="16384" width="9.28515625" style="5"/>
  </cols>
  <sheetData>
    <row r="1" spans="1:21" ht="6.75" customHeight="1" x14ac:dyDescent="0.3">
      <c r="G1" s="57"/>
      <c r="H1" s="57"/>
      <c r="I1" s="57"/>
      <c r="J1" s="57"/>
      <c r="K1" s="57"/>
      <c r="L1" s="57"/>
      <c r="M1" s="57"/>
      <c r="N1" s="57"/>
      <c r="O1" s="57"/>
      <c r="P1" s="57"/>
      <c r="Q1" s="57"/>
      <c r="R1" s="57"/>
      <c r="S1" s="57"/>
      <c r="T1" s="57"/>
    </row>
    <row r="2" spans="1:21" ht="14.25" customHeight="1" x14ac:dyDescent="0.3">
      <c r="U2" s="58"/>
    </row>
    <row r="3" spans="1:21" x14ac:dyDescent="0.3">
      <c r="A3" s="21" t="s">
        <v>829</v>
      </c>
      <c r="B3" s="21"/>
      <c r="C3" s="90"/>
      <c r="D3" s="1234">
        <f>FORM!G30</f>
        <v>0</v>
      </c>
      <c r="E3" s="1234"/>
      <c r="F3" s="1234"/>
      <c r="G3" s="1234"/>
      <c r="H3" s="1234"/>
      <c r="I3" s="1234"/>
      <c r="J3" s="1234"/>
      <c r="K3" s="1234"/>
      <c r="L3" s="1234"/>
      <c r="M3" s="1234"/>
      <c r="N3" s="1234"/>
      <c r="O3" s="1234"/>
      <c r="P3" s="1234"/>
      <c r="Q3" s="1234"/>
      <c r="R3" s="21"/>
      <c r="S3" s="21"/>
      <c r="T3" s="21"/>
      <c r="U3" s="23" t="s">
        <v>830</v>
      </c>
    </row>
    <row r="4" spans="1:21" x14ac:dyDescent="0.3">
      <c r="A4" s="1234">
        <f>FORM!G34</f>
        <v>0</v>
      </c>
      <c r="B4" s="1234"/>
      <c r="C4" s="1234"/>
      <c r="D4" s="1234"/>
      <c r="E4" s="1234"/>
      <c r="F4" s="1234"/>
      <c r="G4" s="1234"/>
      <c r="H4" s="1234"/>
      <c r="I4" s="1234"/>
      <c r="J4" s="1234"/>
      <c r="K4" s="1234"/>
      <c r="L4" s="1234"/>
      <c r="M4" s="1234"/>
      <c r="N4" s="1234"/>
      <c r="O4" s="1234"/>
      <c r="P4" s="1234"/>
      <c r="Q4" s="1234"/>
      <c r="R4" s="21"/>
      <c r="S4" s="21"/>
      <c r="T4" s="21"/>
      <c r="U4" s="23" t="s">
        <v>831</v>
      </c>
    </row>
    <row r="5" spans="1:21" ht="16.5" customHeight="1" x14ac:dyDescent="0.3">
      <c r="A5" s="1233" t="s">
        <v>832</v>
      </c>
      <c r="B5" s="1233"/>
      <c r="C5" s="1233"/>
      <c r="D5" s="1233"/>
      <c r="E5" s="1233"/>
      <c r="F5" s="1233"/>
      <c r="G5" s="1233"/>
      <c r="H5" s="1233"/>
      <c r="I5" s="1233"/>
      <c r="J5" s="1233"/>
      <c r="K5" s="1233"/>
      <c r="L5" s="1233"/>
      <c r="M5" s="1233"/>
      <c r="N5" s="1233"/>
      <c r="O5" s="1233"/>
      <c r="P5" s="1233"/>
      <c r="Q5" s="1233"/>
      <c r="R5" s="1233"/>
      <c r="S5" s="1233"/>
      <c r="T5" s="1233"/>
      <c r="U5" s="1233"/>
    </row>
    <row r="6" spans="1:21" x14ac:dyDescent="0.3">
      <c r="A6" s="1233"/>
      <c r="B6" s="1233"/>
      <c r="C6" s="1233"/>
      <c r="D6" s="1233"/>
      <c r="E6" s="1233"/>
      <c r="F6" s="1233"/>
      <c r="G6" s="1233"/>
      <c r="H6" s="1233"/>
      <c r="I6" s="1233"/>
      <c r="J6" s="1233"/>
      <c r="K6" s="1233"/>
      <c r="L6" s="1233"/>
      <c r="M6" s="1233"/>
      <c r="N6" s="1233"/>
      <c r="O6" s="1233"/>
      <c r="P6" s="1233"/>
      <c r="Q6" s="1233"/>
      <c r="R6" s="1233"/>
      <c r="S6" s="1233"/>
      <c r="T6" s="1233"/>
      <c r="U6" s="1233"/>
    </row>
    <row r="7" spans="1:21" ht="9" customHeight="1" x14ac:dyDescent="0.3">
      <c r="A7" s="21"/>
      <c r="B7" s="21"/>
      <c r="C7" s="21"/>
      <c r="D7" s="21"/>
      <c r="E7" s="21"/>
      <c r="F7" s="21"/>
      <c r="G7" s="21"/>
      <c r="H7" s="21"/>
      <c r="I7" s="21"/>
      <c r="J7" s="21"/>
      <c r="K7" s="21"/>
      <c r="L7" s="21"/>
      <c r="M7" s="21"/>
      <c r="N7" s="21"/>
      <c r="O7" s="21"/>
      <c r="P7" s="21"/>
      <c r="Q7" s="21"/>
      <c r="R7" s="21"/>
      <c r="S7" s="21"/>
      <c r="T7" s="21"/>
      <c r="U7" s="21"/>
    </row>
    <row r="8" spans="1:21" ht="16.5" customHeight="1" x14ac:dyDescent="0.3">
      <c r="A8" s="21" t="s">
        <v>833</v>
      </c>
      <c r="B8" s="21"/>
      <c r="C8" s="21"/>
      <c r="D8" s="21"/>
      <c r="E8" s="21"/>
      <c r="F8" s="21"/>
      <c r="G8" s="21"/>
      <c r="H8" s="1236" t="str">
        <f>FORM!Z13</f>
        <v>WEE COMMUNITY DEVELOPERS, INC.</v>
      </c>
      <c r="I8" s="1236"/>
      <c r="J8" s="1236"/>
      <c r="K8" s="1236"/>
      <c r="L8" s="1236"/>
      <c r="M8" s="1236"/>
      <c r="N8" s="1236"/>
      <c r="O8" s="1236"/>
      <c r="P8" s="21"/>
      <c r="Q8" s="21"/>
      <c r="R8" s="21"/>
      <c r="S8" s="21"/>
      <c r="T8" s="21"/>
      <c r="U8" s="23" t="s">
        <v>834</v>
      </c>
    </row>
    <row r="9" spans="1:21" x14ac:dyDescent="0.3">
      <c r="A9" s="1235" t="s">
        <v>835</v>
      </c>
      <c r="B9" s="1235"/>
      <c r="C9" s="1235"/>
      <c r="D9" s="1235"/>
      <c r="E9" s="1235"/>
      <c r="F9" s="1235"/>
      <c r="G9" s="1235"/>
      <c r="H9" s="1235"/>
      <c r="I9" s="1235"/>
      <c r="J9" s="1235"/>
      <c r="K9" s="1235"/>
      <c r="L9" s="1235"/>
      <c r="M9" s="1235"/>
      <c r="N9" s="1235"/>
      <c r="O9" s="1235"/>
      <c r="P9" s="1235"/>
      <c r="Q9" s="1235"/>
      <c r="R9" s="1235"/>
      <c r="S9" s="1235"/>
      <c r="T9" s="1235"/>
      <c r="U9" s="1235"/>
    </row>
    <row r="10" spans="1:21" x14ac:dyDescent="0.3">
      <c r="A10" s="1240" t="str">
        <f>FORM!Z14</f>
        <v>166 A. Mabini Street, Addition Hills, San Juan City</v>
      </c>
      <c r="B10" s="1240"/>
      <c r="C10" s="1240"/>
      <c r="D10" s="1240"/>
      <c r="E10" s="1240"/>
      <c r="F10" s="1240"/>
      <c r="G10" s="1240"/>
      <c r="H10" s="1240"/>
      <c r="I10" s="1240"/>
      <c r="J10" s="1240"/>
      <c r="K10" s="1240"/>
      <c r="L10" s="1240"/>
      <c r="M10" s="1240"/>
      <c r="N10" s="1240"/>
      <c r="O10" s="1240"/>
      <c r="P10" s="1240"/>
      <c r="Q10" s="21"/>
      <c r="R10" s="21"/>
      <c r="S10" s="21"/>
      <c r="T10" s="21"/>
      <c r="U10" s="23" t="s">
        <v>836</v>
      </c>
    </row>
    <row r="11" spans="1:21" x14ac:dyDescent="0.3">
      <c r="A11" s="21" t="s">
        <v>837</v>
      </c>
      <c r="B11" s="21"/>
      <c r="C11" s="21"/>
      <c r="D11" s="21"/>
      <c r="E11" s="21"/>
      <c r="F11" s="21"/>
      <c r="G11" s="21"/>
      <c r="H11" s="21"/>
      <c r="I11" s="1234" t="str">
        <f>FORM!G11</f>
        <v>WEECOMM CENTRE</v>
      </c>
      <c r="J11" s="1234"/>
      <c r="K11" s="1234"/>
      <c r="L11" s="1234"/>
      <c r="M11" s="1234"/>
      <c r="N11" s="1234"/>
      <c r="O11" s="1234"/>
      <c r="P11" s="1234"/>
      <c r="Q11" s="1234"/>
      <c r="R11" s="1234"/>
      <c r="S11" s="1234"/>
      <c r="T11" s="1234"/>
      <c r="U11" s="1234"/>
    </row>
    <row r="12" spans="1:21" x14ac:dyDescent="0.3">
      <c r="A12" s="21" t="s">
        <v>838</v>
      </c>
      <c r="B12" s="21"/>
      <c r="C12" s="21"/>
      <c r="D12" s="21"/>
      <c r="E12" s="21"/>
      <c r="F12" s="21"/>
      <c r="G12" s="21"/>
      <c r="H12" s="21"/>
      <c r="I12" s="21"/>
      <c r="J12" s="21"/>
      <c r="K12" s="21"/>
      <c r="L12" s="21"/>
      <c r="M12" s="1229" t="s">
        <v>896</v>
      </c>
      <c r="N12" s="1229"/>
      <c r="O12" s="1229"/>
      <c r="P12" s="1229"/>
      <c r="Q12" s="1229"/>
      <c r="R12" s="1229"/>
      <c r="S12" s="1229"/>
      <c r="T12" s="1229"/>
      <c r="U12" s="1229"/>
    </row>
    <row r="13" spans="1:21" x14ac:dyDescent="0.3">
      <c r="A13" s="21" t="s">
        <v>839</v>
      </c>
      <c r="B13" s="21"/>
      <c r="C13" s="21"/>
      <c r="D13" s="21"/>
      <c r="E13" s="21"/>
      <c r="F13" s="21"/>
      <c r="G13" s="21"/>
      <c r="H13" s="21"/>
      <c r="I13" s="21"/>
      <c r="J13" s="21"/>
      <c r="K13" s="1241" t="str">
        <f>'STANDARD COMP.'!E10&amp;" "&amp;'STANDARD COMP.'!G10</f>
        <v>2-BR BARE</v>
      </c>
      <c r="L13" s="1234"/>
      <c r="M13" s="1234"/>
      <c r="N13" s="1234"/>
      <c r="O13" s="1234"/>
      <c r="P13" s="1234"/>
      <c r="Q13" s="1234"/>
      <c r="R13" s="1234"/>
      <c r="S13" s="1234"/>
      <c r="T13" s="1234"/>
      <c r="U13" s="1234"/>
    </row>
    <row r="14" spans="1:21" ht="13.5" customHeight="1" x14ac:dyDescent="0.3">
      <c r="A14" s="21" t="s">
        <v>840</v>
      </c>
      <c r="B14" s="21"/>
      <c r="C14" s="21"/>
      <c r="D14" s="21"/>
      <c r="E14" s="21"/>
      <c r="F14" s="21"/>
      <c r="G14" s="21"/>
      <c r="H14" s="21"/>
      <c r="I14" s="21"/>
      <c r="J14" s="21"/>
      <c r="K14" s="21"/>
      <c r="L14" s="21"/>
      <c r="M14" s="21"/>
      <c r="N14" s="21"/>
      <c r="O14" s="21"/>
      <c r="P14" s="21"/>
      <c r="Q14" s="21"/>
      <c r="R14" s="21"/>
      <c r="S14" s="21"/>
      <c r="T14" s="21"/>
      <c r="U14" s="21"/>
    </row>
    <row r="15" spans="1:21" x14ac:dyDescent="0.3">
      <c r="A15" s="21"/>
      <c r="B15" s="21"/>
      <c r="C15" s="21"/>
      <c r="D15" s="21"/>
      <c r="E15" s="21"/>
      <c r="F15" s="21"/>
      <c r="G15" s="21"/>
      <c r="H15" s="21"/>
      <c r="I15" s="21"/>
      <c r="J15" s="21"/>
      <c r="K15" s="21"/>
      <c r="L15" s="21"/>
      <c r="M15" s="21"/>
      <c r="N15" s="21"/>
      <c r="O15" s="21"/>
      <c r="P15" s="21"/>
      <c r="Q15" s="21"/>
      <c r="R15" s="21"/>
      <c r="S15" s="21"/>
      <c r="T15" s="21"/>
      <c r="U15" s="21"/>
    </row>
    <row r="16" spans="1:21" x14ac:dyDescent="0.3">
      <c r="A16" s="25" t="s">
        <v>781</v>
      </c>
      <c r="B16" s="26"/>
      <c r="C16" s="26"/>
      <c r="D16" s="24"/>
      <c r="E16" s="1229" t="str">
        <f>FORM!G11</f>
        <v>WEECOMM CENTRE</v>
      </c>
      <c r="F16" s="1229"/>
      <c r="G16" s="1229"/>
      <c r="H16" s="1229"/>
      <c r="I16" s="1229"/>
      <c r="J16" s="1229"/>
      <c r="K16" s="1229"/>
      <c r="L16" s="1229"/>
      <c r="M16" s="1229"/>
      <c r="N16" s="1229"/>
      <c r="O16" s="1229"/>
      <c r="P16" s="1229"/>
      <c r="Q16" s="1229"/>
      <c r="R16" s="1229"/>
      <c r="S16" s="1229"/>
      <c r="T16" s="1229"/>
      <c r="U16" s="62"/>
    </row>
    <row r="17" spans="1:21" x14ac:dyDescent="0.3">
      <c r="A17" s="27" t="s">
        <v>782</v>
      </c>
      <c r="B17" s="28"/>
      <c r="C17" s="28"/>
      <c r="D17" s="29"/>
      <c r="E17" s="30" t="s">
        <v>841</v>
      </c>
      <c r="F17" s="29"/>
      <c r="G17" s="29"/>
      <c r="H17" s="29"/>
      <c r="I17" s="29"/>
      <c r="J17" s="29"/>
      <c r="K17" s="29"/>
      <c r="L17" s="60" t="s">
        <v>842</v>
      </c>
      <c r="M17" s="29"/>
      <c r="N17" s="29"/>
      <c r="O17" s="29"/>
      <c r="P17" s="29"/>
      <c r="Q17" s="29"/>
      <c r="R17" s="29"/>
      <c r="S17" s="29"/>
      <c r="T17" s="30" t="s">
        <v>843</v>
      </c>
      <c r="U17" s="59"/>
    </row>
    <row r="18" spans="1:21" x14ac:dyDescent="0.3">
      <c r="A18" s="31"/>
      <c r="B18" s="8"/>
      <c r="C18" s="8"/>
      <c r="D18" s="8"/>
      <c r="E18" s="32" t="s">
        <v>844</v>
      </c>
      <c r="F18" s="8"/>
      <c r="G18" s="8"/>
      <c r="H18" s="8"/>
      <c r="I18" s="8"/>
      <c r="J18" s="8"/>
      <c r="K18" s="8"/>
      <c r="L18" s="32" t="s">
        <v>786</v>
      </c>
      <c r="M18" s="8"/>
      <c r="N18" s="8"/>
      <c r="O18" s="8"/>
      <c r="P18" s="8"/>
      <c r="Q18" s="8"/>
      <c r="R18" s="8"/>
      <c r="S18" s="8"/>
      <c r="T18" s="32" t="s">
        <v>845</v>
      </c>
      <c r="U18" s="33"/>
    </row>
    <row r="19" spans="1:21" x14ac:dyDescent="0.3">
      <c r="T19" s="5" t="s">
        <v>660</v>
      </c>
    </row>
    <row r="20" spans="1:21" x14ac:dyDescent="0.3">
      <c r="A20" s="1230" t="s">
        <v>784</v>
      </c>
      <c r="B20" s="1231"/>
      <c r="C20" s="1231"/>
      <c r="D20" s="1231"/>
      <c r="E20" s="1231"/>
      <c r="F20" s="1232"/>
      <c r="G20" s="1230" t="s">
        <v>267</v>
      </c>
      <c r="H20" s="1231"/>
      <c r="I20" s="1231"/>
      <c r="J20" s="1231"/>
      <c r="K20" s="1231"/>
      <c r="L20" s="1232"/>
      <c r="M20" s="1230" t="s">
        <v>785</v>
      </c>
      <c r="N20" s="1231"/>
      <c r="O20" s="1231"/>
      <c r="P20" s="1231"/>
      <c r="Q20" s="1232"/>
      <c r="R20" s="1230" t="s">
        <v>786</v>
      </c>
      <c r="S20" s="1231"/>
      <c r="T20" s="1231"/>
      <c r="U20" s="1232"/>
    </row>
    <row r="21" spans="1:21" x14ac:dyDescent="0.3">
      <c r="A21" s="40" t="s">
        <v>787</v>
      </c>
      <c r="B21" s="41"/>
      <c r="C21" s="41"/>
      <c r="D21" s="1193">
        <f>FORM!G14</f>
        <v>1</v>
      </c>
      <c r="E21" s="1194"/>
      <c r="F21" s="1195"/>
      <c r="G21" s="40" t="s">
        <v>787</v>
      </c>
      <c r="H21" s="41"/>
      <c r="I21" s="42"/>
      <c r="J21" s="1207"/>
      <c r="K21" s="1208"/>
      <c r="L21" s="1209"/>
      <c r="M21" s="40" t="s">
        <v>788</v>
      </c>
      <c r="N21" s="41"/>
      <c r="O21" s="42"/>
      <c r="P21" s="1210"/>
      <c r="Q21" s="1197"/>
      <c r="R21" s="1211" t="s">
        <v>787</v>
      </c>
      <c r="S21" s="1212"/>
      <c r="T21" s="1213"/>
      <c r="U21" s="1214"/>
    </row>
    <row r="22" spans="1:21" x14ac:dyDescent="0.3">
      <c r="A22" s="36" t="s">
        <v>789</v>
      </c>
      <c r="B22" s="37"/>
      <c r="C22" s="37"/>
      <c r="D22" s="1193" t="str">
        <f>FORM!G16</f>
        <v>GF</v>
      </c>
      <c r="E22" s="1194"/>
      <c r="F22" s="1195"/>
      <c r="G22" s="40" t="s">
        <v>790</v>
      </c>
      <c r="H22" s="41"/>
      <c r="I22" s="42"/>
      <c r="J22" s="1207"/>
      <c r="K22" s="1208"/>
      <c r="L22" s="1209"/>
      <c r="M22" s="40" t="s">
        <v>791</v>
      </c>
      <c r="N22" s="41"/>
      <c r="O22" s="42"/>
      <c r="P22" s="1210"/>
      <c r="Q22" s="1197"/>
      <c r="R22" s="1211" t="s">
        <v>792</v>
      </c>
      <c r="S22" s="1212"/>
      <c r="T22" s="1213"/>
      <c r="U22" s="1214"/>
    </row>
    <row r="23" spans="1:21" x14ac:dyDescent="0.3">
      <c r="A23" s="40" t="s">
        <v>792</v>
      </c>
      <c r="B23" s="41"/>
      <c r="C23" s="42"/>
      <c r="D23" s="1193" t="str">
        <f>FORM!G18</f>
        <v>9G</v>
      </c>
      <c r="E23" s="1194"/>
      <c r="F23" s="1195"/>
      <c r="G23" s="40" t="s">
        <v>793</v>
      </c>
      <c r="H23" s="41"/>
      <c r="I23" s="42"/>
      <c r="J23" s="1207"/>
      <c r="K23" s="1208"/>
      <c r="L23" s="1209"/>
      <c r="M23" s="40" t="s">
        <v>794</v>
      </c>
      <c r="N23" s="41"/>
      <c r="O23" s="42"/>
      <c r="P23" s="1210"/>
      <c r="Q23" s="1197"/>
      <c r="R23" s="1211" t="s">
        <v>795</v>
      </c>
      <c r="S23" s="1212"/>
      <c r="T23" s="1213"/>
      <c r="U23" s="1214"/>
    </row>
    <row r="24" spans="1:21" ht="16.5" customHeight="1" x14ac:dyDescent="0.3">
      <c r="A24" s="36" t="s">
        <v>80</v>
      </c>
      <c r="B24" s="37"/>
      <c r="C24" s="37"/>
      <c r="D24" s="1242">
        <f>'STANDARD COMP.'!E13</f>
        <v>108.78</v>
      </c>
      <c r="E24" s="1243"/>
      <c r="F24" s="55" t="s">
        <v>693</v>
      </c>
      <c r="G24" s="40" t="s">
        <v>795</v>
      </c>
      <c r="H24" s="41"/>
      <c r="I24" s="42"/>
      <c r="J24" s="1207"/>
      <c r="K24" s="1208"/>
      <c r="L24" s="1209"/>
      <c r="M24" s="36" t="s">
        <v>846</v>
      </c>
      <c r="N24" s="37"/>
      <c r="O24" s="37"/>
      <c r="P24" s="1210"/>
      <c r="Q24" s="1197"/>
      <c r="R24" s="1215" t="s">
        <v>796</v>
      </c>
      <c r="S24" s="1216"/>
      <c r="T24" s="1221"/>
      <c r="U24" s="1222"/>
    </row>
    <row r="25" spans="1:21" x14ac:dyDescent="0.3">
      <c r="A25" s="40" t="s">
        <v>797</v>
      </c>
      <c r="B25" s="41"/>
      <c r="C25" s="42"/>
      <c r="D25" s="1237" t="str">
        <f>K13</f>
        <v>2-BR BARE</v>
      </c>
      <c r="E25" s="1194"/>
      <c r="F25" s="1195"/>
      <c r="G25" s="40" t="s">
        <v>798</v>
      </c>
      <c r="H25" s="41"/>
      <c r="I25" s="42"/>
      <c r="J25" s="1207"/>
      <c r="K25" s="1208"/>
      <c r="L25" s="1209"/>
      <c r="M25" s="40" t="s">
        <v>800</v>
      </c>
      <c r="N25" s="41"/>
      <c r="O25" s="42"/>
      <c r="P25" s="1193"/>
      <c r="Q25" s="1195"/>
      <c r="R25" s="1219"/>
      <c r="S25" s="1220"/>
      <c r="T25" s="1225"/>
      <c r="U25" s="1226"/>
    </row>
    <row r="27" spans="1:21" x14ac:dyDescent="0.3">
      <c r="A27" s="40" t="s">
        <v>37</v>
      </c>
      <c r="B27" s="41"/>
      <c r="C27" s="41"/>
      <c r="D27" s="41"/>
      <c r="E27" s="41"/>
      <c r="F27" s="41"/>
      <c r="G27" s="41"/>
      <c r="H27" s="42"/>
      <c r="I27" s="1199">
        <f>'STEP UP'!F15</f>
        <v>20466686.730335645</v>
      </c>
      <c r="J27" s="1200"/>
      <c r="K27" s="1200"/>
      <c r="L27" s="1200"/>
      <c r="M27" s="1200"/>
      <c r="N27" s="1200"/>
      <c r="O27" s="1200"/>
      <c r="P27" s="1200"/>
      <c r="Q27" s="1200"/>
      <c r="R27" s="1200"/>
      <c r="S27" s="1200"/>
      <c r="T27" s="1200"/>
      <c r="U27" s="1201"/>
    </row>
    <row r="28" spans="1:21" x14ac:dyDescent="0.3">
      <c r="A28" s="40" t="s">
        <v>801</v>
      </c>
      <c r="B28" s="41"/>
      <c r="C28" s="43"/>
      <c r="D28" s="43"/>
      <c r="E28" s="43"/>
      <c r="F28" s="43"/>
      <c r="G28" s="43"/>
      <c r="H28" s="44"/>
      <c r="I28" s="1199">
        <f>'STEP UP'!F16</f>
        <v>0</v>
      </c>
      <c r="J28" s="1200"/>
      <c r="K28" s="1200"/>
      <c r="L28" s="1200"/>
      <c r="M28" s="1200"/>
      <c r="N28" s="1200"/>
      <c r="O28" s="1200"/>
      <c r="P28" s="1200"/>
      <c r="Q28" s="1200"/>
      <c r="R28" s="1200"/>
      <c r="S28" s="1200"/>
      <c r="T28" s="1200"/>
      <c r="U28" s="1201"/>
    </row>
    <row r="29" spans="1:21" x14ac:dyDescent="0.3">
      <c r="A29" s="52" t="s">
        <v>92</v>
      </c>
      <c r="B29" s="53"/>
      <c r="C29" s="54"/>
      <c r="D29" s="54"/>
      <c r="E29" s="54"/>
      <c r="F29" s="54"/>
      <c r="G29" s="54"/>
      <c r="H29" s="51"/>
      <c r="I29" s="1199">
        <f>'STEP UP'!F17</f>
        <v>20466686.730335645</v>
      </c>
      <c r="J29" s="1200"/>
      <c r="K29" s="1200"/>
      <c r="L29" s="1200"/>
      <c r="M29" s="1200"/>
      <c r="N29" s="1200"/>
      <c r="O29" s="1200"/>
      <c r="P29" s="1200"/>
      <c r="Q29" s="1200"/>
      <c r="R29" s="1200"/>
      <c r="S29" s="1200"/>
      <c r="T29" s="1200"/>
      <c r="U29" s="1201"/>
    </row>
    <row r="30" spans="1:21" x14ac:dyDescent="0.3">
      <c r="A30" s="40" t="s">
        <v>802</v>
      </c>
      <c r="B30" s="41"/>
      <c r="C30" s="43"/>
      <c r="D30" s="43"/>
      <c r="E30" s="43"/>
      <c r="F30" s="43"/>
      <c r="G30" s="43"/>
      <c r="H30" s="44"/>
      <c r="I30" s="1199">
        <f>'STEP UP'!F20</f>
        <v>2046668.6730335646</v>
      </c>
      <c r="J30" s="1200"/>
      <c r="K30" s="1200"/>
      <c r="L30" s="1200"/>
      <c r="M30" s="1200"/>
      <c r="N30" s="1200"/>
      <c r="O30" s="1200"/>
      <c r="P30" s="1200"/>
      <c r="Q30" s="1200"/>
      <c r="R30" s="1200"/>
      <c r="S30" s="1200"/>
      <c r="T30" s="1200"/>
      <c r="U30" s="1201"/>
    </row>
    <row r="31" spans="1:21" hidden="1" x14ac:dyDescent="0.3">
      <c r="A31" s="38" t="s">
        <v>847</v>
      </c>
      <c r="B31" s="39"/>
      <c r="C31" s="48"/>
      <c r="D31" s="48"/>
      <c r="E31" s="48"/>
      <c r="F31" s="48"/>
      <c r="G31" s="48"/>
      <c r="H31" s="49"/>
      <c r="I31" s="1199"/>
      <c r="J31" s="1200"/>
      <c r="K31" s="1200"/>
      <c r="L31" s="1200"/>
      <c r="M31" s="1200"/>
      <c r="N31" s="1200"/>
      <c r="O31" s="1200"/>
      <c r="P31" s="1200"/>
      <c r="Q31" s="1200"/>
      <c r="R31" s="1200"/>
      <c r="S31" s="1200"/>
      <c r="T31" s="1200"/>
      <c r="U31" s="1201"/>
    </row>
    <row r="32" spans="1:21" x14ac:dyDescent="0.3">
      <c r="A32" s="40" t="s">
        <v>803</v>
      </c>
      <c r="B32" s="41"/>
      <c r="C32" s="43"/>
      <c r="D32" s="43"/>
      <c r="E32" s="43"/>
      <c r="F32" s="43"/>
      <c r="G32" s="43"/>
      <c r="H32" s="44"/>
      <c r="I32" s="1199">
        <f>'STEP UP'!F19</f>
        <v>2456002.4076402774</v>
      </c>
      <c r="J32" s="1200"/>
      <c r="K32" s="1200"/>
      <c r="L32" s="1200"/>
      <c r="M32" s="1200"/>
      <c r="N32" s="1200"/>
      <c r="O32" s="1200"/>
      <c r="P32" s="1200"/>
      <c r="Q32" s="1200"/>
      <c r="R32" s="1200"/>
      <c r="S32" s="1200"/>
      <c r="T32" s="1200"/>
      <c r="U32" s="1201"/>
    </row>
    <row r="33" spans="1:21" x14ac:dyDescent="0.3">
      <c r="A33" s="40" t="s">
        <v>41</v>
      </c>
      <c r="B33" s="41"/>
      <c r="C33" s="43"/>
      <c r="D33" s="43"/>
      <c r="E33" s="43"/>
      <c r="F33" s="43"/>
      <c r="G33" s="43"/>
      <c r="H33" s="44"/>
      <c r="I33" s="1199">
        <f>'STEP UP'!F22</f>
        <v>24969357.811009489</v>
      </c>
      <c r="J33" s="1200"/>
      <c r="K33" s="1200"/>
      <c r="L33" s="1200"/>
      <c r="M33" s="1200"/>
      <c r="N33" s="1200"/>
      <c r="O33" s="1200"/>
      <c r="P33" s="1200"/>
      <c r="Q33" s="1200"/>
      <c r="R33" s="1200"/>
      <c r="S33" s="1200"/>
      <c r="T33" s="1200"/>
      <c r="U33" s="1201"/>
    </row>
    <row r="35" spans="1:21" x14ac:dyDescent="0.3">
      <c r="A35" s="74" t="s">
        <v>848</v>
      </c>
      <c r="B35" s="45"/>
      <c r="C35" s="45"/>
      <c r="D35" s="45"/>
      <c r="E35" s="45"/>
      <c r="F35" s="45"/>
      <c r="G35" s="46"/>
      <c r="H35" s="46"/>
      <c r="I35" s="46"/>
      <c r="J35" s="46"/>
      <c r="K35" s="46"/>
      <c r="L35" s="46"/>
      <c r="M35" s="46"/>
      <c r="N35" s="46"/>
      <c r="O35" s="46"/>
      <c r="P35" s="46"/>
      <c r="Q35" s="46"/>
      <c r="R35" s="46"/>
      <c r="S35" s="46"/>
      <c r="T35" s="46"/>
      <c r="U35" s="47"/>
    </row>
    <row r="36" spans="1:21" ht="4.5" customHeight="1" x14ac:dyDescent="0.3">
      <c r="A36" s="34"/>
      <c r="B36" s="18"/>
      <c r="C36" s="18"/>
      <c r="D36" s="18"/>
      <c r="E36" s="18"/>
      <c r="F36" s="18"/>
      <c r="G36" s="18"/>
      <c r="H36" s="18"/>
      <c r="I36" s="18"/>
      <c r="J36" s="18"/>
      <c r="K36" s="18"/>
      <c r="L36" s="18"/>
      <c r="M36" s="18"/>
      <c r="N36" s="18"/>
      <c r="O36" s="18"/>
      <c r="P36" s="18"/>
      <c r="Q36" s="18"/>
      <c r="R36" s="18"/>
      <c r="S36" s="18"/>
      <c r="T36" s="18"/>
      <c r="U36" s="35"/>
    </row>
    <row r="37" spans="1:21" x14ac:dyDescent="0.3">
      <c r="A37" s="34"/>
      <c r="B37" s="18"/>
      <c r="C37" s="18"/>
      <c r="D37" s="18" t="s">
        <v>849</v>
      </c>
      <c r="E37" s="18"/>
      <c r="F37" s="18"/>
      <c r="G37" s="18"/>
      <c r="H37" s="18"/>
      <c r="I37" s="18"/>
      <c r="J37" s="18"/>
      <c r="K37" s="18"/>
      <c r="L37" s="18" t="s">
        <v>850</v>
      </c>
      <c r="M37" s="18"/>
      <c r="O37" s="18"/>
      <c r="P37" s="18"/>
      <c r="Q37" s="18"/>
      <c r="R37" s="18"/>
      <c r="S37" s="18" t="s">
        <v>851</v>
      </c>
      <c r="T37" s="18"/>
      <c r="U37" s="35"/>
    </row>
    <row r="38" spans="1:21" ht="4.5" customHeight="1" x14ac:dyDescent="0.3">
      <c r="A38" s="75"/>
      <c r="B38" s="32"/>
      <c r="C38" s="32"/>
      <c r="D38" s="32"/>
      <c r="E38" s="32"/>
      <c r="F38" s="32"/>
      <c r="G38" s="32"/>
      <c r="H38" s="32"/>
      <c r="I38" s="32"/>
      <c r="J38" s="32"/>
      <c r="K38" s="32"/>
      <c r="L38" s="32"/>
      <c r="M38" s="32"/>
      <c r="N38" s="32"/>
      <c r="O38" s="32"/>
      <c r="P38" s="32"/>
      <c r="Q38" s="32"/>
      <c r="R38" s="32"/>
      <c r="S38" s="32"/>
      <c r="T38" s="32"/>
      <c r="U38" s="76"/>
    </row>
    <row r="39" spans="1:21" ht="11.25" customHeight="1" x14ac:dyDescent="0.3"/>
    <row r="40" spans="1:21" x14ac:dyDescent="0.3">
      <c r="A40" s="6" t="s">
        <v>852</v>
      </c>
      <c r="T40"/>
    </row>
    <row r="41" spans="1:21" ht="13.5" customHeight="1" x14ac:dyDescent="0.3">
      <c r="A41" s="77" t="s">
        <v>853</v>
      </c>
      <c r="C41" s="1247" t="s">
        <v>854</v>
      </c>
      <c r="D41" s="1247"/>
      <c r="E41" s="1247"/>
      <c r="F41" s="1247"/>
      <c r="G41" s="1247"/>
      <c r="H41" s="1247"/>
      <c r="I41" s="1247"/>
      <c r="J41" s="1247"/>
      <c r="K41" s="1247"/>
      <c r="L41" s="1247"/>
      <c r="M41" s="1247"/>
      <c r="N41" s="1247"/>
      <c r="O41" s="1250" t="str">
        <f>IF(OR(LEN(FLOOR(T41,1))=13,FLOOR(T41,1)&lt;=0),"Out of range",PROPER(SUBSTITUTE(CONCATENATE(CHOOSE(MID(TEXT(INT(T41),REPT(0,12)),1,1)+1,"","one hundred ","two hundred ","three hundred ","four hundred ","five hundred ","six hundred ","seven hundred ","eight hundred ","nine hundred "),CHOOSE(MID(TEXT(INT(T41),REPT(0,12)),2,1)+1,"",CHOOSE(MID(TEXT(INT(T41),REPT(0,12)),3,1)+1,"ten","eleven","twelve","thirteen","fourteen","fifteen","sixteen","seventeen","eighteen","nineteen"),"twenty","thirty","forty","fifty","sixty","seventy","eighty","ninety"),IF(VALUE(MID(TEXT(INT(T41),REPT(0,12)),2,1))&gt;1,CHOOSE(MID(TEXT(INT(T41),REPT(0,12)),3,1)+1,"","-one","-two","-three","-four","-five","-six","-seven","-eight","-nine"),IF(VALUE(MID(TEXT(INT(T41),REPT(0,12)),2,1))=0,CHOOSE(MID(TEXT(INT(T41),REPT(0,12)),3,1)+1,"","one","two","three","four","five","six","seven","eight","nine"),"")),IF(T41&gt;=10^9," billion ",""),CHOOSE(MID(TEXT(INT(T41),REPT(0,12)),4,1)+1,"","one hundred ","two hundred ","three hundred ","four hundred ","five hundred ","six hundred ","seven hundred ","eight hundred ","nine hundred "),CHOOSE(MID(TEXT(INT(T41),REPT(0,12)),5,1)+1,"",CHOOSE(MID(TEXT(INT(T41),REPT(0,12)),6,1)+1,"ten","eleven","twelve","thirteen","fourteen","fifteen","sixteen","seventeen","eighteen","nineteen"),"twenty","thirty","forty","fifty","sixty","seventy","eighty","ninety"),IF(VALUE(MID(TEXT(INT(T41),REPT(0,12)),5,1))&gt;1,CHOOSE(MID(TEXT(INT(T41),REPT(0,12)),6,1)+1,"","-one","-two","-three","-four","-five","-six","-seven","-eight","-nine"),IF(VALUE(MID(TEXT(INT(T41),REPT(0,12)),5,1))=0,CHOOSE(MID(TEXT(INT(T41),REPT(0,12)),6,1)+1,"","one","two","three","four","five","six","seven","eight","nine"),"")),IF(VALUE(MID(TEXT(INT(T41),REPT(0,12)),4,3))&gt;0," million ",""),CHOOSE(MID(TEXT(INT(T41),REPT(0,12)),7,1)+1,"","one hundred ","two hundred ","three hundred ","four hundred ","five hundred ","six hundred ","seven hundred ","eight hundred ","nine hundred "),CHOOSE(MID(TEXT(INT(T41),REPT(0,12)),8,1)+1,"",CHOOSE(MID(TEXT(INT(T41),REPT(0,12)),9,1)+1,"ten","eleven","twelve","thirteen","fourteen","fifteen","sixteen","seventeen","eighteen","nineteen"),"twenty","thirty","forty","fifty","sixty","seventy","eighty","ninety"),IF(VALUE(MID(TEXT(INT(T41),REPT(0,12)),8,1))&gt;1,CHOOSE(MID(TEXT(INT(T41),REPT(0,12)),9,1)+1,"","-one","-two","-three","-four","-five","-six","-seven","-eight","-nine"),IF(VALUE(MID(TEXT(INT(T41),REPT(0,12)),8,1))=0,CHOOSE(MID(TEXT(INT(T41),REPT(0,12)),9,1)+1,"","one","two","three","four","five","six","seven","eight","nine"),"")),IF(VALUE(MID(TEXT(INT(T41),REPT(0,12)),7,3))," thousand ",""),CHOOSE(MID(TEXT(INT(T41),REPT(0,12)),10,1)+1,"","one hundred ","two hundred ","three hundred ","four hundred ","five hundred ","six hundred ","seven hundred ","eight hundred ","nine hundred "),CHOOSE(MID(TEXT(INT(T41),REPT(0,12)),11,1)+1,"",CHOOSE(MID(TEXT(INT(T41),REPT(0,12)),12,1)+1,"ten","eleven","twelve","thirteen","fourteen","fifteen","sixteen","seventeen","eighteen","nineteen"),"twenty","thirty","forty","fifty","sixty","seventy","eighty","ninety"),IF(VALUE(MID(TEXT(INT(T41),REPT(0,12)),11,1))&gt;1,CHOOSE(MID(TEXT(INT(T41),REPT(0,12)),12,1)+1,"","-one","-two","-three","-four","-five","-six","-seven","-eight","-nine"),IF(VALUE(MID(TEXT(INT(T41),REPT(0,12)),11,1))=0,CHOOSE(MID(TEXT(INT(T41),REPT(0,12)),12,1)+1,"","one","two","three","four","five","six","seven","eight","nine"),""))),"  "," ")&amp;IF(FLOOR(T41,1)&gt;1," PESOS"," dollar"))&amp;IF(ISERROR(FIND(".",T41,1)),""," and "&amp;PROPER(IF(LEN(LEFT(TRIM(MID(SUBSTITUTE([22]Sheet1!A2,".",REPT(" ",255)),255,200)),2))=1,CHOOSE(1*LEFT(TRIM(MID(SUBSTITUTE([22]Sheet1!A2,".",REPT(" ",255)),255,200)),2),"ten","twenty","thirty","forty","fifty","sixty","seventy","eighty","ninety")&amp;" cents","")&amp;CONCATENATE(CHOOSE(MID(TEXT(INT(LEFT(TRIM(MID(SUBSTITUTE([22]Sheet1!A2,".",REPT(" ",255)),255,200)),2)),REPT(0,12)),11,1)+1,"",CHOOSE(MID(TEXT(INT(LEFT(TRIM(MID(SUBSTITUTE([22]Sheet1!A2,".",REPT(" ",255)),255,200)),2)),REPT(0,12)),12,1)+1,"ten","eleven","twelve","thirteen","fourteen","fifteen","sixteen","seventeen","eighteen","nineteen")&amp;" cents","twenty","thirty","forty","fifty","sixty","seventy","eighty","ninety"),IF(VALUE(MID(TEXT(INT(LEFT(TRIM(MID(SUBSTITUTE([22]Sheet1!A2,".",REPT(" ",255)),255,200)),2)),REPT(0,12)),11,1))&gt;1,CHOOSE(MID(TEXT(INT(LEFT(TRIM(MID(SUBSTITUTE([22]Sheet1!A2,".",REPT(" ",255)),255,200)),2)),REPT(0,12)),12,1)+1,"","-one","-two","-three","-four","-five","-six","-seven","-eight","-nine")&amp;" cents",IF(LEFT(TRIM(MID(SUBSTITUTE([22]Sheet1!A2,".",REPT(" ",255)),255,200)),2)="01","one cent",IF(LEFT(TRIM(MID(SUBSTITUTE([22]Sheet1!A2,".",REPT(" ",255)),255,200)),1)="0",CHOOSE(MID(TEXT(INT(LEFT(TRIM(MID(SUBSTITUTE([22]Sheet1!A2,".",REPT(" ",255)),255,200)),2)),REPT(0,12)),12,1)+1,"","one","two","three","four","five","six","seven","eight","nine")&amp;" cents","")))))))</f>
        <v>Fifty Thousand  Pesos</v>
      </c>
      <c r="P41" s="1250"/>
      <c r="Q41" s="1250"/>
      <c r="R41" s="1250"/>
      <c r="S41" s="97" t="s">
        <v>855</v>
      </c>
      <c r="T41" s="711">
        <f>FORM!G24</f>
        <v>50000</v>
      </c>
      <c r="U41" s="97" t="s">
        <v>856</v>
      </c>
    </row>
    <row r="42" spans="1:21" ht="13.5" customHeight="1" x14ac:dyDescent="0.3">
      <c r="A42" s="77"/>
      <c r="B42" s="78"/>
      <c r="C42" s="78"/>
      <c r="D42" s="78"/>
      <c r="E42" s="78"/>
      <c r="F42" s="78"/>
      <c r="G42" s="78"/>
      <c r="H42" s="78"/>
      <c r="I42" s="78"/>
      <c r="J42" s="78"/>
      <c r="K42" s="78"/>
      <c r="L42" s="78"/>
      <c r="M42" s="78"/>
      <c r="N42" s="78"/>
      <c r="O42" s="95"/>
      <c r="P42" s="95"/>
      <c r="Q42" s="95"/>
      <c r="R42" s="95"/>
      <c r="S42" s="61"/>
      <c r="T42" s="96"/>
      <c r="U42" s="61"/>
    </row>
    <row r="43" spans="1:21" ht="13.5" customHeight="1" x14ac:dyDescent="0.3">
      <c r="A43" s="77"/>
      <c r="B43" s="78"/>
      <c r="C43" s="78"/>
      <c r="D43" s="78"/>
      <c r="E43" s="78"/>
      <c r="F43" s="78"/>
      <c r="G43" s="78"/>
      <c r="H43" s="78"/>
      <c r="I43" s="78"/>
      <c r="J43" s="78"/>
      <c r="K43" s="78"/>
      <c r="L43" s="78"/>
      <c r="M43" s="78"/>
      <c r="N43" s="78"/>
      <c r="O43" s="95"/>
      <c r="P43" s="95"/>
      <c r="Q43" s="95"/>
      <c r="R43" s="95"/>
      <c r="S43" s="61"/>
      <c r="T43" s="96"/>
      <c r="U43" s="61"/>
    </row>
    <row r="44" spans="1:21" ht="13.5" customHeight="1" x14ac:dyDescent="0.3">
      <c r="A44" s="77"/>
      <c r="B44" s="78"/>
      <c r="C44" s="78"/>
      <c r="D44" s="78"/>
      <c r="E44" s="78"/>
      <c r="F44" s="78"/>
      <c r="G44" s="78"/>
      <c r="H44" s="78"/>
      <c r="I44" s="78"/>
      <c r="J44" s="78"/>
      <c r="K44" s="78"/>
      <c r="L44" s="78"/>
      <c r="M44" s="78"/>
      <c r="N44" s="78"/>
      <c r="O44" s="95"/>
      <c r="P44" s="95"/>
      <c r="Q44" s="95"/>
      <c r="R44" s="95"/>
      <c r="S44" s="61"/>
      <c r="T44" s="96"/>
      <c r="U44" s="61"/>
    </row>
    <row r="45" spans="1:21" ht="13.5" customHeight="1" x14ac:dyDescent="0.3">
      <c r="A45" s="77"/>
      <c r="B45" s="78"/>
      <c r="C45" s="78"/>
      <c r="D45" s="78"/>
      <c r="E45" s="78"/>
      <c r="F45" s="78"/>
      <c r="G45" s="78"/>
      <c r="H45" s="78"/>
      <c r="I45" s="78"/>
      <c r="J45" s="78"/>
      <c r="K45" s="78"/>
      <c r="L45" s="78"/>
      <c r="M45" s="78"/>
      <c r="N45" s="78"/>
      <c r="O45" s="95"/>
      <c r="P45" s="95"/>
      <c r="Q45" s="95"/>
      <c r="R45" s="95"/>
      <c r="S45" s="61"/>
      <c r="T45" s="96"/>
      <c r="U45" s="61"/>
    </row>
    <row r="46" spans="1:21" ht="13.5" customHeight="1" x14ac:dyDescent="0.3">
      <c r="A46" s="77"/>
      <c r="B46" s="78"/>
      <c r="C46" s="78"/>
      <c r="D46" s="78"/>
      <c r="E46" s="78"/>
      <c r="F46" s="78"/>
      <c r="G46" s="78"/>
      <c r="H46" s="78"/>
      <c r="I46" s="78"/>
      <c r="J46" s="78"/>
      <c r="K46" s="78"/>
      <c r="L46" s="78"/>
      <c r="M46" s="78"/>
      <c r="N46" s="78"/>
      <c r="O46" s="95"/>
      <c r="P46" s="95"/>
      <c r="Q46" s="95"/>
      <c r="R46" s="95"/>
      <c r="S46" s="61"/>
      <c r="T46" s="96"/>
      <c r="U46" s="61"/>
    </row>
    <row r="47" spans="1:21" ht="13.5" customHeight="1" x14ac:dyDescent="0.3">
      <c r="A47" s="77"/>
      <c r="B47" s="78"/>
      <c r="C47" s="78"/>
      <c r="D47" s="78"/>
      <c r="E47" s="78"/>
      <c r="F47" s="78"/>
      <c r="G47" s="78"/>
      <c r="H47" s="78"/>
      <c r="I47" s="78"/>
      <c r="J47" s="78"/>
      <c r="K47" s="78"/>
      <c r="L47" s="78"/>
      <c r="M47" s="78"/>
      <c r="N47" s="78"/>
      <c r="O47" s="95"/>
      <c r="P47" s="95"/>
      <c r="Q47" s="95"/>
      <c r="R47" s="95"/>
      <c r="S47" s="61"/>
      <c r="T47" s="96"/>
      <c r="U47" s="61"/>
    </row>
    <row r="48" spans="1:21" ht="13.5" customHeight="1" x14ac:dyDescent="0.3">
      <c r="A48" s="77"/>
      <c r="B48" s="78"/>
      <c r="C48" s="78"/>
      <c r="D48" s="78"/>
      <c r="E48" s="78"/>
      <c r="F48" s="78"/>
      <c r="G48" s="78"/>
      <c r="H48" s="78"/>
      <c r="I48" s="78"/>
      <c r="J48" s="78"/>
      <c r="K48" s="78"/>
      <c r="L48" s="78"/>
      <c r="M48" s="78"/>
      <c r="N48" s="78"/>
      <c r="O48" s="95"/>
      <c r="P48" s="95"/>
      <c r="Q48" s="95"/>
      <c r="R48" s="95"/>
      <c r="S48" s="61"/>
      <c r="T48" s="96"/>
      <c r="U48" s="61"/>
    </row>
    <row r="49" spans="1:21" ht="13.5" customHeight="1" x14ac:dyDescent="0.3">
      <c r="A49" s="77"/>
      <c r="B49" s="78"/>
      <c r="C49" s="78"/>
      <c r="D49" s="78"/>
      <c r="E49" s="78"/>
      <c r="F49" s="78"/>
      <c r="G49" s="78"/>
      <c r="H49" s="78"/>
      <c r="I49" s="78"/>
      <c r="J49" s="78"/>
      <c r="K49" s="78"/>
      <c r="L49" s="78"/>
      <c r="M49" s="78"/>
      <c r="N49" s="78"/>
      <c r="O49" s="95"/>
      <c r="P49" s="95"/>
      <c r="Q49" s="95"/>
      <c r="R49" s="95"/>
      <c r="S49" s="61"/>
      <c r="T49" s="96"/>
      <c r="U49" s="61"/>
    </row>
    <row r="50" spans="1:21" ht="13.5" customHeight="1" x14ac:dyDescent="0.3">
      <c r="A50" s="77"/>
      <c r="B50" s="78"/>
      <c r="C50" s="78"/>
      <c r="D50" s="78"/>
      <c r="E50" s="78"/>
      <c r="F50" s="78"/>
      <c r="G50" s="78"/>
      <c r="H50" s="78"/>
      <c r="I50" s="78"/>
      <c r="J50" s="78"/>
      <c r="K50" s="78"/>
      <c r="L50" s="78"/>
      <c r="M50" s="78"/>
      <c r="N50" s="78"/>
      <c r="O50" s="95"/>
      <c r="P50" s="95"/>
      <c r="Q50" s="95"/>
      <c r="R50" s="95"/>
      <c r="S50" s="61"/>
      <c r="T50" s="96"/>
      <c r="U50" s="61"/>
    </row>
    <row r="51" spans="1:21" ht="13.5" customHeight="1" x14ac:dyDescent="0.3">
      <c r="A51" s="77"/>
      <c r="B51" s="78"/>
      <c r="C51" s="78"/>
      <c r="D51" s="78"/>
      <c r="E51" s="78"/>
      <c r="F51" s="78"/>
      <c r="G51" s="78"/>
      <c r="H51" s="78"/>
      <c r="I51" s="78"/>
      <c r="J51" s="78"/>
      <c r="K51" s="78"/>
      <c r="L51" s="78"/>
      <c r="M51" s="78"/>
      <c r="N51" s="78"/>
      <c r="O51" s="95"/>
      <c r="P51" s="95"/>
      <c r="Q51" s="95"/>
      <c r="R51" s="95"/>
      <c r="S51" s="61"/>
      <c r="T51" s="96"/>
      <c r="U51" s="61"/>
    </row>
    <row r="52" spans="1:21" ht="13.5" customHeight="1" x14ac:dyDescent="0.3">
      <c r="A52" s="77"/>
      <c r="B52" s="78"/>
      <c r="C52" s="78"/>
      <c r="D52" s="78"/>
      <c r="E52" s="78"/>
      <c r="F52" s="78"/>
      <c r="G52" s="78"/>
      <c r="H52" s="78"/>
      <c r="I52" s="78"/>
      <c r="J52" s="78"/>
      <c r="K52" s="78"/>
      <c r="L52" s="78"/>
      <c r="M52" s="78"/>
      <c r="N52" s="78"/>
      <c r="O52" s="95"/>
      <c r="P52" s="95"/>
      <c r="Q52" s="95"/>
      <c r="R52" s="95"/>
      <c r="S52" s="61"/>
      <c r="T52" s="96"/>
      <c r="U52" s="61"/>
    </row>
    <row r="53" spans="1:21" ht="13.5" customHeight="1" x14ac:dyDescent="0.3">
      <c r="A53" s="77"/>
      <c r="B53" s="78"/>
      <c r="C53" s="78"/>
      <c r="D53" s="78"/>
      <c r="E53" s="78"/>
      <c r="F53" s="78"/>
      <c r="G53" s="78"/>
      <c r="H53" s="78"/>
      <c r="I53" s="78"/>
      <c r="J53" s="78"/>
      <c r="K53" s="78"/>
      <c r="L53" s="78"/>
      <c r="M53" s="78"/>
      <c r="N53" s="78"/>
      <c r="O53" s="95"/>
      <c r="P53" s="95"/>
      <c r="Q53" s="95"/>
      <c r="R53" s="95"/>
      <c r="S53" s="61"/>
      <c r="T53" s="96"/>
      <c r="U53" s="61"/>
    </row>
    <row r="54" spans="1:21" ht="13.5" customHeight="1" x14ac:dyDescent="0.3">
      <c r="A54" s="77"/>
      <c r="B54" s="78"/>
      <c r="C54" s="78"/>
      <c r="D54" s="78"/>
      <c r="E54" s="78"/>
      <c r="F54" s="78"/>
      <c r="G54" s="78"/>
      <c r="H54" s="78"/>
      <c r="I54" s="78"/>
      <c r="J54" s="78"/>
      <c r="K54" s="78"/>
      <c r="L54" s="78"/>
      <c r="M54" s="78"/>
      <c r="N54" s="78"/>
      <c r="O54" s="95"/>
      <c r="P54" s="95"/>
      <c r="Q54" s="95"/>
      <c r="R54" s="95"/>
      <c r="S54" s="61"/>
      <c r="T54" s="96"/>
      <c r="U54" s="61"/>
    </row>
    <row r="55" spans="1:21" ht="13.5" customHeight="1" x14ac:dyDescent="0.3">
      <c r="A55" s="77"/>
      <c r="B55" s="78"/>
      <c r="C55" s="78"/>
      <c r="D55" s="78"/>
      <c r="E55" s="78"/>
      <c r="F55" s="78"/>
      <c r="G55" s="78"/>
      <c r="H55" s="78"/>
      <c r="I55" s="78"/>
      <c r="J55" s="78"/>
      <c r="K55" s="78"/>
      <c r="L55" s="78"/>
      <c r="M55" s="78"/>
      <c r="N55" s="78"/>
      <c r="O55" s="95"/>
      <c r="P55" s="95"/>
      <c r="Q55" s="95"/>
      <c r="R55" s="95"/>
      <c r="S55" s="61"/>
      <c r="T55" s="96"/>
      <c r="U55" s="61"/>
    </row>
    <row r="56" spans="1:21" ht="13.5" customHeight="1" x14ac:dyDescent="0.3">
      <c r="A56" s="77"/>
      <c r="B56" s="78"/>
      <c r="C56" s="78"/>
      <c r="D56" s="78"/>
      <c r="E56" s="78"/>
      <c r="F56" s="78"/>
      <c r="G56" s="78"/>
      <c r="H56" s="78"/>
      <c r="I56" s="78"/>
      <c r="J56" s="78"/>
      <c r="K56" s="78"/>
      <c r="L56" s="78"/>
      <c r="M56" s="78"/>
      <c r="N56" s="78"/>
      <c r="O56" s="95"/>
      <c r="P56" s="95"/>
      <c r="Q56" s="95"/>
      <c r="R56" s="95"/>
      <c r="S56" s="61"/>
      <c r="T56" s="96"/>
      <c r="U56" s="61"/>
    </row>
    <row r="57" spans="1:21" ht="13.5" customHeight="1" x14ac:dyDescent="0.3">
      <c r="A57" s="77"/>
      <c r="B57" s="78"/>
      <c r="C57" s="78"/>
      <c r="D57" s="78"/>
      <c r="E57" s="78"/>
      <c r="F57" s="78"/>
      <c r="G57" s="78"/>
      <c r="H57" s="78"/>
      <c r="I57" s="78"/>
      <c r="J57" s="78"/>
      <c r="K57" s="78"/>
      <c r="L57" s="78"/>
      <c r="M57" s="78"/>
      <c r="N57" s="78"/>
      <c r="O57" s="95"/>
      <c r="P57" s="95"/>
      <c r="Q57" s="95"/>
      <c r="R57" s="95"/>
      <c r="S57" s="61"/>
      <c r="T57" s="96"/>
      <c r="U57" s="61"/>
    </row>
    <row r="58" spans="1:21" ht="13.5" customHeight="1" x14ac:dyDescent="0.3">
      <c r="A58" s="77"/>
      <c r="B58" s="78"/>
      <c r="C58" s="78"/>
      <c r="D58" s="78"/>
      <c r="E58" s="78"/>
      <c r="F58" s="78"/>
      <c r="G58" s="78"/>
      <c r="H58" s="78"/>
      <c r="I58" s="78"/>
      <c r="J58" s="78"/>
      <c r="K58" s="78"/>
      <c r="L58" s="78"/>
      <c r="M58" s="78"/>
      <c r="N58" s="78"/>
      <c r="O58" s="95"/>
      <c r="P58" s="95"/>
      <c r="Q58" s="95"/>
      <c r="R58" s="95"/>
      <c r="S58" s="61"/>
      <c r="T58" s="96"/>
      <c r="U58" s="61"/>
    </row>
    <row r="59" spans="1:21" ht="13.5" customHeight="1" x14ac:dyDescent="0.3">
      <c r="A59" s="77"/>
      <c r="B59" s="78"/>
      <c r="C59" s="78"/>
      <c r="D59" s="78"/>
      <c r="E59" s="78"/>
      <c r="F59" s="78"/>
      <c r="G59" s="78"/>
      <c r="H59" s="78"/>
      <c r="I59" s="78"/>
      <c r="J59" s="78"/>
      <c r="K59" s="78"/>
      <c r="L59" s="78"/>
      <c r="M59" s="78"/>
      <c r="N59" s="78"/>
      <c r="O59" s="95"/>
      <c r="P59" s="95"/>
      <c r="Q59" s="95"/>
      <c r="R59" s="95"/>
      <c r="S59" s="61"/>
      <c r="T59" s="96"/>
      <c r="U59" s="61"/>
    </row>
    <row r="60" spans="1:21" ht="13.5" customHeight="1" x14ac:dyDescent="0.3">
      <c r="A60" s="77"/>
      <c r="B60" s="78"/>
      <c r="C60" s="78"/>
      <c r="D60" s="78"/>
      <c r="E60" s="78"/>
      <c r="F60" s="78"/>
      <c r="G60" s="78"/>
      <c r="H60" s="78"/>
      <c r="I60" s="78"/>
      <c r="J60" s="78"/>
      <c r="K60" s="78"/>
      <c r="L60" s="78"/>
      <c r="M60" s="78"/>
      <c r="N60" s="78"/>
      <c r="O60" s="95"/>
      <c r="P60" s="95"/>
      <c r="Q60" s="95"/>
      <c r="R60" s="95"/>
      <c r="S60" s="61"/>
      <c r="T60" s="96"/>
      <c r="U60" s="61"/>
    </row>
    <row r="61" spans="1:21" ht="13.5" customHeight="1" x14ac:dyDescent="0.3">
      <c r="A61" s="77"/>
      <c r="B61" s="78"/>
      <c r="C61" s="78"/>
      <c r="D61" s="78"/>
      <c r="E61" s="78"/>
      <c r="F61" s="78"/>
      <c r="G61" s="78"/>
      <c r="H61" s="78"/>
      <c r="I61" s="78"/>
      <c r="J61" s="78"/>
      <c r="K61" s="78"/>
      <c r="L61" s="78"/>
      <c r="M61" s="78"/>
      <c r="N61" s="78"/>
      <c r="O61" s="95"/>
      <c r="P61" s="95"/>
      <c r="Q61" s="95"/>
      <c r="R61" s="95"/>
      <c r="S61" s="61"/>
      <c r="T61" s="96"/>
      <c r="U61" s="61"/>
    </row>
    <row r="62" spans="1:21" ht="13.5" customHeight="1" x14ac:dyDescent="0.3">
      <c r="A62" s="77"/>
      <c r="B62" s="78"/>
      <c r="C62" s="78"/>
      <c r="D62" s="78"/>
      <c r="E62" s="78"/>
      <c r="F62" s="78"/>
      <c r="G62" s="78"/>
      <c r="H62" s="78"/>
      <c r="I62" s="78"/>
      <c r="J62" s="78"/>
      <c r="K62" s="78"/>
      <c r="L62" s="78"/>
      <c r="M62" s="78"/>
      <c r="N62" s="78"/>
      <c r="O62" s="95"/>
      <c r="P62" s="95"/>
      <c r="Q62" s="95"/>
      <c r="R62" s="95"/>
      <c r="S62" s="61"/>
      <c r="T62" s="96"/>
      <c r="U62" s="61"/>
    </row>
    <row r="63" spans="1:21" ht="13.5" customHeight="1" x14ac:dyDescent="0.3">
      <c r="A63" s="77"/>
      <c r="B63" s="78"/>
      <c r="C63" s="78"/>
      <c r="D63" s="78"/>
      <c r="E63" s="78"/>
      <c r="F63" s="78"/>
      <c r="G63" s="78"/>
      <c r="H63" s="78"/>
      <c r="I63" s="78"/>
      <c r="J63" s="78"/>
      <c r="K63" s="78"/>
      <c r="L63" s="78"/>
      <c r="M63" s="78"/>
      <c r="N63" s="78"/>
      <c r="O63" s="95"/>
      <c r="P63" s="95"/>
      <c r="Q63" s="95"/>
      <c r="R63" s="95"/>
      <c r="S63" s="61"/>
      <c r="T63" s="96"/>
      <c r="U63" s="61"/>
    </row>
    <row r="64" spans="1:21" ht="13.5" customHeight="1" x14ac:dyDescent="0.3">
      <c r="A64" s="77"/>
      <c r="B64" s="78"/>
      <c r="C64" s="78"/>
      <c r="D64" s="78"/>
      <c r="E64" s="78"/>
      <c r="F64" s="78"/>
      <c r="G64" s="78"/>
      <c r="H64" s="78"/>
      <c r="I64" s="78"/>
      <c r="J64" s="78"/>
      <c r="K64" s="78"/>
      <c r="L64" s="78"/>
      <c r="M64" s="78"/>
      <c r="N64" s="78"/>
      <c r="O64" s="95"/>
      <c r="P64" s="95"/>
      <c r="Q64" s="95"/>
      <c r="R64" s="95"/>
      <c r="S64" s="61"/>
      <c r="T64" s="96"/>
      <c r="U64" s="61"/>
    </row>
    <row r="65" spans="1:21" ht="13.5" customHeight="1" x14ac:dyDescent="0.3">
      <c r="A65" s="77"/>
      <c r="B65" s="78"/>
      <c r="C65" s="78"/>
      <c r="D65" s="78"/>
      <c r="E65" s="78"/>
      <c r="F65" s="78"/>
      <c r="G65" s="78"/>
      <c r="H65" s="78"/>
      <c r="I65" s="78"/>
      <c r="J65" s="78"/>
      <c r="K65" s="78"/>
      <c r="L65" s="78"/>
      <c r="M65" s="78"/>
      <c r="N65" s="78"/>
      <c r="O65" s="95"/>
      <c r="P65" s="95"/>
      <c r="Q65" s="95"/>
      <c r="R65" s="95"/>
      <c r="S65" s="61"/>
      <c r="T65" s="96"/>
      <c r="U65" s="61"/>
    </row>
    <row r="66" spans="1:21" ht="13.5" customHeight="1" x14ac:dyDescent="0.3">
      <c r="A66" s="77"/>
      <c r="B66" s="78"/>
      <c r="C66" s="78"/>
      <c r="D66" s="78"/>
      <c r="E66" s="78"/>
      <c r="F66" s="78"/>
      <c r="G66" s="78"/>
      <c r="H66" s="78"/>
      <c r="I66" s="78"/>
      <c r="J66" s="78"/>
      <c r="K66" s="78"/>
      <c r="L66" s="78"/>
      <c r="M66" s="78"/>
      <c r="N66" s="78"/>
      <c r="O66" s="95"/>
      <c r="P66" s="95"/>
      <c r="Q66" s="95"/>
      <c r="R66" s="95"/>
      <c r="S66" s="61"/>
      <c r="T66" s="96"/>
      <c r="U66" s="61"/>
    </row>
    <row r="67" spans="1:21" ht="13.5" customHeight="1" x14ac:dyDescent="0.3">
      <c r="A67" s="77"/>
      <c r="B67" s="78"/>
      <c r="C67" s="78"/>
      <c r="D67" s="78"/>
      <c r="E67" s="78"/>
      <c r="F67" s="78"/>
      <c r="G67" s="78"/>
      <c r="H67" s="78"/>
      <c r="I67" s="78"/>
      <c r="J67" s="78"/>
      <c r="K67" s="78"/>
      <c r="L67" s="78"/>
      <c r="M67" s="78"/>
      <c r="N67" s="78"/>
      <c r="O67" s="95"/>
      <c r="P67" s="95"/>
      <c r="Q67" s="95"/>
      <c r="R67" s="95"/>
      <c r="S67" s="61"/>
      <c r="T67" s="96"/>
      <c r="U67" s="61"/>
    </row>
    <row r="68" spans="1:21" ht="13.5" customHeight="1" x14ac:dyDescent="0.3">
      <c r="A68" s="77"/>
      <c r="B68" s="78"/>
      <c r="C68" s="78"/>
      <c r="D68" s="78"/>
      <c r="E68" s="78"/>
      <c r="F68" s="78"/>
      <c r="G68" s="78"/>
      <c r="H68" s="78"/>
      <c r="I68" s="78"/>
      <c r="J68" s="78"/>
      <c r="K68" s="78"/>
      <c r="L68" s="78"/>
      <c r="M68" s="78"/>
      <c r="N68" s="78"/>
      <c r="O68" s="95"/>
      <c r="P68" s="95"/>
      <c r="Q68" s="95"/>
      <c r="R68" s="95"/>
      <c r="S68" s="61"/>
      <c r="T68" s="96"/>
      <c r="U68" s="61"/>
    </row>
    <row r="69" spans="1:21" ht="13.5" customHeight="1" x14ac:dyDescent="0.3">
      <c r="A69" s="77"/>
      <c r="B69" s="78"/>
      <c r="C69" s="78"/>
      <c r="D69" s="78"/>
      <c r="E69" s="78"/>
      <c r="F69" s="78"/>
      <c r="G69" s="78"/>
      <c r="H69" s="78"/>
      <c r="I69" s="78"/>
      <c r="J69" s="78"/>
      <c r="K69" s="78"/>
      <c r="L69" s="78"/>
      <c r="M69" s="78"/>
      <c r="N69" s="78"/>
      <c r="O69" s="95"/>
      <c r="P69" s="95"/>
      <c r="Q69" s="95"/>
      <c r="R69" s="95"/>
      <c r="S69" s="61"/>
      <c r="T69" s="96"/>
      <c r="U69" s="61"/>
    </row>
    <row r="70" spans="1:21" ht="13.5" customHeight="1" x14ac:dyDescent="0.3">
      <c r="A70" s="77"/>
      <c r="B70" s="78"/>
      <c r="C70" s="78"/>
      <c r="D70" s="78"/>
      <c r="E70" s="78"/>
      <c r="F70" s="78"/>
      <c r="G70" s="78"/>
      <c r="H70" s="78"/>
      <c r="I70" s="78"/>
      <c r="J70" s="78"/>
      <c r="K70" s="78"/>
      <c r="L70" s="78"/>
      <c r="M70" s="78"/>
      <c r="N70" s="78"/>
      <c r="O70" s="95"/>
      <c r="P70" s="95"/>
      <c r="Q70" s="95"/>
      <c r="R70" s="95"/>
      <c r="S70" s="61"/>
      <c r="T70" s="96"/>
      <c r="U70" s="61"/>
    </row>
    <row r="71" spans="1:21" ht="13.5" customHeight="1" x14ac:dyDescent="0.3">
      <c r="A71" s="77"/>
      <c r="B71" s="78"/>
      <c r="C71" s="78"/>
      <c r="D71" s="78"/>
      <c r="E71" s="78"/>
      <c r="F71" s="78"/>
      <c r="G71" s="78"/>
      <c r="H71" s="78"/>
      <c r="I71" s="78"/>
      <c r="J71" s="78"/>
      <c r="K71" s="78"/>
      <c r="L71" s="78"/>
      <c r="M71" s="78"/>
      <c r="N71" s="78"/>
      <c r="O71" s="95"/>
      <c r="P71" s="95"/>
      <c r="Q71" s="95"/>
      <c r="R71" s="95"/>
      <c r="S71" s="61"/>
      <c r="T71" s="96"/>
      <c r="U71" s="61"/>
    </row>
    <row r="72" spans="1:21" ht="13.5" customHeight="1" x14ac:dyDescent="0.3">
      <c r="A72" s="77"/>
      <c r="B72" s="78"/>
      <c r="C72" s="78"/>
      <c r="D72" s="78"/>
      <c r="E72" s="78"/>
      <c r="F72" s="78"/>
      <c r="G72" s="78"/>
      <c r="H72" s="78"/>
      <c r="I72" s="78"/>
      <c r="J72" s="78"/>
      <c r="K72" s="78"/>
      <c r="L72" s="78"/>
      <c r="M72" s="78"/>
      <c r="N72" s="78"/>
      <c r="O72" s="95"/>
      <c r="P72" s="95"/>
      <c r="Q72" s="95"/>
      <c r="R72" s="95"/>
      <c r="S72" s="61"/>
      <c r="T72" s="96"/>
      <c r="U72" s="61"/>
    </row>
    <row r="73" spans="1:21" ht="13.5" customHeight="1" x14ac:dyDescent="0.3">
      <c r="A73" s="77"/>
      <c r="B73" s="78"/>
      <c r="C73" s="78"/>
      <c r="D73" s="78"/>
      <c r="E73" s="78"/>
      <c r="F73" s="78"/>
      <c r="G73" s="78"/>
      <c r="H73" s="78"/>
      <c r="I73" s="78"/>
      <c r="J73" s="78"/>
      <c r="K73" s="78"/>
      <c r="L73" s="78"/>
      <c r="M73" s="78"/>
      <c r="N73" s="78"/>
      <c r="O73" s="95"/>
      <c r="P73" s="95"/>
      <c r="Q73" s="95"/>
      <c r="R73" s="95"/>
      <c r="S73" s="61"/>
      <c r="T73" s="96"/>
      <c r="U73" s="61"/>
    </row>
    <row r="74" spans="1:21" ht="13.5" customHeight="1" x14ac:dyDescent="0.3">
      <c r="A74" s="77"/>
      <c r="B74" s="78"/>
      <c r="C74" s="78"/>
      <c r="D74" s="78"/>
      <c r="E74" s="78"/>
      <c r="F74" s="78"/>
      <c r="G74" s="78"/>
      <c r="H74" s="78"/>
      <c r="I74" s="78"/>
      <c r="J74" s="78"/>
      <c r="K74" s="78"/>
      <c r="L74" s="78"/>
      <c r="M74" s="78"/>
      <c r="N74" s="78"/>
      <c r="O74" s="95"/>
      <c r="P74" s="95"/>
      <c r="Q74" s="95"/>
      <c r="R74" s="95"/>
      <c r="S74" s="61"/>
      <c r="T74" s="96"/>
      <c r="U74" s="61"/>
    </row>
    <row r="75" spans="1:21" ht="13.5" customHeight="1" x14ac:dyDescent="0.3">
      <c r="A75" s="77"/>
      <c r="B75" s="78"/>
      <c r="C75" s="78"/>
      <c r="D75" s="78"/>
      <c r="E75" s="78"/>
      <c r="F75" s="78"/>
      <c r="G75" s="78"/>
      <c r="H75" s="78"/>
      <c r="I75" s="78"/>
      <c r="J75" s="78"/>
      <c r="K75" s="78"/>
      <c r="L75" s="78"/>
      <c r="M75" s="78"/>
      <c r="N75" s="78"/>
      <c r="O75" s="95"/>
      <c r="P75" s="95"/>
      <c r="Q75" s="95"/>
      <c r="R75" s="95"/>
      <c r="S75" s="61"/>
      <c r="T75" s="96"/>
      <c r="U75" s="61"/>
    </row>
    <row r="76" spans="1:21" ht="13.5" customHeight="1" x14ac:dyDescent="0.3">
      <c r="A76" s="77"/>
      <c r="B76" s="78"/>
      <c r="C76" s="78"/>
      <c r="D76" s="78"/>
      <c r="E76" s="78"/>
      <c r="F76" s="78"/>
      <c r="G76" s="78"/>
      <c r="H76" s="78"/>
      <c r="I76" s="78"/>
      <c r="J76" s="78"/>
      <c r="K76" s="78"/>
      <c r="L76" s="78"/>
      <c r="M76" s="78"/>
      <c r="N76" s="78"/>
      <c r="O76" s="95"/>
      <c r="P76" s="95"/>
      <c r="Q76" s="95"/>
      <c r="R76" s="95"/>
      <c r="S76" s="61"/>
      <c r="T76" s="96"/>
      <c r="U76" s="61"/>
    </row>
    <row r="77" spans="1:21" ht="13.5" customHeight="1" x14ac:dyDescent="0.3">
      <c r="A77" s="77"/>
      <c r="B77" s="78"/>
      <c r="C77" s="78"/>
      <c r="D77" s="78"/>
      <c r="E77" s="78"/>
      <c r="F77" s="78"/>
      <c r="G77" s="78"/>
      <c r="H77" s="78"/>
      <c r="I77" s="78"/>
      <c r="J77" s="78"/>
      <c r="K77" s="78"/>
      <c r="L77" s="78"/>
      <c r="M77" s="78"/>
      <c r="N77" s="78"/>
      <c r="O77" s="95"/>
      <c r="P77" s="95"/>
      <c r="Q77" s="95"/>
      <c r="R77" s="95"/>
      <c r="S77" s="61"/>
      <c r="T77" s="96"/>
      <c r="U77" s="61"/>
    </row>
    <row r="78" spans="1:21" ht="13.5" customHeight="1" x14ac:dyDescent="0.3">
      <c r="A78" s="77"/>
      <c r="B78" s="78"/>
      <c r="C78" s="78"/>
      <c r="D78" s="78"/>
      <c r="E78" s="78"/>
      <c r="F78" s="78"/>
      <c r="G78" s="78"/>
      <c r="H78" s="78"/>
      <c r="I78" s="78"/>
      <c r="J78" s="78"/>
      <c r="K78" s="78"/>
      <c r="L78" s="78"/>
      <c r="M78" s="78"/>
      <c r="N78" s="78"/>
      <c r="O78" s="95"/>
      <c r="P78" s="95"/>
      <c r="Q78" s="95"/>
      <c r="R78" s="95"/>
      <c r="S78" s="61"/>
      <c r="T78" s="96"/>
      <c r="U78" s="61"/>
    </row>
    <row r="79" spans="1:21" ht="13.5" customHeight="1" x14ac:dyDescent="0.3">
      <c r="A79" s="77"/>
      <c r="B79" s="78"/>
      <c r="C79" s="78"/>
      <c r="D79" s="78"/>
      <c r="E79" s="78"/>
      <c r="F79" s="78"/>
      <c r="G79" s="78"/>
      <c r="H79" s="78"/>
      <c r="I79" s="78"/>
      <c r="J79" s="78"/>
      <c r="K79" s="78"/>
      <c r="L79" s="78"/>
      <c r="M79" s="78"/>
      <c r="N79" s="78"/>
      <c r="O79" s="95"/>
      <c r="P79" s="95"/>
      <c r="Q79" s="95"/>
      <c r="R79" s="95"/>
      <c r="S79" s="61"/>
      <c r="T79" s="96"/>
      <c r="U79" s="61"/>
    </row>
    <row r="80" spans="1:21" ht="13.5" customHeight="1" x14ac:dyDescent="0.3">
      <c r="A80" s="77"/>
      <c r="B80" s="78"/>
      <c r="C80" s="78"/>
      <c r="D80" s="78"/>
      <c r="E80" s="78"/>
      <c r="F80" s="78"/>
      <c r="G80" s="78"/>
      <c r="H80" s="78"/>
      <c r="I80" s="78"/>
      <c r="J80" s="78"/>
      <c r="K80" s="78"/>
      <c r="L80" s="78"/>
      <c r="M80" s="78"/>
      <c r="N80" s="78"/>
      <c r="O80" s="95"/>
      <c r="P80" s="95"/>
      <c r="Q80" s="95"/>
      <c r="R80" s="95"/>
      <c r="S80" s="61"/>
      <c r="T80" s="96"/>
      <c r="U80" s="61"/>
    </row>
    <row r="81" spans="1:22" ht="13.5" customHeight="1" x14ac:dyDescent="0.3">
      <c r="A81" s="77"/>
      <c r="B81" s="78"/>
      <c r="C81" s="78"/>
      <c r="D81" s="78"/>
      <c r="E81" s="78"/>
      <c r="F81" s="78"/>
      <c r="G81" s="78"/>
      <c r="H81" s="78"/>
      <c r="I81" s="78"/>
      <c r="J81" s="78"/>
      <c r="K81" s="78"/>
      <c r="L81" s="78"/>
      <c r="M81" s="78"/>
      <c r="N81" s="78"/>
      <c r="O81" s="95"/>
      <c r="P81" s="95"/>
      <c r="Q81" s="95"/>
      <c r="R81" s="95"/>
      <c r="S81" s="61"/>
      <c r="T81" s="96"/>
      <c r="U81" s="61"/>
    </row>
    <row r="82" spans="1:22" ht="13.5" customHeight="1" x14ac:dyDescent="0.3">
      <c r="A82" s="77"/>
      <c r="B82" s="78"/>
      <c r="C82" s="78"/>
      <c r="D82" s="78"/>
      <c r="E82" s="78"/>
      <c r="F82" s="78"/>
      <c r="G82" s="78"/>
      <c r="H82" s="78"/>
      <c r="I82" s="78"/>
      <c r="J82" s="78"/>
      <c r="K82" s="78"/>
      <c r="L82" s="78"/>
      <c r="M82" s="78"/>
      <c r="N82" s="78"/>
      <c r="O82" s="95"/>
      <c r="P82" s="95"/>
      <c r="Q82" s="95"/>
      <c r="R82" s="95"/>
      <c r="S82" s="61"/>
      <c r="T82" s="96"/>
      <c r="U82" s="61"/>
    </row>
    <row r="83" spans="1:22" ht="13.5" customHeight="1" x14ac:dyDescent="0.3">
      <c r="A83" s="77"/>
      <c r="B83" s="78"/>
      <c r="C83" s="78"/>
      <c r="D83" s="78"/>
      <c r="E83" s="78"/>
      <c r="F83" s="78"/>
      <c r="G83" s="78"/>
      <c r="H83" s="78"/>
      <c r="I83" s="78"/>
      <c r="J83" s="78"/>
      <c r="K83" s="78"/>
      <c r="L83" s="78"/>
      <c r="M83" s="78"/>
      <c r="N83" s="78"/>
      <c r="O83" s="95"/>
      <c r="P83" s="95"/>
      <c r="Q83" s="95"/>
      <c r="R83" s="95"/>
      <c r="S83" s="61"/>
      <c r="T83" s="96"/>
      <c r="U83" s="61"/>
    </row>
    <row r="84" spans="1:22" ht="13.5" customHeight="1" x14ac:dyDescent="0.3">
      <c r="A84" s="77"/>
      <c r="B84" s="78"/>
      <c r="C84" s="78"/>
      <c r="D84" s="78"/>
      <c r="E84" s="78"/>
      <c r="F84" s="78"/>
      <c r="G84" s="78"/>
      <c r="H84" s="78"/>
      <c r="I84" s="78"/>
      <c r="J84" s="78"/>
      <c r="K84" s="78"/>
      <c r="L84" s="78"/>
      <c r="M84" s="78"/>
      <c r="N84" s="78"/>
      <c r="O84" s="95"/>
      <c r="P84" s="95"/>
      <c r="Q84" s="95"/>
      <c r="R84" s="95"/>
      <c r="S84" s="61"/>
      <c r="T84" s="96"/>
      <c r="U84" s="61"/>
    </row>
    <row r="85" spans="1:22" ht="13.5" customHeight="1" x14ac:dyDescent="0.3">
      <c r="A85" s="77"/>
      <c r="B85" s="78"/>
      <c r="C85" s="78"/>
      <c r="D85" s="78"/>
      <c r="E85" s="78"/>
      <c r="F85" s="78"/>
      <c r="G85" s="78"/>
      <c r="H85" s="78"/>
      <c r="I85" s="78"/>
      <c r="J85" s="78"/>
      <c r="K85" s="78"/>
      <c r="L85" s="78"/>
      <c r="M85" s="78"/>
      <c r="N85" s="78"/>
      <c r="O85" s="95"/>
      <c r="P85" s="95"/>
      <c r="Q85" s="95"/>
      <c r="R85" s="95"/>
      <c r="S85" s="61"/>
      <c r="T85" s="96"/>
      <c r="U85" s="61"/>
    </row>
    <row r="86" spans="1:22" ht="6.75" customHeight="1" x14ac:dyDescent="0.3">
      <c r="A86" s="50"/>
      <c r="B86" s="50"/>
      <c r="C86" s="50"/>
      <c r="D86" s="50"/>
      <c r="E86" s="50"/>
      <c r="F86" s="50"/>
      <c r="G86" s="50"/>
      <c r="H86" s="50"/>
      <c r="I86" s="50"/>
      <c r="J86" s="50"/>
      <c r="K86" s="50"/>
      <c r="L86" s="50"/>
      <c r="M86" s="50"/>
      <c r="N86" s="50"/>
      <c r="O86" s="50"/>
      <c r="P86" s="50"/>
      <c r="Q86" s="50"/>
      <c r="R86" s="50"/>
      <c r="S86" s="50"/>
      <c r="T86" s="50"/>
      <c r="U86" s="50"/>
    </row>
    <row r="87" spans="1:22" x14ac:dyDescent="0.3">
      <c r="A87" s="64"/>
      <c r="B87" s="65" t="s">
        <v>857</v>
      </c>
      <c r="C87" s="66"/>
      <c r="D87" s="66"/>
      <c r="E87" s="66"/>
      <c r="F87" s="66"/>
      <c r="G87" s="66"/>
      <c r="H87" s="66"/>
      <c r="I87" s="66"/>
      <c r="J87" s="66"/>
      <c r="K87" s="66"/>
      <c r="L87" s="66"/>
      <c r="M87" s="66"/>
      <c r="N87" s="66"/>
      <c r="O87" s="66"/>
      <c r="P87" s="66"/>
      <c r="Q87" s="66"/>
      <c r="R87" s="66"/>
      <c r="S87" s="66"/>
      <c r="T87" s="66"/>
      <c r="U87" s="67"/>
    </row>
    <row r="88" spans="1:22" ht="6.75" customHeight="1" x14ac:dyDescent="0.3">
      <c r="A88" s="68"/>
      <c r="B88" s="63"/>
      <c r="C88" s="63"/>
      <c r="D88" s="63"/>
      <c r="E88" s="63"/>
      <c r="F88" s="63"/>
      <c r="G88" s="63"/>
      <c r="H88" s="63"/>
      <c r="I88" s="63"/>
      <c r="J88" s="63"/>
      <c r="K88" s="63"/>
      <c r="L88" s="63"/>
      <c r="M88" s="63"/>
      <c r="N88" s="63"/>
      <c r="O88" s="63"/>
      <c r="P88" s="63"/>
      <c r="Q88" s="63"/>
      <c r="R88" s="63"/>
      <c r="S88" s="63"/>
      <c r="T88" s="63"/>
      <c r="U88" s="69"/>
    </row>
    <row r="89" spans="1:22" x14ac:dyDescent="0.3">
      <c r="A89" s="68"/>
      <c r="B89" s="63"/>
      <c r="C89" s="70" t="s">
        <v>858</v>
      </c>
      <c r="D89" s="63"/>
      <c r="E89" s="63"/>
      <c r="F89" s="63"/>
      <c r="G89" s="63"/>
      <c r="H89" s="63"/>
      <c r="I89" s="63"/>
      <c r="J89" s="63"/>
      <c r="K89" s="70" t="s">
        <v>859</v>
      </c>
      <c r="L89" s="63"/>
      <c r="M89" s="63"/>
      <c r="N89" s="63"/>
      <c r="O89" s="63"/>
      <c r="P89" s="63"/>
      <c r="Q89" s="63"/>
      <c r="R89" s="70" t="s">
        <v>860</v>
      </c>
      <c r="S89" s="70"/>
      <c r="T89" s="70"/>
      <c r="U89" s="69"/>
    </row>
    <row r="90" spans="1:22" x14ac:dyDescent="0.3">
      <c r="A90" s="338"/>
      <c r="B90" s="339"/>
      <c r="C90" s="340" t="s">
        <v>861</v>
      </c>
      <c r="D90" s="340"/>
      <c r="E90" s="1248"/>
      <c r="F90" s="1248"/>
      <c r="G90" s="1248"/>
      <c r="H90" s="340"/>
      <c r="I90" s="340"/>
      <c r="J90" s="339"/>
      <c r="K90" s="340" t="s">
        <v>862</v>
      </c>
      <c r="L90" s="340"/>
      <c r="M90" s="1248"/>
      <c r="N90" s="1248"/>
      <c r="O90" s="1248"/>
      <c r="P90" s="340"/>
      <c r="Q90" s="339"/>
      <c r="R90" s="340" t="s">
        <v>863</v>
      </c>
      <c r="S90" s="1248"/>
      <c r="T90" s="1248"/>
      <c r="U90" s="69"/>
    </row>
    <row r="91" spans="1:22" x14ac:dyDescent="0.3">
      <c r="A91" s="338"/>
      <c r="B91" s="339"/>
      <c r="C91" s="340" t="s">
        <v>864</v>
      </c>
      <c r="D91" s="340"/>
      <c r="E91" s="1248"/>
      <c r="F91" s="1248"/>
      <c r="G91" s="1248"/>
      <c r="H91" s="340"/>
      <c r="I91" s="340"/>
      <c r="J91" s="339"/>
      <c r="K91" s="340" t="s">
        <v>865</v>
      </c>
      <c r="L91" s="340"/>
      <c r="M91" s="1249"/>
      <c r="N91" s="1249"/>
      <c r="O91" s="1249"/>
      <c r="P91" s="340"/>
      <c r="Q91" s="339"/>
      <c r="R91" s="340" t="s">
        <v>866</v>
      </c>
      <c r="S91" s="1249"/>
      <c r="T91" s="1249"/>
      <c r="U91" s="69"/>
    </row>
    <row r="92" spans="1:22" x14ac:dyDescent="0.3">
      <c r="A92" s="338"/>
      <c r="B92" s="340"/>
      <c r="C92" s="340"/>
      <c r="D92" s="340"/>
      <c r="E92" s="340"/>
      <c r="F92" s="340"/>
      <c r="G92" s="340"/>
      <c r="H92" s="340"/>
      <c r="I92" s="340"/>
      <c r="J92" s="340"/>
      <c r="K92" s="340"/>
      <c r="L92" s="340"/>
      <c r="M92" s="340"/>
      <c r="N92" s="340"/>
      <c r="O92" s="340"/>
      <c r="P92" s="340"/>
      <c r="Q92" s="339"/>
      <c r="R92" s="340" t="s">
        <v>867</v>
      </c>
      <c r="S92" s="1249"/>
      <c r="T92" s="1249"/>
      <c r="U92" s="69"/>
    </row>
    <row r="93" spans="1:22" ht="6" customHeight="1" x14ac:dyDescent="0.3">
      <c r="A93" s="71"/>
      <c r="B93" s="72"/>
      <c r="C93" s="72"/>
      <c r="D93" s="72"/>
      <c r="E93" s="72"/>
      <c r="F93" s="72"/>
      <c r="G93" s="72"/>
      <c r="H93" s="72"/>
      <c r="I93" s="72"/>
      <c r="J93" s="72"/>
      <c r="K93" s="72"/>
      <c r="L93" s="72"/>
      <c r="M93" s="72"/>
      <c r="N93" s="72"/>
      <c r="O93" s="72"/>
      <c r="P93" s="72"/>
      <c r="Q93" s="72"/>
      <c r="R93" s="72"/>
      <c r="S93" s="72"/>
      <c r="T93" s="72"/>
      <c r="U93" s="73"/>
    </row>
    <row r="95" spans="1:22" x14ac:dyDescent="0.3">
      <c r="A95" s="1183" t="s">
        <v>821</v>
      </c>
      <c r="B95" s="1184"/>
      <c r="C95" s="1184"/>
      <c r="D95" s="1184"/>
      <c r="E95" s="1184"/>
      <c r="F95" s="1184"/>
      <c r="G95" s="1184"/>
      <c r="H95" s="1184"/>
      <c r="I95" s="1184"/>
      <c r="J95" s="1184"/>
      <c r="K95" s="1184"/>
      <c r="L95" s="1184"/>
      <c r="M95" s="1184"/>
      <c r="N95" s="1184"/>
      <c r="O95" s="1184"/>
      <c r="P95" s="1184"/>
      <c r="Q95" s="1184"/>
      <c r="R95" s="1184"/>
      <c r="S95" s="1184"/>
      <c r="T95" s="1184"/>
      <c r="U95" s="1185"/>
    </row>
    <row r="96" spans="1:22" x14ac:dyDescent="0.3">
      <c r="A96" s="1186" t="s">
        <v>822</v>
      </c>
      <c r="B96" s="1186"/>
      <c r="C96" s="1186"/>
      <c r="D96" s="1186"/>
      <c r="E96" s="1186"/>
      <c r="F96" s="1186"/>
      <c r="G96" s="1186"/>
      <c r="H96" s="1186"/>
      <c r="I96" s="1186" t="s">
        <v>823</v>
      </c>
      <c r="J96" s="1186"/>
      <c r="K96" s="1186"/>
      <c r="L96" s="1186"/>
      <c r="M96" s="1186"/>
      <c r="N96" s="1186"/>
      <c r="O96" s="1186"/>
      <c r="P96" s="1187" t="s">
        <v>824</v>
      </c>
      <c r="Q96" s="1187"/>
      <c r="R96" s="1187"/>
      <c r="S96" s="1187"/>
      <c r="T96" s="1187"/>
      <c r="U96" s="1187"/>
      <c r="V96" s="56"/>
    </row>
    <row r="97" spans="1:22" x14ac:dyDescent="0.3">
      <c r="A97" s="1182" t="s">
        <v>825</v>
      </c>
      <c r="B97" s="1182"/>
      <c r="C97" s="1182"/>
      <c r="D97" s="1182"/>
      <c r="E97" s="1182"/>
      <c r="F97" s="1182"/>
      <c r="G97" s="1182"/>
      <c r="H97" s="1182"/>
      <c r="I97" s="1244">
        <f>'LOI_STEP UP'!I55:O55</f>
        <v>0</v>
      </c>
      <c r="J97" s="1244"/>
      <c r="K97" s="1244"/>
      <c r="L97" s="1244"/>
      <c r="M97" s="1244"/>
      <c r="N97" s="1244"/>
      <c r="O97" s="1244"/>
      <c r="P97" s="1244">
        <f>'LOI_STEP UP'!P55:U55</f>
        <v>0</v>
      </c>
      <c r="Q97" s="1244"/>
      <c r="R97" s="1244"/>
      <c r="S97" s="1244"/>
      <c r="T97" s="1244"/>
      <c r="U97" s="1244"/>
      <c r="V97" s="56"/>
    </row>
    <row r="98" spans="1:22" x14ac:dyDescent="0.3">
      <c r="A98" s="1182" t="s">
        <v>826</v>
      </c>
      <c r="B98" s="1182"/>
      <c r="C98" s="1182"/>
      <c r="D98" s="1182"/>
      <c r="E98" s="1182"/>
      <c r="F98" s="1182"/>
      <c r="G98" s="1182"/>
      <c r="H98" s="1182"/>
      <c r="I98" s="1244">
        <f>'LOI_STEP UP'!I56:O56</f>
        <v>0</v>
      </c>
      <c r="J98" s="1244"/>
      <c r="K98" s="1244"/>
      <c r="L98" s="1244"/>
      <c r="M98" s="1244"/>
      <c r="N98" s="1244"/>
      <c r="O98" s="1244"/>
      <c r="P98" s="1244">
        <f>'LOI_STEP UP'!P56:U56</f>
        <v>0</v>
      </c>
      <c r="Q98" s="1244"/>
      <c r="R98" s="1244"/>
      <c r="S98" s="1244"/>
      <c r="T98" s="1244"/>
      <c r="U98" s="1244"/>
      <c r="V98" s="56"/>
    </row>
    <row r="99" spans="1:22" x14ac:dyDescent="0.3">
      <c r="A99" s="1182" t="s">
        <v>827</v>
      </c>
      <c r="B99" s="1182"/>
      <c r="C99" s="1182"/>
      <c r="D99" s="1182"/>
      <c r="E99" s="1182"/>
      <c r="F99" s="1182"/>
      <c r="G99" s="1182"/>
      <c r="H99" s="1182"/>
      <c r="I99" s="1244">
        <f>'LOI_STEP UP'!I57:O57</f>
        <v>0</v>
      </c>
      <c r="J99" s="1244"/>
      <c r="K99" s="1244"/>
      <c r="L99" s="1244"/>
      <c r="M99" s="1244"/>
      <c r="N99" s="1244"/>
      <c r="O99" s="1244"/>
      <c r="P99" s="1244">
        <f>'LOI_STEP UP'!P57:U57</f>
        <v>0</v>
      </c>
      <c r="Q99" s="1244"/>
      <c r="R99" s="1244"/>
      <c r="S99" s="1244"/>
      <c r="T99" s="1244"/>
      <c r="U99" s="1244"/>
      <c r="V99" s="56"/>
    </row>
    <row r="100" spans="1:22" x14ac:dyDescent="0.3">
      <c r="A100" s="1182" t="s">
        <v>828</v>
      </c>
      <c r="B100" s="1182"/>
      <c r="C100" s="1182"/>
      <c r="D100" s="1182"/>
      <c r="E100" s="1182"/>
      <c r="F100" s="1182"/>
      <c r="G100" s="1182"/>
      <c r="H100" s="1182"/>
      <c r="I100" s="1244">
        <f>'LOI_STEP UP'!I58:O58</f>
        <v>0</v>
      </c>
      <c r="J100" s="1244"/>
      <c r="K100" s="1244"/>
      <c r="L100" s="1244"/>
      <c r="M100" s="1244"/>
      <c r="N100" s="1244"/>
      <c r="O100" s="1244"/>
      <c r="P100" s="1244">
        <f>'LOI_STEP UP'!P58:U58</f>
        <v>0</v>
      </c>
      <c r="Q100" s="1244"/>
      <c r="R100" s="1244"/>
      <c r="S100" s="1244"/>
      <c r="T100" s="1244"/>
      <c r="U100" s="1244"/>
    </row>
    <row r="103" spans="1:22" x14ac:dyDescent="0.3">
      <c r="A103" s="1251" t="s">
        <v>868</v>
      </c>
      <c r="B103" s="1251"/>
      <c r="C103" s="1251"/>
      <c r="D103" s="1251"/>
      <c r="E103" s="1251"/>
      <c r="F103" s="1251"/>
      <c r="G103" s="1251"/>
      <c r="H103" s="1251"/>
      <c r="I103" s="1251"/>
      <c r="J103" s="1251"/>
      <c r="K103" s="1251"/>
      <c r="L103" s="1251"/>
      <c r="M103" s="1251"/>
      <c r="N103" s="1251"/>
      <c r="O103" s="1251"/>
      <c r="P103" s="1251"/>
      <c r="Q103" s="1251"/>
      <c r="R103" s="1251"/>
      <c r="S103" s="1251"/>
      <c r="T103" s="1251"/>
      <c r="U103" s="1251"/>
    </row>
    <row r="104" spans="1:22" x14ac:dyDescent="0.3">
      <c r="A104" s="629"/>
      <c r="B104" s="629"/>
      <c r="C104" s="629"/>
      <c r="D104" s="629"/>
      <c r="E104" s="629"/>
      <c r="F104" s="629"/>
      <c r="G104" s="629"/>
      <c r="H104" s="629"/>
      <c r="I104" s="629"/>
      <c r="J104" s="629"/>
      <c r="K104" s="629"/>
      <c r="L104" s="629"/>
      <c r="M104" s="629"/>
      <c r="N104" s="629"/>
      <c r="O104" s="629"/>
      <c r="P104" s="629"/>
      <c r="Q104" s="629"/>
      <c r="R104" s="629"/>
      <c r="S104" s="629"/>
      <c r="T104" s="629"/>
      <c r="U104" s="629"/>
    </row>
    <row r="105" spans="1:22" x14ac:dyDescent="0.3">
      <c r="A105" s="1246"/>
      <c r="B105" s="1246"/>
      <c r="C105" s="1246"/>
      <c r="D105" s="1246"/>
      <c r="E105" s="1246"/>
      <c r="F105" s="1246"/>
      <c r="G105" s="1246"/>
      <c r="H105" s="1246"/>
      <c r="I105" s="1246"/>
      <c r="J105" s="1246"/>
      <c r="K105" s="1246"/>
      <c r="L105" s="1246"/>
      <c r="M105" s="1246"/>
      <c r="N105" s="1246"/>
      <c r="O105" s="1246"/>
      <c r="P105" s="1246"/>
      <c r="Q105" s="1246"/>
      <c r="R105" s="1246"/>
      <c r="S105" s="1246"/>
      <c r="T105" s="1246"/>
      <c r="U105" s="1246"/>
    </row>
    <row r="115" spans="1:21" x14ac:dyDescent="0.3">
      <c r="I115" s="1234">
        <f>D3</f>
        <v>0</v>
      </c>
      <c r="J115" s="1234"/>
      <c r="K115" s="1234"/>
      <c r="L115" s="1234"/>
      <c r="M115" s="1234"/>
      <c r="N115" s="1234"/>
      <c r="O115" s="1234"/>
      <c r="P115" s="1234"/>
      <c r="Q115" s="1234"/>
    </row>
    <row r="116" spans="1:21" ht="25.5" customHeight="1" x14ac:dyDescent="0.3">
      <c r="A116" s="1245" t="s">
        <v>869</v>
      </c>
      <c r="B116" s="1245"/>
      <c r="C116" s="1245"/>
      <c r="D116" s="1245"/>
      <c r="E116" s="1245"/>
      <c r="F116" s="1245"/>
      <c r="G116" s="1245"/>
      <c r="H116" s="1245"/>
      <c r="I116" s="1245"/>
      <c r="J116" s="1245"/>
      <c r="K116" s="1245"/>
      <c r="L116" s="1245"/>
      <c r="M116" s="1245"/>
      <c r="N116" s="1245"/>
      <c r="O116" s="1245"/>
      <c r="P116" s="1245"/>
      <c r="Q116" s="1245"/>
      <c r="R116" s="1245"/>
      <c r="S116" s="1245"/>
      <c r="T116" s="1245"/>
      <c r="U116" s="1245"/>
    </row>
    <row r="117" spans="1:21" x14ac:dyDescent="0.3">
      <c r="A117" s="21"/>
      <c r="B117" s="21"/>
      <c r="C117" s="21"/>
      <c r="D117" s="21"/>
      <c r="E117" s="21"/>
      <c r="F117" s="21"/>
      <c r="G117" s="21"/>
      <c r="H117" s="21"/>
      <c r="I117" s="21"/>
      <c r="J117" s="21"/>
      <c r="K117" s="21"/>
      <c r="L117" s="21"/>
      <c r="M117" s="21"/>
      <c r="N117" s="21"/>
      <c r="O117" s="21"/>
      <c r="P117" s="21"/>
      <c r="Q117" s="21"/>
      <c r="R117" s="21"/>
      <c r="S117" s="21"/>
      <c r="T117" s="21"/>
      <c r="U117" s="21"/>
    </row>
    <row r="118" spans="1:21" x14ac:dyDescent="0.3">
      <c r="A118" s="21"/>
      <c r="B118" s="21"/>
      <c r="C118" s="21"/>
      <c r="D118" s="21"/>
      <c r="E118" s="21"/>
      <c r="F118" s="21"/>
      <c r="G118" s="21"/>
      <c r="H118" s="21"/>
      <c r="I118" s="21"/>
      <c r="J118" s="21"/>
      <c r="K118" s="21"/>
      <c r="L118" s="21"/>
      <c r="M118" s="21"/>
      <c r="N118" s="21"/>
      <c r="O118" s="21"/>
      <c r="P118" s="21"/>
      <c r="Q118" s="21"/>
      <c r="R118" s="21"/>
      <c r="S118" s="21"/>
      <c r="T118" s="21"/>
      <c r="U118" s="21"/>
    </row>
    <row r="119" spans="1:21" x14ac:dyDescent="0.3">
      <c r="A119" s="1239" t="s">
        <v>870</v>
      </c>
      <c r="B119" s="1239"/>
      <c r="C119" s="1239"/>
      <c r="D119" s="1239"/>
      <c r="E119" s="1239"/>
      <c r="F119" s="1239"/>
      <c r="G119" s="1239"/>
      <c r="H119" s="1239"/>
      <c r="I119" s="1239"/>
      <c r="J119" s="1239"/>
      <c r="K119" s="1239"/>
      <c r="L119" s="1239"/>
      <c r="M119" s="1239"/>
      <c r="N119" s="1239"/>
      <c r="O119" s="1239"/>
      <c r="P119" s="1239"/>
      <c r="Q119" s="1239"/>
      <c r="R119" s="1239"/>
      <c r="S119" s="1239"/>
      <c r="T119" s="1239"/>
      <c r="U119" s="1239"/>
    </row>
    <row r="120" spans="1:21" ht="21.75" customHeight="1" x14ac:dyDescent="0.3">
      <c r="A120" s="1238" t="str">
        <f>H8</f>
        <v>WEE COMMUNITY DEVELOPERS, INC.</v>
      </c>
      <c r="B120" s="1238"/>
      <c r="C120" s="1238"/>
      <c r="D120" s="1238"/>
      <c r="E120" s="1238"/>
      <c r="F120" s="1238"/>
      <c r="G120" s="1238"/>
      <c r="H120" s="1238"/>
      <c r="I120" s="1238"/>
      <c r="J120" s="1238"/>
      <c r="K120" s="1238"/>
      <c r="L120" s="1238"/>
      <c r="M120" s="1238"/>
      <c r="N120" s="1238"/>
      <c r="O120" s="1238"/>
      <c r="P120" s="1238"/>
      <c r="Q120" s="1238"/>
      <c r="R120" s="1238"/>
      <c r="S120" s="1238"/>
      <c r="T120" s="1238"/>
      <c r="U120" s="1238"/>
    </row>
    <row r="121" spans="1:21" x14ac:dyDescent="0.3">
      <c r="A121" s="21"/>
      <c r="B121" s="21"/>
      <c r="C121" s="21"/>
      <c r="D121" s="21"/>
      <c r="E121" s="21"/>
      <c r="F121" s="21"/>
      <c r="G121" s="21"/>
      <c r="H121" s="21"/>
      <c r="I121" s="21"/>
      <c r="J121" s="21"/>
      <c r="K121" s="21"/>
      <c r="L121" s="21"/>
      <c r="M121" s="21"/>
      <c r="N121" s="21"/>
      <c r="O121" s="21"/>
      <c r="P121" s="21"/>
      <c r="Q121" s="21"/>
      <c r="R121" s="21"/>
      <c r="S121" s="21"/>
      <c r="T121" s="21"/>
      <c r="U121" s="21"/>
    </row>
    <row r="122" spans="1:21" x14ac:dyDescent="0.3">
      <c r="A122" s="21"/>
      <c r="B122" s="21"/>
      <c r="C122" s="21"/>
      <c r="D122" s="21"/>
      <c r="E122" s="21"/>
      <c r="F122" s="21"/>
      <c r="G122" s="21"/>
      <c r="H122" s="21"/>
      <c r="I122" s="22"/>
      <c r="J122" s="22"/>
      <c r="K122" s="22"/>
      <c r="L122" s="22"/>
      <c r="M122" s="22"/>
      <c r="N122" s="22"/>
      <c r="O122" s="22"/>
      <c r="P122" s="22"/>
      <c r="Q122" s="22"/>
      <c r="R122" s="21"/>
      <c r="S122" s="21"/>
      <c r="T122" s="21"/>
      <c r="U122" s="21"/>
    </row>
    <row r="126" spans="1:21" x14ac:dyDescent="0.3">
      <c r="I126" s="56"/>
    </row>
  </sheetData>
  <sheetProtection algorithmName="SHA-512" hashValue="1vwfEFzQ4xMszZC+usgk3f/h21jUXZY0WMaUhkQS3LQtSxFSZ64gWBUu94r6Z4Npu9MCBqaHb2FoC0GGjUdITQ==" saltValue="UoYhEd8H2ktMpbWB2p5s4Q==" spinCount="100000" sheet="1" formatCells="0" formatColumns="0" formatRows="0" selectLockedCells="1"/>
  <mergeCells count="75">
    <mergeCell ref="A10:P10"/>
    <mergeCell ref="D3:Q3"/>
    <mergeCell ref="A4:Q4"/>
    <mergeCell ref="A5:U6"/>
    <mergeCell ref="H8:O8"/>
    <mergeCell ref="A9:U9"/>
    <mergeCell ref="I11:U11"/>
    <mergeCell ref="M12:U12"/>
    <mergeCell ref="K13:U13"/>
    <mergeCell ref="E16:T16"/>
    <mergeCell ref="A20:F20"/>
    <mergeCell ref="G20:L20"/>
    <mergeCell ref="M20:Q20"/>
    <mergeCell ref="R20:U20"/>
    <mergeCell ref="J22:L22"/>
    <mergeCell ref="P22:Q22"/>
    <mergeCell ref="R22:S22"/>
    <mergeCell ref="T22:U22"/>
    <mergeCell ref="D22:F22"/>
    <mergeCell ref="D21:F21"/>
    <mergeCell ref="J21:L21"/>
    <mergeCell ref="P21:Q21"/>
    <mergeCell ref="R21:S21"/>
    <mergeCell ref="T21:U21"/>
    <mergeCell ref="D24:E24"/>
    <mergeCell ref="J24:L24"/>
    <mergeCell ref="P24:Q24"/>
    <mergeCell ref="R24:S25"/>
    <mergeCell ref="T24:U25"/>
    <mergeCell ref="D25:F25"/>
    <mergeCell ref="J25:L25"/>
    <mergeCell ref="P25:Q25"/>
    <mergeCell ref="I29:U29"/>
    <mergeCell ref="J23:L23"/>
    <mergeCell ref="P23:Q23"/>
    <mergeCell ref="R23:S23"/>
    <mergeCell ref="T23:U23"/>
    <mergeCell ref="I27:U27"/>
    <mergeCell ref="I28:U28"/>
    <mergeCell ref="I30:U30"/>
    <mergeCell ref="I31:U31"/>
    <mergeCell ref="I32:U32"/>
    <mergeCell ref="I33:U33"/>
    <mergeCell ref="C41:N41"/>
    <mergeCell ref="O41:R41"/>
    <mergeCell ref="A97:H97"/>
    <mergeCell ref="I97:O97"/>
    <mergeCell ref="P97:U97"/>
    <mergeCell ref="E90:G90"/>
    <mergeCell ref="M90:O90"/>
    <mergeCell ref="S90:T90"/>
    <mergeCell ref="E91:G91"/>
    <mergeCell ref="M91:O91"/>
    <mergeCell ref="S91:T91"/>
    <mergeCell ref="S92:T92"/>
    <mergeCell ref="A95:U95"/>
    <mergeCell ref="A96:H96"/>
    <mergeCell ref="I96:O96"/>
    <mergeCell ref="P96:U96"/>
    <mergeCell ref="D23:F23"/>
    <mergeCell ref="A116:U116"/>
    <mergeCell ref="A119:U119"/>
    <mergeCell ref="A120:U120"/>
    <mergeCell ref="A100:H100"/>
    <mergeCell ref="I100:O100"/>
    <mergeCell ref="P100:U100"/>
    <mergeCell ref="A103:U103"/>
    <mergeCell ref="A105:U105"/>
    <mergeCell ref="I115:Q115"/>
    <mergeCell ref="A98:H98"/>
    <mergeCell ref="I98:O98"/>
    <mergeCell ref="P98:U98"/>
    <mergeCell ref="A99:H99"/>
    <mergeCell ref="I99:O99"/>
    <mergeCell ref="P99:U99"/>
  </mergeCells>
  <pageMargins left="0.51181102362204722" right="0.51181102362204722" top="0.92201086956521738" bottom="0.74803149606299213" header="0.31496062992125984" footer="0.31496062992125984"/>
  <pageSetup paperSize="14" scale="87" orientation="portrait" r:id="rId1"/>
  <headerFooter>
    <oddHeader xml:space="preserve">&amp;R&amp;"Century Gothic,Bold"&amp;18
RESERVATION AGREEMENT&amp;"Century Gothic,Regular"
</oddHeader>
    <oddFooter>&amp;C&amp;"Century Gothic,Regular"&amp;8Page &amp;P of &amp;N</oddFooter>
  </headerFooter>
  <rowBreaks count="1" manualBreakCount="1">
    <brk id="62" max="20" man="1"/>
  </rowBreaks>
  <drawing r:id="rId2"/>
  <legacyDrawing r:id="rId3"/>
  <mc:AlternateContent xmlns:mc="http://schemas.openxmlformats.org/markup-compatibility/2006">
    <mc:Choice Requires="x14">
      <controls>
        <mc:AlternateContent xmlns:mc="http://schemas.openxmlformats.org/markup-compatibility/2006">
          <mc:Choice Requires="x14">
            <control shapeId="66561" r:id="rId4" name="Check Box 1">
              <controlPr defaultSize="0" autoFill="0" autoLine="0" autoPict="0">
                <anchor moveWithCells="1">
                  <from>
                    <xdr:col>2</xdr:col>
                    <xdr:colOff>38100</xdr:colOff>
                    <xdr:row>36</xdr:row>
                    <xdr:rowOff>0</xdr:rowOff>
                  </from>
                  <to>
                    <xdr:col>2</xdr:col>
                    <xdr:colOff>285750</xdr:colOff>
                    <xdr:row>37</xdr:row>
                    <xdr:rowOff>19050</xdr:rowOff>
                  </to>
                </anchor>
              </controlPr>
            </control>
          </mc:Choice>
        </mc:AlternateContent>
        <mc:AlternateContent xmlns:mc="http://schemas.openxmlformats.org/markup-compatibility/2006">
          <mc:Choice Requires="x14">
            <control shapeId="66562" r:id="rId5" name="Check Box 2">
              <controlPr defaultSize="0" autoFill="0" autoLine="0" autoPict="0">
                <anchor moveWithCells="1">
                  <from>
                    <xdr:col>9</xdr:col>
                    <xdr:colOff>219075</xdr:colOff>
                    <xdr:row>36</xdr:row>
                    <xdr:rowOff>0</xdr:rowOff>
                  </from>
                  <to>
                    <xdr:col>10</xdr:col>
                    <xdr:colOff>209550</xdr:colOff>
                    <xdr:row>37</xdr:row>
                    <xdr:rowOff>19050</xdr:rowOff>
                  </to>
                </anchor>
              </controlPr>
            </control>
          </mc:Choice>
        </mc:AlternateContent>
        <mc:AlternateContent xmlns:mc="http://schemas.openxmlformats.org/markup-compatibility/2006">
          <mc:Choice Requires="x14">
            <control shapeId="66563" r:id="rId6" name="Check Box 3">
              <controlPr defaultSize="0" autoFill="0" autoLine="0" autoPict="0">
                <anchor moveWithCells="1">
                  <from>
                    <xdr:col>2</xdr:col>
                    <xdr:colOff>257175</xdr:colOff>
                    <xdr:row>17</xdr:row>
                    <xdr:rowOff>0</xdr:rowOff>
                  </from>
                  <to>
                    <xdr:col>3</xdr:col>
                    <xdr:colOff>171450</xdr:colOff>
                    <xdr:row>18</xdr:row>
                    <xdr:rowOff>19050</xdr:rowOff>
                  </to>
                </anchor>
              </controlPr>
            </control>
          </mc:Choice>
        </mc:AlternateContent>
        <mc:AlternateContent xmlns:mc="http://schemas.openxmlformats.org/markup-compatibility/2006">
          <mc:Choice Requires="x14">
            <control shapeId="66564" r:id="rId7" name="Check Box 4">
              <controlPr defaultSize="0" autoFill="0" autoLine="0" autoPict="0">
                <anchor moveWithCells="1">
                  <from>
                    <xdr:col>2</xdr:col>
                    <xdr:colOff>257175</xdr:colOff>
                    <xdr:row>16</xdr:row>
                    <xdr:rowOff>19050</xdr:rowOff>
                  </from>
                  <to>
                    <xdr:col>3</xdr:col>
                    <xdr:colOff>171450</xdr:colOff>
                    <xdr:row>17</xdr:row>
                    <xdr:rowOff>19050</xdr:rowOff>
                  </to>
                </anchor>
              </controlPr>
            </control>
          </mc:Choice>
        </mc:AlternateContent>
        <mc:AlternateContent xmlns:mc="http://schemas.openxmlformats.org/markup-compatibility/2006">
          <mc:Choice Requires="x14">
            <control shapeId="66565" r:id="rId8" name="Check Box 5">
              <controlPr defaultSize="0" autoFill="0" autoLine="0" autoPict="0">
                <anchor moveWithCells="1">
                  <from>
                    <xdr:col>10</xdr:col>
                    <xdr:colOff>133350</xdr:colOff>
                    <xdr:row>16</xdr:row>
                    <xdr:rowOff>209550</xdr:rowOff>
                  </from>
                  <to>
                    <xdr:col>11</xdr:col>
                    <xdr:colOff>28575</xdr:colOff>
                    <xdr:row>18</xdr:row>
                    <xdr:rowOff>0</xdr:rowOff>
                  </to>
                </anchor>
              </controlPr>
            </control>
          </mc:Choice>
        </mc:AlternateContent>
        <mc:AlternateContent xmlns:mc="http://schemas.openxmlformats.org/markup-compatibility/2006">
          <mc:Choice Requires="x14">
            <control shapeId="66566" r:id="rId9" name="Check Box 6">
              <controlPr defaultSize="0" autoFill="0" autoLine="0" autoPict="0">
                <anchor moveWithCells="1">
                  <from>
                    <xdr:col>10</xdr:col>
                    <xdr:colOff>133350</xdr:colOff>
                    <xdr:row>16</xdr:row>
                    <xdr:rowOff>0</xdr:rowOff>
                  </from>
                  <to>
                    <xdr:col>11</xdr:col>
                    <xdr:colOff>28575</xdr:colOff>
                    <xdr:row>17</xdr:row>
                    <xdr:rowOff>19050</xdr:rowOff>
                  </to>
                </anchor>
              </controlPr>
            </control>
          </mc:Choice>
        </mc:AlternateContent>
        <mc:AlternateContent xmlns:mc="http://schemas.openxmlformats.org/markup-compatibility/2006">
          <mc:Choice Requires="x14">
            <control shapeId="66567" r:id="rId10" name="Check Box 7">
              <controlPr defaultSize="0" autoFill="0" autoLine="0" autoPict="0">
                <anchor moveWithCells="1">
                  <from>
                    <xdr:col>18</xdr:col>
                    <xdr:colOff>19050</xdr:colOff>
                    <xdr:row>16</xdr:row>
                    <xdr:rowOff>0</xdr:rowOff>
                  </from>
                  <to>
                    <xdr:col>19</xdr:col>
                    <xdr:colOff>19050</xdr:colOff>
                    <xdr:row>17</xdr:row>
                    <xdr:rowOff>19050</xdr:rowOff>
                  </to>
                </anchor>
              </controlPr>
            </control>
          </mc:Choice>
        </mc:AlternateContent>
        <mc:AlternateContent xmlns:mc="http://schemas.openxmlformats.org/markup-compatibility/2006">
          <mc:Choice Requires="x14">
            <control shapeId="66568" r:id="rId11" name="Check Box 8">
              <controlPr defaultSize="0" autoFill="0" autoLine="0" autoPict="0">
                <anchor moveWithCells="1">
                  <from>
                    <xdr:col>0</xdr:col>
                    <xdr:colOff>95250</xdr:colOff>
                    <xdr:row>87</xdr:row>
                    <xdr:rowOff>66675</xdr:rowOff>
                  </from>
                  <to>
                    <xdr:col>2</xdr:col>
                    <xdr:colOff>19050</xdr:colOff>
                    <xdr:row>89</xdr:row>
                    <xdr:rowOff>0</xdr:rowOff>
                  </to>
                </anchor>
              </controlPr>
            </control>
          </mc:Choice>
        </mc:AlternateContent>
        <mc:AlternateContent xmlns:mc="http://schemas.openxmlformats.org/markup-compatibility/2006">
          <mc:Choice Requires="x14">
            <control shapeId="66569" r:id="rId12" name="Check Box 9">
              <controlPr defaultSize="0" autoFill="0" autoLine="0" autoPict="0">
                <anchor moveWithCells="1">
                  <from>
                    <xdr:col>9</xdr:col>
                    <xdr:colOff>19050</xdr:colOff>
                    <xdr:row>88</xdr:row>
                    <xdr:rowOff>0</xdr:rowOff>
                  </from>
                  <to>
                    <xdr:col>10</xdr:col>
                    <xdr:colOff>19050</xdr:colOff>
                    <xdr:row>89</xdr:row>
                    <xdr:rowOff>19050</xdr:rowOff>
                  </to>
                </anchor>
              </controlPr>
            </control>
          </mc:Choice>
        </mc:AlternateContent>
        <mc:AlternateContent xmlns:mc="http://schemas.openxmlformats.org/markup-compatibility/2006">
          <mc:Choice Requires="x14">
            <control shapeId="66570" r:id="rId13" name="Check Box 10">
              <controlPr defaultSize="0" autoFill="0" autoLine="0" autoPict="0">
                <anchor moveWithCells="1">
                  <from>
                    <xdr:col>16</xdr:col>
                    <xdr:colOff>152400</xdr:colOff>
                    <xdr:row>88</xdr:row>
                    <xdr:rowOff>0</xdr:rowOff>
                  </from>
                  <to>
                    <xdr:col>17</xdr:col>
                    <xdr:colOff>0</xdr:colOff>
                    <xdr:row>89</xdr:row>
                    <xdr:rowOff>19050</xdr:rowOff>
                  </to>
                </anchor>
              </controlPr>
            </control>
          </mc:Choice>
        </mc:AlternateContent>
        <mc:AlternateContent xmlns:mc="http://schemas.openxmlformats.org/markup-compatibility/2006">
          <mc:Choice Requires="x14">
            <control shapeId="66571" r:id="rId14" name="Check Box 11">
              <controlPr defaultSize="0" autoFill="0" autoLine="0" autoPict="0">
                <anchor moveWithCells="1">
                  <from>
                    <xdr:col>18</xdr:col>
                    <xdr:colOff>19050</xdr:colOff>
                    <xdr:row>16</xdr:row>
                    <xdr:rowOff>190500</xdr:rowOff>
                  </from>
                  <to>
                    <xdr:col>19</xdr:col>
                    <xdr:colOff>19050</xdr:colOff>
                    <xdr:row>18</xdr:row>
                    <xdr:rowOff>0</xdr:rowOff>
                  </to>
                </anchor>
              </controlPr>
            </control>
          </mc:Choice>
        </mc:AlternateContent>
        <mc:AlternateContent xmlns:mc="http://schemas.openxmlformats.org/markup-compatibility/2006">
          <mc:Choice Requires="x14">
            <control shapeId="66572" r:id="rId15" name="Check Box 12">
              <controlPr defaultSize="0" autoFill="0" autoLine="0" autoPict="0">
                <anchor moveWithCells="1">
                  <from>
                    <xdr:col>17</xdr:col>
                    <xdr:colOff>781050</xdr:colOff>
                    <xdr:row>36</xdr:row>
                    <xdr:rowOff>0</xdr:rowOff>
                  </from>
                  <to>
                    <xdr:col>18</xdr:col>
                    <xdr:colOff>0</xdr:colOff>
                    <xdr:row>37</xdr:row>
                    <xdr:rowOff>19050</xdr:rowOff>
                  </to>
                </anchor>
              </controlPr>
            </control>
          </mc:Choice>
        </mc:AlternateContent>
        <mc:AlternateContent xmlns:mc="http://schemas.openxmlformats.org/markup-compatibility/2006">
          <mc:Choice Requires="x14">
            <control shapeId="66573" r:id="rId16" name="Check Box 13">
              <controlPr defaultSize="0" autoFill="0" autoLine="0" autoPict="0">
                <anchor moveWithCells="1">
                  <from>
                    <xdr:col>0</xdr:col>
                    <xdr:colOff>114300</xdr:colOff>
                    <xdr:row>89</xdr:row>
                    <xdr:rowOff>19050</xdr:rowOff>
                  </from>
                  <to>
                    <xdr:col>2</xdr:col>
                    <xdr:colOff>57150</xdr:colOff>
                    <xdr:row>90</xdr:row>
                    <xdr:rowOff>28575</xdr:rowOff>
                  </to>
                </anchor>
              </controlPr>
            </control>
          </mc:Choice>
        </mc:AlternateContent>
        <mc:AlternateContent xmlns:mc="http://schemas.openxmlformats.org/markup-compatibility/2006">
          <mc:Choice Requires="x14">
            <control shapeId="66574" r:id="rId17" name="Check Box 14">
              <controlPr defaultSize="0" autoFill="0" autoLine="0" autoPict="0">
                <anchor moveWithCells="1">
                  <from>
                    <xdr:col>0</xdr:col>
                    <xdr:colOff>114300</xdr:colOff>
                    <xdr:row>89</xdr:row>
                    <xdr:rowOff>209550</xdr:rowOff>
                  </from>
                  <to>
                    <xdr:col>2</xdr:col>
                    <xdr:colOff>57150</xdr:colOff>
                    <xdr:row>91</xdr:row>
                    <xdr:rowOff>19050</xdr:rowOff>
                  </to>
                </anchor>
              </controlPr>
            </control>
          </mc:Choice>
        </mc:AlternateContent>
        <mc:AlternateContent xmlns:mc="http://schemas.openxmlformats.org/markup-compatibility/2006">
          <mc:Choice Requires="x14">
            <control shapeId="66575" r:id="rId18" name="Check Box 15">
              <controlPr defaultSize="0" autoFill="0" autoLine="0" autoPict="0">
                <anchor moveWithCells="1">
                  <from>
                    <xdr:col>9</xdr:col>
                    <xdr:colOff>57150</xdr:colOff>
                    <xdr:row>89</xdr:row>
                    <xdr:rowOff>0</xdr:rowOff>
                  </from>
                  <to>
                    <xdr:col>10</xdr:col>
                    <xdr:colOff>38100</xdr:colOff>
                    <xdr:row>90</xdr:row>
                    <xdr:rowOff>19050</xdr:rowOff>
                  </to>
                </anchor>
              </controlPr>
            </control>
          </mc:Choice>
        </mc:AlternateContent>
        <mc:AlternateContent xmlns:mc="http://schemas.openxmlformats.org/markup-compatibility/2006">
          <mc:Choice Requires="x14">
            <control shapeId="66576" r:id="rId19" name="Check Box 16">
              <controlPr defaultSize="0" autoFill="0" autoLine="0" autoPict="0">
                <anchor moveWithCells="1">
                  <from>
                    <xdr:col>9</xdr:col>
                    <xdr:colOff>57150</xdr:colOff>
                    <xdr:row>89</xdr:row>
                    <xdr:rowOff>190500</xdr:rowOff>
                  </from>
                  <to>
                    <xdr:col>10</xdr:col>
                    <xdr:colOff>38100</xdr:colOff>
                    <xdr:row>91</xdr:row>
                    <xdr:rowOff>0</xdr:rowOff>
                  </to>
                </anchor>
              </controlPr>
            </control>
          </mc:Choice>
        </mc:AlternateContent>
        <mc:AlternateContent xmlns:mc="http://schemas.openxmlformats.org/markup-compatibility/2006">
          <mc:Choice Requires="x14">
            <control shapeId="66577" r:id="rId20" name="Check Box 17">
              <controlPr defaultSize="0" autoFill="0" autoLine="0" autoPict="0">
                <anchor moveWithCells="1">
                  <from>
                    <xdr:col>16</xdr:col>
                    <xdr:colOff>171450</xdr:colOff>
                    <xdr:row>89</xdr:row>
                    <xdr:rowOff>0</xdr:rowOff>
                  </from>
                  <to>
                    <xdr:col>17</xdr:col>
                    <xdr:colOff>28575</xdr:colOff>
                    <xdr:row>90</xdr:row>
                    <xdr:rowOff>19050</xdr:rowOff>
                  </to>
                </anchor>
              </controlPr>
            </control>
          </mc:Choice>
        </mc:AlternateContent>
        <mc:AlternateContent xmlns:mc="http://schemas.openxmlformats.org/markup-compatibility/2006">
          <mc:Choice Requires="x14">
            <control shapeId="66578" r:id="rId21" name="Check Box 18">
              <controlPr defaultSize="0" autoFill="0" autoLine="0" autoPict="0">
                <anchor moveWithCells="1">
                  <from>
                    <xdr:col>16</xdr:col>
                    <xdr:colOff>171450</xdr:colOff>
                    <xdr:row>89</xdr:row>
                    <xdr:rowOff>190500</xdr:rowOff>
                  </from>
                  <to>
                    <xdr:col>17</xdr:col>
                    <xdr:colOff>28575</xdr:colOff>
                    <xdr:row>91</xdr:row>
                    <xdr:rowOff>0</xdr:rowOff>
                  </to>
                </anchor>
              </controlPr>
            </control>
          </mc:Choice>
        </mc:AlternateContent>
        <mc:AlternateContent xmlns:mc="http://schemas.openxmlformats.org/markup-compatibility/2006">
          <mc:Choice Requires="x14">
            <control shapeId="66579" r:id="rId22" name="Check Box 19">
              <controlPr defaultSize="0" autoFill="0" autoLine="0" autoPict="0">
                <anchor moveWithCells="1">
                  <from>
                    <xdr:col>16</xdr:col>
                    <xdr:colOff>171450</xdr:colOff>
                    <xdr:row>91</xdr:row>
                    <xdr:rowOff>0</xdr:rowOff>
                  </from>
                  <to>
                    <xdr:col>17</xdr:col>
                    <xdr:colOff>28575</xdr:colOff>
                    <xdr:row>92</xdr:row>
                    <xdr:rowOff>19050</xdr:rowOff>
                  </to>
                </anchor>
              </controlPr>
            </control>
          </mc:Choice>
        </mc:AlternateContent>
      </controls>
    </mc:Choice>
  </mc:AlternateConten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5"/>
  <dimension ref="A1:R70"/>
  <sheetViews>
    <sheetView showGridLines="0" showZeros="0" view="pageLayout" zoomScale="90" zoomScaleNormal="90" zoomScaleSheetLayoutView="100" zoomScalePageLayoutView="90" workbookViewId="0">
      <selection activeCell="E37" sqref="E37"/>
    </sheetView>
  </sheetViews>
  <sheetFormatPr defaultColWidth="9.28515625" defaultRowHeight="13.5" x14ac:dyDescent="0.25"/>
  <cols>
    <col min="1" max="1" width="0.7109375" style="130" customWidth="1"/>
    <col min="2" max="2" width="12" style="130" customWidth="1"/>
    <col min="3" max="3" width="18.42578125" style="130" customWidth="1"/>
    <col min="4" max="4" width="14" style="192" customWidth="1"/>
    <col min="5" max="5" width="13.7109375" style="130" customWidth="1"/>
    <col min="6" max="6" width="17" style="130" customWidth="1"/>
    <col min="7" max="7" width="8" style="130" customWidth="1"/>
    <col min="8" max="8" width="22" style="130" customWidth="1"/>
    <col min="9" max="9" width="0.42578125" style="130" customWidth="1"/>
    <col min="10" max="10" width="9.28515625" style="130"/>
    <col min="11" max="11" width="19.28515625" style="130" customWidth="1"/>
    <col min="12" max="12" width="19.42578125" style="524" customWidth="1"/>
    <col min="13" max="13" width="5.28515625" style="130" customWidth="1"/>
    <col min="14" max="14" width="13.5703125" style="130" customWidth="1"/>
    <col min="15" max="15" width="19.7109375" style="130" customWidth="1"/>
    <col min="16" max="16" width="22.5703125" style="130" customWidth="1"/>
    <col min="17" max="17" width="9.28515625" style="130"/>
    <col min="18" max="18" width="10.7109375" style="130" bestFit="1" customWidth="1"/>
    <col min="19" max="16384" width="9.28515625" style="130"/>
  </cols>
  <sheetData>
    <row r="1" spans="1:18" ht="2.25" customHeight="1" x14ac:dyDescent="0.25">
      <c r="R1" s="525">
        <f>EDATE(L17,'STANDARD COMP.'!E29)</f>
        <v>46082</v>
      </c>
    </row>
    <row r="2" spans="1:18" x14ac:dyDescent="0.25">
      <c r="B2" s="104" t="s">
        <v>681</v>
      </c>
      <c r="C2" s="575">
        <f>FORM!G22</f>
        <v>45870</v>
      </c>
      <c r="D2" s="260"/>
      <c r="F2" s="198" t="s">
        <v>682</v>
      </c>
      <c r="G2" s="1335" t="s">
        <v>683</v>
      </c>
      <c r="H2" s="1336"/>
      <c r="I2" s="153"/>
      <c r="J2" s="107" t="s">
        <v>681</v>
      </c>
      <c r="K2" s="576">
        <f>C2</f>
        <v>45870</v>
      </c>
      <c r="L2" s="153"/>
      <c r="M2" s="153"/>
      <c r="O2" s="198" t="s">
        <v>684</v>
      </c>
      <c r="P2" s="526" t="s">
        <v>685</v>
      </c>
    </row>
    <row r="3" spans="1:18" s="109" customFormat="1" x14ac:dyDescent="0.25">
      <c r="C3" s="110"/>
      <c r="D3" s="110"/>
      <c r="G3" s="111"/>
      <c r="H3" s="111"/>
      <c r="I3" s="111"/>
      <c r="J3" s="112"/>
      <c r="K3" s="113"/>
      <c r="L3" s="114"/>
      <c r="M3" s="112"/>
      <c r="N3" s="112"/>
      <c r="O3" s="1339"/>
      <c r="P3" s="1339"/>
    </row>
    <row r="4" spans="1:18" s="109" customFormat="1" ht="18" customHeight="1" x14ac:dyDescent="0.25">
      <c r="B4" s="1157" t="s">
        <v>897</v>
      </c>
      <c r="C4" s="1157"/>
      <c r="D4" s="1157"/>
      <c r="E4" s="1157"/>
      <c r="F4" s="1157"/>
      <c r="G4" s="1157"/>
      <c r="H4" s="1157"/>
      <c r="I4" s="328"/>
      <c r="J4" s="1159" t="s">
        <v>687</v>
      </c>
      <c r="K4" s="1159"/>
      <c r="L4" s="1159"/>
      <c r="M4" s="1159"/>
      <c r="N4" s="1159"/>
      <c r="O4" s="1159"/>
      <c r="P4" s="1159"/>
    </row>
    <row r="5" spans="1:18" s="109" customFormat="1" x14ac:dyDescent="0.25">
      <c r="B5" s="111" t="s">
        <v>660</v>
      </c>
      <c r="C5" s="111"/>
      <c r="D5" s="115"/>
      <c r="E5" s="111"/>
      <c r="F5" s="111"/>
      <c r="G5" s="111"/>
      <c r="H5" s="111"/>
      <c r="I5" s="111"/>
      <c r="J5" s="116"/>
      <c r="K5" s="117"/>
      <c r="L5" s="118"/>
      <c r="M5" s="117"/>
      <c r="N5" s="117"/>
      <c r="O5" s="117"/>
      <c r="P5" s="119"/>
    </row>
    <row r="6" spans="1:18" s="109" customFormat="1" x14ac:dyDescent="0.25">
      <c r="B6" s="438" t="s">
        <v>688</v>
      </c>
      <c r="C6" s="436"/>
      <c r="D6" s="217" t="s">
        <v>647</v>
      </c>
      <c r="E6" s="1132">
        <f>FORM!G30</f>
        <v>0</v>
      </c>
      <c r="F6" s="1132"/>
      <c r="G6" s="1132"/>
      <c r="H6" s="1132"/>
      <c r="I6" s="111"/>
      <c r="J6" s="475" t="s">
        <v>688</v>
      </c>
      <c r="K6" s="455"/>
      <c r="L6" s="527" t="s">
        <v>647</v>
      </c>
      <c r="M6" s="1152">
        <f t="shared" ref="M6:M13" si="0">E6</f>
        <v>0</v>
      </c>
      <c r="N6" s="1153"/>
      <c r="O6" s="1153"/>
      <c r="P6" s="1154"/>
    </row>
    <row r="7" spans="1:18" s="109" customFormat="1" x14ac:dyDescent="0.25">
      <c r="B7" s="438" t="s">
        <v>646</v>
      </c>
      <c r="C7" s="436"/>
      <c r="D7" s="217" t="s">
        <v>647</v>
      </c>
      <c r="E7" s="1132" t="str">
        <f>FORM!G11</f>
        <v>WEECOMM CENTRE</v>
      </c>
      <c r="F7" s="1132"/>
      <c r="G7" s="1132"/>
      <c r="H7" s="1132"/>
      <c r="I7" s="111"/>
      <c r="J7" s="226" t="s">
        <v>646</v>
      </c>
      <c r="K7" s="456"/>
      <c r="L7" s="527" t="s">
        <v>647</v>
      </c>
      <c r="M7" s="1152" t="str">
        <f t="shared" si="0"/>
        <v>WEECOMM CENTRE</v>
      </c>
      <c r="N7" s="1153"/>
      <c r="O7" s="1153"/>
      <c r="P7" s="1154"/>
    </row>
    <row r="8" spans="1:18" s="109" customFormat="1" x14ac:dyDescent="0.25">
      <c r="B8" s="593" t="s">
        <v>689</v>
      </c>
      <c r="C8" s="594"/>
      <c r="D8" s="217" t="s">
        <v>647</v>
      </c>
      <c r="E8" s="1132" t="str">
        <f>'STANDARD COMP.'!E8</f>
        <v>9G</v>
      </c>
      <c r="F8" s="1132"/>
      <c r="G8" s="1132"/>
      <c r="H8" s="1132"/>
      <c r="I8" s="111"/>
      <c r="J8" s="226" t="s">
        <v>689</v>
      </c>
      <c r="K8" s="456"/>
      <c r="L8" s="527" t="s">
        <v>647</v>
      </c>
      <c r="M8" s="1152" t="str">
        <f t="shared" si="0"/>
        <v>9G</v>
      </c>
      <c r="N8" s="1153"/>
      <c r="O8" s="1153"/>
      <c r="P8" s="1154"/>
    </row>
    <row r="9" spans="1:18" hidden="1" x14ac:dyDescent="0.25">
      <c r="B9" s="1344" t="s">
        <v>690</v>
      </c>
      <c r="C9" s="1345"/>
      <c r="D9" s="217" t="s">
        <v>647</v>
      </c>
      <c r="E9" s="1331">
        <f>FORM!G14</f>
        <v>1</v>
      </c>
      <c r="F9" s="1331"/>
      <c r="G9" s="1331"/>
      <c r="H9" s="1331"/>
      <c r="I9" s="131"/>
      <c r="J9" s="226" t="s">
        <v>690</v>
      </c>
      <c r="K9" s="456"/>
      <c r="L9" s="527" t="s">
        <v>647</v>
      </c>
      <c r="M9" s="1332">
        <f t="shared" si="0"/>
        <v>1</v>
      </c>
      <c r="N9" s="1333"/>
      <c r="O9" s="1333"/>
      <c r="P9" s="1334"/>
    </row>
    <row r="10" spans="1:18" x14ac:dyDescent="0.25">
      <c r="A10" s="138"/>
      <c r="B10" s="1344" t="s">
        <v>612</v>
      </c>
      <c r="C10" s="1345"/>
      <c r="D10" s="217" t="s">
        <v>647</v>
      </c>
      <c r="E10" s="1101" t="str">
        <f>'STANDARD COMP.'!E10:F10</f>
        <v>2-BR</v>
      </c>
      <c r="F10" s="1136"/>
      <c r="G10" s="1137" t="str">
        <f>'STANDARD COMP.'!G10:I10</f>
        <v>BARE</v>
      </c>
      <c r="H10" s="1167"/>
      <c r="I10" s="133"/>
      <c r="J10" s="226" t="s">
        <v>612</v>
      </c>
      <c r="K10" s="456"/>
      <c r="L10" s="527" t="s">
        <v>647</v>
      </c>
      <c r="M10" s="1329" t="str">
        <f t="shared" si="0"/>
        <v>2-BR</v>
      </c>
      <c r="N10" s="1330"/>
      <c r="O10" s="712" t="str">
        <f>G10</f>
        <v>BARE</v>
      </c>
      <c r="P10" s="713"/>
      <c r="Q10" s="528"/>
    </row>
    <row r="11" spans="1:18" x14ac:dyDescent="0.25">
      <c r="B11" s="438" t="s">
        <v>692</v>
      </c>
      <c r="C11" s="436"/>
      <c r="D11" s="217" t="s">
        <v>647</v>
      </c>
      <c r="E11" s="1340">
        <f>'STANDARD COMP.'!E11:F11</f>
        <v>95.44</v>
      </c>
      <c r="F11" s="1341"/>
      <c r="G11" s="601" t="s">
        <v>693</v>
      </c>
      <c r="H11" s="602"/>
      <c r="I11" s="131"/>
      <c r="J11" s="226" t="s">
        <v>692</v>
      </c>
      <c r="K11" s="456"/>
      <c r="L11" s="527" t="s">
        <v>647</v>
      </c>
      <c r="M11" s="1342">
        <f t="shared" si="0"/>
        <v>95.44</v>
      </c>
      <c r="N11" s="1343"/>
      <c r="O11" s="716" t="s">
        <v>693</v>
      </c>
      <c r="P11" s="717"/>
    </row>
    <row r="12" spans="1:18" x14ac:dyDescent="0.25">
      <c r="B12" s="438" t="s">
        <v>694</v>
      </c>
      <c r="C12" s="436"/>
      <c r="D12" s="217" t="s">
        <v>647</v>
      </c>
      <c r="E12" s="1324">
        <f>'STANDARD COMP.'!E12:F12</f>
        <v>13.34</v>
      </c>
      <c r="F12" s="1325"/>
      <c r="G12" s="549" t="s">
        <v>693</v>
      </c>
      <c r="H12" s="550"/>
      <c r="I12" s="131"/>
      <c r="J12" s="234" t="s">
        <v>694</v>
      </c>
      <c r="K12" s="456"/>
      <c r="L12" s="527" t="s">
        <v>647</v>
      </c>
      <c r="M12" s="1326">
        <f t="shared" si="0"/>
        <v>13.34</v>
      </c>
      <c r="N12" s="1327"/>
      <c r="O12" s="716" t="s">
        <v>693</v>
      </c>
      <c r="P12" s="718"/>
    </row>
    <row r="13" spans="1:18" x14ac:dyDescent="0.25">
      <c r="B13" s="593" t="s">
        <v>695</v>
      </c>
      <c r="C13" s="594"/>
      <c r="D13" s="217" t="s">
        <v>647</v>
      </c>
      <c r="E13" s="1324">
        <f>'STANDARD COMP.'!E13:F13</f>
        <v>108.78</v>
      </c>
      <c r="F13" s="1325"/>
      <c r="G13" s="549" t="s">
        <v>693</v>
      </c>
      <c r="H13" s="550"/>
      <c r="I13" s="131"/>
      <c r="J13" s="475" t="s">
        <v>695</v>
      </c>
      <c r="K13" s="142"/>
      <c r="L13" s="527" t="s">
        <v>647</v>
      </c>
      <c r="M13" s="1337">
        <f t="shared" si="0"/>
        <v>108.78</v>
      </c>
      <c r="N13" s="1338"/>
      <c r="O13" s="714" t="s">
        <v>693</v>
      </c>
      <c r="P13" s="715"/>
    </row>
    <row r="14" spans="1:18" x14ac:dyDescent="0.25">
      <c r="B14" s="131"/>
      <c r="C14" s="131"/>
      <c r="D14" s="217"/>
      <c r="E14" s="131"/>
      <c r="F14" s="131"/>
      <c r="G14" s="131"/>
      <c r="H14" s="131"/>
      <c r="I14" s="131"/>
      <c r="J14" s="131"/>
      <c r="K14" s="131"/>
      <c r="L14" s="132"/>
      <c r="M14" s="131"/>
      <c r="N14" s="131"/>
      <c r="O14" s="131"/>
      <c r="P14" s="131"/>
    </row>
    <row r="15" spans="1:18" ht="15" customHeight="1" x14ac:dyDescent="0.25">
      <c r="B15" s="221" t="s">
        <v>696</v>
      </c>
      <c r="C15" s="455"/>
      <c r="D15" s="217" t="s">
        <v>647</v>
      </c>
      <c r="E15" s="547"/>
      <c r="F15" s="1371">
        <f>'STANDARD COMP.'!F15</f>
        <v>20466686.730335645</v>
      </c>
      <c r="G15" s="1353"/>
      <c r="H15" s="1354"/>
      <c r="I15" s="133"/>
      <c r="J15" s="1116" t="s">
        <v>697</v>
      </c>
      <c r="K15" s="1116"/>
      <c r="L15" s="1328" t="s">
        <v>698</v>
      </c>
      <c r="M15" s="1116" t="s">
        <v>699</v>
      </c>
      <c r="N15" s="1116"/>
      <c r="O15" s="1108" t="s">
        <v>639</v>
      </c>
      <c r="P15" s="1109"/>
    </row>
    <row r="16" spans="1:18" s="6" customFormat="1" x14ac:dyDescent="0.2">
      <c r="B16" s="1113" t="s">
        <v>898</v>
      </c>
      <c r="C16" s="1113"/>
      <c r="D16" s="217"/>
      <c r="E16" s="547">
        <v>0.05</v>
      </c>
      <c r="F16" s="1371">
        <f>(F15*E16)*E26</f>
        <v>255833.58412919557</v>
      </c>
      <c r="G16" s="1353"/>
      <c r="H16" s="1354"/>
      <c r="I16" s="131"/>
      <c r="J16" s="1116"/>
      <c r="K16" s="1116"/>
      <c r="L16" s="1328"/>
      <c r="M16" s="1116"/>
      <c r="N16" s="1116"/>
      <c r="O16" s="1110"/>
      <c r="P16" s="1111"/>
    </row>
    <row r="17" spans="1:16" x14ac:dyDescent="0.25">
      <c r="B17" s="226" t="s">
        <v>700</v>
      </c>
      <c r="C17" s="234"/>
      <c r="D17" s="217" t="s">
        <v>647</v>
      </c>
      <c r="E17" s="548">
        <v>0</v>
      </c>
      <c r="F17" s="1372">
        <f>F15*E17</f>
        <v>0</v>
      </c>
      <c r="G17" s="1364"/>
      <c r="H17" s="1365"/>
      <c r="I17" s="133"/>
      <c r="J17" s="1132" t="s">
        <v>624</v>
      </c>
      <c r="K17" s="1132"/>
      <c r="L17" s="530">
        <f>C2</f>
        <v>45870</v>
      </c>
      <c r="M17" s="1114">
        <f>FORM!G24</f>
        <v>50000</v>
      </c>
      <c r="N17" s="1114"/>
      <c r="O17" s="1101"/>
      <c r="P17" s="1102"/>
    </row>
    <row r="18" spans="1:16" s="6" customFormat="1" x14ac:dyDescent="0.2">
      <c r="B18" s="187" t="s">
        <v>701</v>
      </c>
      <c r="C18" s="142"/>
      <c r="D18" s="217" t="s">
        <v>647</v>
      </c>
      <c r="E18" s="547"/>
      <c r="F18" s="1371">
        <f>F15-(F16+F17)</f>
        <v>20210853.14620645</v>
      </c>
      <c r="G18" s="1353"/>
      <c r="H18" s="1354"/>
      <c r="I18" s="131"/>
      <c r="J18" s="1132" t="s">
        <v>899</v>
      </c>
      <c r="K18" s="1132"/>
      <c r="L18" s="530">
        <f>L17+7</f>
        <v>45877</v>
      </c>
      <c r="M18" s="1114">
        <f>F29</f>
        <v>6120706.0491961967</v>
      </c>
      <c r="N18" s="1114"/>
      <c r="O18" s="1101"/>
      <c r="P18" s="1102"/>
    </row>
    <row r="19" spans="1:16" x14ac:dyDescent="0.25">
      <c r="B19" s="231"/>
      <c r="C19" s="131"/>
      <c r="D19" s="217"/>
      <c r="E19" s="131"/>
      <c r="F19" s="233"/>
      <c r="G19" s="233"/>
      <c r="H19" s="233"/>
      <c r="I19" s="131"/>
      <c r="J19" s="1142" t="s">
        <v>773</v>
      </c>
      <c r="K19" s="1142"/>
      <c r="L19" s="531">
        <f>IF(AND(DAY(R1)&gt;=6,DAY(R1)&lt;=20),DATE(YEAR(R1),MONTH(R1)+1,DAY(20)),IF(AND(DAY(R1)&gt;=21,DAY(R1)&lt;=30),DATE(YEAR(R1),MONTH(R1)+1,IF(DAY(EOMONTH(R1,1))&lt;30,DAY(EOMONTH(R1,1)),DAY(30))),DATE(YEAR(R1),MONTH(R1)+1,DAY(5))))</f>
        <v>46117</v>
      </c>
      <c r="M19" s="1347">
        <f>F31</f>
        <v>18512118.147588588</v>
      </c>
      <c r="N19" s="1347"/>
      <c r="O19" s="1348"/>
      <c r="P19" s="1349"/>
    </row>
    <row r="20" spans="1:16" x14ac:dyDescent="0.25">
      <c r="A20" s="138"/>
      <c r="B20" s="459" t="s">
        <v>704</v>
      </c>
      <c r="C20" s="459"/>
      <c r="D20" s="217" t="s">
        <v>647</v>
      </c>
      <c r="E20" s="547">
        <f>'STANDARD COMP.'!E19</f>
        <v>0.1</v>
      </c>
      <c r="F20" s="1351">
        <f>F15*E20</f>
        <v>2046668.6730335646</v>
      </c>
      <c r="G20" s="1351"/>
      <c r="H20" s="1351"/>
      <c r="I20" s="131"/>
      <c r="J20" s="1133"/>
      <c r="K20" s="1133"/>
      <c r="L20" s="532"/>
      <c r="M20" s="1346"/>
      <c r="N20" s="1346"/>
      <c r="O20" s="131"/>
      <c r="P20" s="131"/>
    </row>
    <row r="21" spans="1:16" x14ac:dyDescent="0.25">
      <c r="B21" s="459" t="s">
        <v>619</v>
      </c>
      <c r="C21" s="459"/>
      <c r="D21" s="217" t="s">
        <v>647</v>
      </c>
      <c r="E21" s="548">
        <f>'STANDARD COMP.'!E20</f>
        <v>0.12</v>
      </c>
      <c r="F21" s="1350">
        <f>IF(F18&lt;=PriceLink_Fitted!P11,"",E21*F18)</f>
        <v>2425302.3775447737</v>
      </c>
      <c r="G21" s="1350"/>
      <c r="H21" s="1350"/>
      <c r="I21" s="131"/>
      <c r="J21" s="217"/>
      <c r="K21" s="217"/>
      <c r="L21" s="532"/>
      <c r="M21" s="533"/>
      <c r="N21" s="533"/>
      <c r="O21" s="131"/>
      <c r="P21" s="131"/>
    </row>
    <row r="22" spans="1:16" x14ac:dyDescent="0.25">
      <c r="B22" s="231"/>
      <c r="C22" s="131"/>
      <c r="D22" s="217"/>
      <c r="E22" s="131"/>
      <c r="F22" s="233"/>
      <c r="G22" s="233"/>
      <c r="H22" s="233"/>
      <c r="I22" s="131"/>
      <c r="J22" s="217"/>
      <c r="K22" s="217"/>
      <c r="L22" s="532"/>
      <c r="M22" s="533"/>
      <c r="N22" s="533"/>
      <c r="O22" s="131"/>
      <c r="P22" s="131"/>
    </row>
    <row r="23" spans="1:16" x14ac:dyDescent="0.25">
      <c r="A23" s="6"/>
      <c r="B23" s="1128" t="s">
        <v>621</v>
      </c>
      <c r="C23" s="1128"/>
      <c r="D23" s="217" t="s">
        <v>647</v>
      </c>
      <c r="E23" s="1355">
        <f>SUM(F21,F20,F18)</f>
        <v>24682824.196784787</v>
      </c>
      <c r="F23" s="1355"/>
      <c r="G23" s="1355"/>
      <c r="H23" s="1355"/>
      <c r="I23" s="133"/>
      <c r="J23" s="253"/>
      <c r="K23" s="131"/>
      <c r="L23" s="132"/>
      <c r="M23" s="131"/>
      <c r="N23" s="131"/>
      <c r="O23" s="131"/>
      <c r="P23" s="131"/>
    </row>
    <row r="24" spans="1:16" s="6" customFormat="1" x14ac:dyDescent="0.25">
      <c r="A24" s="130"/>
      <c r="B24" s="231"/>
      <c r="C24" s="131"/>
      <c r="D24" s="217"/>
      <c r="E24" s="787">
        <f>'STANDARD COMP.'!E24</f>
        <v>0.15</v>
      </c>
      <c r="F24" s="233"/>
      <c r="G24" s="233"/>
      <c r="H24" s="233"/>
      <c r="I24" s="131"/>
      <c r="J24" s="131"/>
      <c r="K24" s="534"/>
      <c r="L24" s="132"/>
      <c r="M24" s="131"/>
      <c r="N24" s="131"/>
      <c r="O24" s="131"/>
      <c r="P24" s="131"/>
    </row>
    <row r="25" spans="1:16" x14ac:dyDescent="0.25">
      <c r="B25" s="231"/>
      <c r="C25" s="131"/>
      <c r="D25" s="217" t="s">
        <v>647</v>
      </c>
      <c r="E25" s="535"/>
      <c r="F25" s="233"/>
      <c r="G25" s="1346"/>
      <c r="H25" s="1346"/>
      <c r="I25" s="131"/>
      <c r="J25" s="133" t="s">
        <v>774</v>
      </c>
      <c r="K25" s="133"/>
      <c r="L25" s="536"/>
      <c r="M25" s="133"/>
      <c r="N25" s="6"/>
      <c r="O25" s="133" t="s">
        <v>775</v>
      </c>
      <c r="P25" s="131"/>
    </row>
    <row r="26" spans="1:16" x14ac:dyDescent="0.25">
      <c r="A26" s="6"/>
      <c r="B26" s="1356" t="s">
        <v>900</v>
      </c>
      <c r="C26" s="1356"/>
      <c r="D26" s="217" t="s">
        <v>647</v>
      </c>
      <c r="E26" s="537">
        <f>IF(E24&gt;25%,E24,25%)</f>
        <v>0.25</v>
      </c>
      <c r="F26" s="1357">
        <f>E26*E23</f>
        <v>6170706.0491961967</v>
      </c>
      <c r="G26" s="1358"/>
      <c r="H26" s="1359"/>
      <c r="I26" s="133"/>
      <c r="J26" s="131"/>
      <c r="K26" s="131"/>
      <c r="L26" s="527"/>
      <c r="M26" s="131"/>
      <c r="N26" s="131"/>
      <c r="O26" s="131"/>
      <c r="P26" s="131"/>
    </row>
    <row r="27" spans="1:16" s="6" customFormat="1" x14ac:dyDescent="0.2">
      <c r="B27" s="1113" t="s">
        <v>714</v>
      </c>
      <c r="C27" s="1113"/>
      <c r="D27" s="217" t="str">
        <f>D26</f>
        <v>:</v>
      </c>
      <c r="E27" s="538"/>
      <c r="F27" s="1360">
        <f>SUM(FORM!T26:T28)</f>
        <v>0</v>
      </c>
      <c r="G27" s="1361"/>
      <c r="H27" s="1362"/>
      <c r="I27" s="133"/>
      <c r="J27" s="133"/>
      <c r="K27" s="133"/>
      <c r="L27" s="498"/>
      <c r="M27" s="133"/>
      <c r="N27" s="133"/>
      <c r="O27" s="133"/>
      <c r="P27" s="133"/>
    </row>
    <row r="28" spans="1:16" s="6" customFormat="1" x14ac:dyDescent="0.2">
      <c r="B28" s="1113" t="s">
        <v>716</v>
      </c>
      <c r="C28" s="1113"/>
      <c r="D28" s="217" t="s">
        <v>647</v>
      </c>
      <c r="E28" s="539"/>
      <c r="F28" s="1363">
        <f>'STANDARD COMP.'!F26</f>
        <v>50000</v>
      </c>
      <c r="G28" s="1364"/>
      <c r="H28" s="1365"/>
      <c r="I28" s="133"/>
      <c r="J28" s="1135" t="str">
        <f>FORM!G32</f>
        <v>Seller</v>
      </c>
      <c r="K28" s="1135"/>
      <c r="L28" s="1135"/>
      <c r="M28" s="133"/>
      <c r="N28" s="133"/>
      <c r="O28" s="1135">
        <f>FORM!G30</f>
        <v>0</v>
      </c>
      <c r="P28" s="1135"/>
    </row>
    <row r="29" spans="1:16" s="6" customFormat="1" x14ac:dyDescent="0.25">
      <c r="A29" s="130"/>
      <c r="B29" s="1128" t="s">
        <v>901</v>
      </c>
      <c r="C29" s="1128"/>
      <c r="D29" s="217" t="s">
        <v>647</v>
      </c>
      <c r="E29" s="541"/>
      <c r="F29" s="1353">
        <f>F26-(F27+F28)</f>
        <v>6120706.0491961967</v>
      </c>
      <c r="G29" s="1353"/>
      <c r="H29" s="1354"/>
      <c r="I29" s="131"/>
      <c r="J29" s="146" t="s">
        <v>776</v>
      </c>
      <c r="K29" s="146"/>
      <c r="L29" s="540"/>
      <c r="M29" s="131"/>
      <c r="N29" s="131"/>
      <c r="O29" s="146" t="s">
        <v>777</v>
      </c>
      <c r="P29" s="295"/>
    </row>
    <row r="30" spans="1:16" x14ac:dyDescent="0.25">
      <c r="A30" s="6"/>
      <c r="B30" s="231"/>
      <c r="C30" s="131"/>
      <c r="D30" s="217"/>
      <c r="E30" s="131"/>
      <c r="F30" s="296"/>
      <c r="G30" s="296"/>
      <c r="H30" s="296"/>
      <c r="I30" s="133"/>
      <c r="J30" s="131"/>
      <c r="K30" s="131"/>
      <c r="L30" s="542"/>
      <c r="M30" s="131"/>
      <c r="N30" s="131"/>
      <c r="O30" s="131"/>
      <c r="P30" s="131"/>
    </row>
    <row r="31" spans="1:16" s="6" customFormat="1" x14ac:dyDescent="0.25">
      <c r="A31" s="130"/>
      <c r="B31" s="187" t="s">
        <v>724</v>
      </c>
      <c r="C31" s="142"/>
      <c r="D31" s="217" t="s">
        <v>647</v>
      </c>
      <c r="E31" s="543">
        <f>100%-E26</f>
        <v>0.75</v>
      </c>
      <c r="F31" s="1352">
        <f>E23*E31</f>
        <v>18512118.147588588</v>
      </c>
      <c r="G31" s="1353"/>
      <c r="H31" s="1354"/>
      <c r="I31" s="131"/>
      <c r="J31" s="131"/>
      <c r="K31" s="131"/>
      <c r="L31" s="542"/>
      <c r="M31" s="131"/>
      <c r="N31" s="131"/>
      <c r="O31" s="131"/>
      <c r="P31" s="131"/>
    </row>
    <row r="32" spans="1:16" x14ac:dyDescent="0.25">
      <c r="B32" s="231"/>
      <c r="C32" s="131"/>
      <c r="D32" s="217"/>
      <c r="E32" s="131"/>
      <c r="F32" s="131"/>
      <c r="G32" s="131"/>
      <c r="H32" s="131"/>
      <c r="I32" s="131"/>
      <c r="J32" s="131"/>
      <c r="K32" s="131"/>
      <c r="L32" s="132"/>
      <c r="M32" s="131"/>
      <c r="N32" s="131"/>
      <c r="O32" s="131"/>
      <c r="P32" s="131"/>
    </row>
    <row r="33" spans="2:9" x14ac:dyDescent="0.25">
      <c r="B33" s="111"/>
      <c r="C33" s="131"/>
      <c r="D33" s="217"/>
      <c r="E33" s="131"/>
      <c r="F33" s="131"/>
      <c r="G33" s="131"/>
      <c r="H33" s="131"/>
      <c r="I33" s="131"/>
    </row>
    <row r="34" spans="2:9" x14ac:dyDescent="0.25">
      <c r="B34" s="142" t="s">
        <v>727</v>
      </c>
      <c r="C34" s="142"/>
      <c r="D34" s="324"/>
      <c r="E34" s="324"/>
      <c r="F34" s="324"/>
      <c r="G34" s="324"/>
      <c r="H34" s="324"/>
      <c r="I34" s="131"/>
    </row>
    <row r="35" spans="2:9" x14ac:dyDescent="0.25">
      <c r="B35" s="111"/>
      <c r="C35" s="131"/>
      <c r="D35" s="217"/>
      <c r="E35" s="131"/>
      <c r="F35" s="131"/>
      <c r="G35" s="131"/>
      <c r="H35" s="131"/>
      <c r="I35" s="131"/>
    </row>
    <row r="36" spans="2:9" x14ac:dyDescent="0.25">
      <c r="B36" s="434" t="s">
        <v>730</v>
      </c>
      <c r="C36" s="434" t="s">
        <v>731</v>
      </c>
      <c r="D36" s="434" t="s">
        <v>732</v>
      </c>
      <c r="E36" s="434" t="s">
        <v>733</v>
      </c>
      <c r="F36" s="1116" t="s">
        <v>734</v>
      </c>
      <c r="G36" s="1116"/>
      <c r="H36" s="1116"/>
      <c r="I36" s="131"/>
    </row>
    <row r="37" spans="2:9" x14ac:dyDescent="0.25">
      <c r="B37" s="490">
        <v>5</v>
      </c>
      <c r="C37" s="491">
        <v>7.0000000000000007E-2</v>
      </c>
      <c r="D37" s="492">
        <f>PMT(C37/12,B37*12,-1)</f>
        <v>1.9801198540349535E-2</v>
      </c>
      <c r="E37" s="493">
        <f>F31*D37</f>
        <v>366562.12684280932</v>
      </c>
      <c r="F37" s="1114">
        <f>E37/0.33</f>
        <v>1110794.3237660888</v>
      </c>
      <c r="G37" s="1114"/>
      <c r="H37" s="1114"/>
      <c r="I37" s="131"/>
    </row>
    <row r="38" spans="2:9" x14ac:dyDescent="0.25">
      <c r="B38" s="490">
        <v>10</v>
      </c>
      <c r="C38" s="544">
        <v>7.0000000000000007E-2</v>
      </c>
      <c r="D38" s="492">
        <f>PMT(C38/12,B38*12,-1)</f>
        <v>1.1610847921862406E-2</v>
      </c>
      <c r="E38" s="493">
        <f>F31*D38</f>
        <v>214941.38852320029</v>
      </c>
      <c r="F38" s="1114">
        <f>E38/0.33</f>
        <v>651337.54097939481</v>
      </c>
      <c r="G38" s="1114"/>
      <c r="H38" s="1114"/>
      <c r="I38" s="131"/>
    </row>
    <row r="39" spans="2:9" x14ac:dyDescent="0.25">
      <c r="B39" s="490">
        <v>15</v>
      </c>
      <c r="C39" s="544">
        <v>7.0000000000000007E-2</v>
      </c>
      <c r="D39" s="492">
        <f>PMT(C39/12,B39*12,-1)</f>
        <v>8.988282708524269E-3</v>
      </c>
      <c r="E39" s="493">
        <f>F31*D39</f>
        <v>166392.15144412883</v>
      </c>
      <c r="F39" s="1114">
        <f>E39/0.33</f>
        <v>504218.64073978428</v>
      </c>
      <c r="G39" s="1114"/>
      <c r="H39" s="1114"/>
      <c r="I39" s="131"/>
    </row>
    <row r="40" spans="2:9" x14ac:dyDescent="0.25">
      <c r="B40" s="490">
        <v>20</v>
      </c>
      <c r="C40" s="544">
        <v>7.0000000000000007E-2</v>
      </c>
      <c r="D40" s="492">
        <f>PMT(C40/12,B40*12,-1)</f>
        <v>7.7529893561887461E-3</v>
      </c>
      <c r="E40" s="493">
        <f>F31*D40</f>
        <v>143524.25495876285</v>
      </c>
      <c r="F40" s="1114">
        <f>E40/0.33</f>
        <v>434921.98472352372</v>
      </c>
      <c r="G40" s="1114"/>
      <c r="H40" s="1114"/>
      <c r="I40" s="131"/>
    </row>
    <row r="41" spans="2:9" x14ac:dyDescent="0.25">
      <c r="B41" s="523" t="s">
        <v>740</v>
      </c>
      <c r="D41" s="130"/>
      <c r="F41" s="131"/>
      <c r="G41" s="131"/>
      <c r="H41" s="131"/>
      <c r="I41" s="131"/>
    </row>
    <row r="42" spans="2:9" x14ac:dyDescent="0.25">
      <c r="B42" s="523" t="s">
        <v>742</v>
      </c>
      <c r="D42" s="217"/>
      <c r="E42" s="131"/>
      <c r="F42" s="131"/>
      <c r="G42" s="131"/>
      <c r="H42" s="131"/>
      <c r="I42" s="131"/>
    </row>
    <row r="43" spans="2:9" x14ac:dyDescent="0.25">
      <c r="B43" s="291" t="s">
        <v>744</v>
      </c>
      <c r="C43" s="495"/>
      <c r="D43" s="217"/>
      <c r="E43" s="131"/>
      <c r="F43" s="131"/>
      <c r="G43" s="131"/>
      <c r="H43" s="131"/>
      <c r="I43" s="131"/>
    </row>
    <row r="44" spans="2:9" x14ac:dyDescent="0.25">
      <c r="B44" s="291" t="s">
        <v>746</v>
      </c>
      <c r="C44" s="131"/>
      <c r="D44" s="217"/>
      <c r="E44" s="131"/>
      <c r="F44" s="131"/>
      <c r="G44" s="131"/>
      <c r="H44" s="131"/>
      <c r="I44" s="131"/>
    </row>
    <row r="45" spans="2:9" x14ac:dyDescent="0.25">
      <c r="C45" s="495"/>
      <c r="D45" s="217"/>
      <c r="E45" s="131"/>
      <c r="F45" s="131"/>
      <c r="G45" s="131"/>
      <c r="H45" s="131"/>
      <c r="I45" s="131"/>
    </row>
    <row r="46" spans="2:9" x14ac:dyDescent="0.25">
      <c r="C46" s="131"/>
      <c r="D46" s="130"/>
      <c r="I46" s="131"/>
    </row>
    <row r="47" spans="2:9" x14ac:dyDescent="0.25">
      <c r="B47" s="142" t="s">
        <v>749</v>
      </c>
      <c r="C47" s="142"/>
      <c r="D47" s="324"/>
      <c r="E47" s="324"/>
      <c r="F47" s="324"/>
      <c r="G47" s="324"/>
      <c r="H47" s="324"/>
    </row>
    <row r="48" spans="2:9" x14ac:dyDescent="0.25">
      <c r="B48" s="324"/>
      <c r="C48" s="324"/>
      <c r="D48" s="324"/>
      <c r="E48" s="324"/>
      <c r="F48" s="324"/>
      <c r="G48" s="324"/>
      <c r="H48" s="324"/>
    </row>
    <row r="49" spans="1:9" x14ac:dyDescent="0.25">
      <c r="B49" s="1277" t="s">
        <v>752</v>
      </c>
      <c r="C49" s="1277"/>
      <c r="D49" s="1277" t="s">
        <v>753</v>
      </c>
      <c r="E49" s="1277"/>
      <c r="F49" s="1277"/>
      <c r="G49" s="1277" t="s">
        <v>754</v>
      </c>
      <c r="H49" s="1277"/>
      <c r="I49" s="131"/>
    </row>
    <row r="50" spans="1:9" ht="15" customHeight="1" x14ac:dyDescent="0.25">
      <c r="B50" s="1175">
        <f>'STANDARD COMP.'!B48</f>
        <v>0</v>
      </c>
      <c r="C50" s="1176"/>
      <c r="D50" s="1175">
        <f>'STANDARD COMP.'!D48:D48</f>
        <v>0</v>
      </c>
      <c r="E50" s="1180"/>
      <c r="F50" s="1176"/>
      <c r="G50" s="1366">
        <f>'STANDARD COMP.'!G48</f>
        <v>0</v>
      </c>
      <c r="H50" s="1367"/>
      <c r="I50" s="131"/>
    </row>
    <row r="51" spans="1:9" ht="14.25" customHeight="1" x14ac:dyDescent="0.25">
      <c r="B51" s="1177"/>
      <c r="C51" s="1178"/>
      <c r="D51" s="1177"/>
      <c r="E51" s="1181"/>
      <c r="F51" s="1178"/>
      <c r="G51" s="1368"/>
      <c r="H51" s="1369"/>
      <c r="I51" s="131"/>
    </row>
    <row r="52" spans="1:9" ht="15" customHeight="1" x14ac:dyDescent="0.25">
      <c r="B52" s="1175">
        <f>'STANDARD COMP.'!B50</f>
        <v>0</v>
      </c>
      <c r="C52" s="1176"/>
      <c r="D52" s="1175">
        <f>'STANDARD COMP.'!D50:D50</f>
        <v>0</v>
      </c>
      <c r="E52" s="1180"/>
      <c r="F52" s="1176"/>
      <c r="G52" s="1366">
        <f>'STANDARD COMP.'!G50</f>
        <v>0</v>
      </c>
      <c r="H52" s="1367"/>
      <c r="I52" s="463"/>
    </row>
    <row r="53" spans="1:9" ht="14.25" customHeight="1" x14ac:dyDescent="0.25">
      <c r="A53" s="545" t="e">
        <f>(F18-(F27+#REF!))*12%</f>
        <v>#REF!</v>
      </c>
      <c r="B53" s="1177"/>
      <c r="C53" s="1178"/>
      <c r="D53" s="1177"/>
      <c r="E53" s="1181"/>
      <c r="F53" s="1178"/>
      <c r="G53" s="1368"/>
      <c r="H53" s="1369"/>
      <c r="I53" s="131"/>
    </row>
    <row r="54" spans="1:9" ht="15" customHeight="1" x14ac:dyDescent="0.25">
      <c r="B54" s="1175">
        <f>'STANDARD COMP.'!B52</f>
        <v>0</v>
      </c>
      <c r="C54" s="1176"/>
      <c r="D54" s="1175">
        <f>'STANDARD COMP.'!D52:D52</f>
        <v>0</v>
      </c>
      <c r="E54" s="1180"/>
      <c r="F54" s="1176"/>
      <c r="G54" s="1366">
        <f>'STANDARD COMP.'!G52</f>
        <v>0</v>
      </c>
      <c r="H54" s="1367"/>
      <c r="I54" s="131"/>
    </row>
    <row r="55" spans="1:9" ht="14.25" customHeight="1" x14ac:dyDescent="0.25">
      <c r="B55" s="1177"/>
      <c r="C55" s="1178"/>
      <c r="D55" s="1177"/>
      <c r="E55" s="1181"/>
      <c r="F55" s="1178"/>
      <c r="G55" s="1368"/>
      <c r="H55" s="1369"/>
    </row>
    <row r="56" spans="1:9" ht="15" customHeight="1" x14ac:dyDescent="0.25">
      <c r="B56" s="1175">
        <f>'STANDARD COMP.'!B54</f>
        <v>0</v>
      </c>
      <c r="C56" s="1176"/>
      <c r="D56" s="1175">
        <f>'STANDARD COMP.'!D54:D54</f>
        <v>0</v>
      </c>
      <c r="E56" s="1180"/>
      <c r="F56" s="1176"/>
      <c r="G56" s="1366">
        <f>'STANDARD COMP.'!G54</f>
        <v>0</v>
      </c>
      <c r="H56" s="1367"/>
    </row>
    <row r="57" spans="1:9" ht="11.25" customHeight="1" x14ac:dyDescent="0.25">
      <c r="B57" s="1177"/>
      <c r="C57" s="1178"/>
      <c r="D57" s="1177"/>
      <c r="E57" s="1181"/>
      <c r="F57" s="1178"/>
      <c r="G57" s="1368"/>
      <c r="H57" s="1369"/>
    </row>
    <row r="58" spans="1:9" ht="15" customHeight="1" x14ac:dyDescent="0.25">
      <c r="B58" s="1175">
        <f>'STANDARD COMP.'!B56</f>
        <v>0</v>
      </c>
      <c r="C58" s="1176"/>
      <c r="D58" s="1175">
        <f>'STANDARD COMP.'!D56:D56</f>
        <v>0</v>
      </c>
      <c r="E58" s="1180"/>
      <c r="F58" s="1176"/>
      <c r="G58" s="1366">
        <f>'STANDARD COMP.'!G56</f>
        <v>0</v>
      </c>
      <c r="H58" s="1367"/>
    </row>
    <row r="59" spans="1:9" ht="14.25" customHeight="1" x14ac:dyDescent="0.25">
      <c r="B59" s="1177"/>
      <c r="C59" s="1178"/>
      <c r="D59" s="1177"/>
      <c r="E59" s="1181"/>
      <c r="F59" s="1178"/>
      <c r="G59" s="1368"/>
      <c r="H59" s="1369"/>
    </row>
    <row r="60" spans="1:9" ht="15" customHeight="1" x14ac:dyDescent="0.25">
      <c r="B60" s="1175">
        <f>'STANDARD COMP.'!B58</f>
        <v>0</v>
      </c>
      <c r="C60" s="1176"/>
      <c r="D60" s="1175">
        <f>'STANDARD COMP.'!D58:D58</f>
        <v>0</v>
      </c>
      <c r="E60" s="1180"/>
      <c r="F60" s="1176"/>
      <c r="G60" s="1366">
        <f>'STANDARD COMP.'!G58</f>
        <v>0</v>
      </c>
      <c r="H60" s="1367"/>
    </row>
    <row r="61" spans="1:9" ht="14.25" customHeight="1" x14ac:dyDescent="0.25">
      <c r="B61" s="1177"/>
      <c r="C61" s="1178"/>
      <c r="D61" s="1177"/>
      <c r="E61" s="1181"/>
      <c r="F61" s="1178"/>
      <c r="G61" s="1368"/>
      <c r="H61" s="1369"/>
    </row>
    <row r="62" spans="1:9" x14ac:dyDescent="0.25">
      <c r="B62" s="217"/>
      <c r="C62" s="217"/>
      <c r="D62" s="546"/>
      <c r="E62" s="546"/>
      <c r="F62" s="546"/>
      <c r="G62" s="217"/>
      <c r="H62" s="217"/>
    </row>
    <row r="63" spans="1:9" x14ac:dyDescent="0.25">
      <c r="B63" s="496"/>
      <c r="C63" s="496" t="s">
        <v>902</v>
      </c>
      <c r="D63" s="1179"/>
      <c r="E63" s="1179"/>
      <c r="F63" s="1179"/>
      <c r="G63" s="217"/>
      <c r="H63" s="217"/>
    </row>
    <row r="64" spans="1:9" x14ac:dyDescent="0.25">
      <c r="B64" s="217"/>
      <c r="C64" s="217"/>
      <c r="D64" s="546"/>
      <c r="E64" s="546"/>
      <c r="F64" s="546"/>
      <c r="G64" s="217"/>
      <c r="H64" s="217"/>
    </row>
    <row r="66" spans="2:8" x14ac:dyDescent="0.25">
      <c r="B66" s="133" t="s">
        <v>774</v>
      </c>
      <c r="C66" s="133"/>
      <c r="D66" s="536"/>
      <c r="E66" s="133"/>
      <c r="F66" s="133" t="s">
        <v>775</v>
      </c>
      <c r="G66" s="131"/>
    </row>
    <row r="67" spans="2:8" x14ac:dyDescent="0.25">
      <c r="B67" s="131"/>
      <c r="C67" s="131"/>
      <c r="D67" s="527"/>
      <c r="E67" s="131"/>
      <c r="F67" s="131"/>
      <c r="G67" s="131"/>
    </row>
    <row r="68" spans="2:8" x14ac:dyDescent="0.25">
      <c r="B68" s="133"/>
      <c r="C68" s="133"/>
      <c r="D68" s="498"/>
      <c r="E68" s="133"/>
      <c r="F68" s="133"/>
      <c r="G68" s="133"/>
    </row>
    <row r="69" spans="2:8" x14ac:dyDescent="0.25">
      <c r="B69" s="1135" t="str">
        <f>FORM!G32</f>
        <v>Seller</v>
      </c>
      <c r="C69" s="1135"/>
      <c r="D69" s="1135"/>
      <c r="E69" s="133"/>
      <c r="F69" s="1370">
        <f>FORM!G30</f>
        <v>0</v>
      </c>
      <c r="G69" s="1370"/>
      <c r="H69" s="1370"/>
    </row>
    <row r="70" spans="2:8" x14ac:dyDescent="0.25">
      <c r="B70" s="146" t="s">
        <v>776</v>
      </c>
      <c r="C70" s="146"/>
      <c r="D70" s="540"/>
      <c r="E70" s="131"/>
      <c r="F70" s="295" t="s">
        <v>777</v>
      </c>
      <c r="G70" s="295"/>
      <c r="H70" s="194"/>
    </row>
  </sheetData>
  <sheetProtection selectLockedCells="1" selectUnlockedCells="1"/>
  <mergeCells count="88">
    <mergeCell ref="B16:C16"/>
    <mergeCell ref="F15:H15"/>
    <mergeCell ref="F16:H16"/>
    <mergeCell ref="F17:H17"/>
    <mergeCell ref="F18:H18"/>
    <mergeCell ref="F40:H40"/>
    <mergeCell ref="B60:C61"/>
    <mergeCell ref="B56:C57"/>
    <mergeCell ref="D56:F57"/>
    <mergeCell ref="G56:H57"/>
    <mergeCell ref="B58:C59"/>
    <mergeCell ref="D58:F59"/>
    <mergeCell ref="G58:H59"/>
    <mergeCell ref="B54:C55"/>
    <mergeCell ref="D54:F55"/>
    <mergeCell ref="G54:H55"/>
    <mergeCell ref="D52:F53"/>
    <mergeCell ref="G52:H53"/>
    <mergeCell ref="B69:D69"/>
    <mergeCell ref="J28:L28"/>
    <mergeCell ref="F28:H28"/>
    <mergeCell ref="B49:C49"/>
    <mergeCell ref="D49:F49"/>
    <mergeCell ref="G49:H49"/>
    <mergeCell ref="D60:F61"/>
    <mergeCell ref="G60:H61"/>
    <mergeCell ref="D63:F63"/>
    <mergeCell ref="B50:C51"/>
    <mergeCell ref="D50:F51"/>
    <mergeCell ref="G50:H51"/>
    <mergeCell ref="B52:C53"/>
    <mergeCell ref="B29:C29"/>
    <mergeCell ref="F29:H29"/>
    <mergeCell ref="F69:H69"/>
    <mergeCell ref="B23:C23"/>
    <mergeCell ref="E23:H23"/>
    <mergeCell ref="B28:C28"/>
    <mergeCell ref="B26:C26"/>
    <mergeCell ref="B27:C27"/>
    <mergeCell ref="G25:H25"/>
    <mergeCell ref="F26:H26"/>
    <mergeCell ref="F27:H27"/>
    <mergeCell ref="F21:H21"/>
    <mergeCell ref="F20:H20"/>
    <mergeCell ref="F37:H37"/>
    <mergeCell ref="F38:H38"/>
    <mergeCell ref="F39:H39"/>
    <mergeCell ref="F36:H36"/>
    <mergeCell ref="F31:H31"/>
    <mergeCell ref="O28:P28"/>
    <mergeCell ref="J18:K18"/>
    <mergeCell ref="M18:N18"/>
    <mergeCell ref="J20:K20"/>
    <mergeCell ref="M20:N20"/>
    <mergeCell ref="J19:K19"/>
    <mergeCell ref="M19:N19"/>
    <mergeCell ref="O18:P18"/>
    <mergeCell ref="O19:P19"/>
    <mergeCell ref="G2:H2"/>
    <mergeCell ref="E13:F13"/>
    <mergeCell ref="M13:N13"/>
    <mergeCell ref="E6:H6"/>
    <mergeCell ref="M6:P6"/>
    <mergeCell ref="E7:H7"/>
    <mergeCell ref="M7:P7"/>
    <mergeCell ref="E8:H8"/>
    <mergeCell ref="M8:P8"/>
    <mergeCell ref="O3:P3"/>
    <mergeCell ref="B4:H4"/>
    <mergeCell ref="J4:P4"/>
    <mergeCell ref="E11:F11"/>
    <mergeCell ref="M11:N11"/>
    <mergeCell ref="B9:C9"/>
    <mergeCell ref="B10:C10"/>
    <mergeCell ref="G10:H10"/>
    <mergeCell ref="E10:F10"/>
    <mergeCell ref="M10:N10"/>
    <mergeCell ref="E9:H9"/>
    <mergeCell ref="M9:P9"/>
    <mergeCell ref="E12:F12"/>
    <mergeCell ref="M12:N12"/>
    <mergeCell ref="M15:N16"/>
    <mergeCell ref="O15:P16"/>
    <mergeCell ref="O17:P17"/>
    <mergeCell ref="M17:N17"/>
    <mergeCell ref="L15:L16"/>
    <mergeCell ref="J15:K16"/>
    <mergeCell ref="J17:K17"/>
  </mergeCells>
  <pageMargins left="0.70866141732283472" right="0.70866141732283472" top="1.1811023622047245" bottom="0.74803149606299213" header="0.31496062992125984" footer="0.31496062992125984"/>
  <pageSetup paperSize="14" scale="80" orientation="portrait" r:id="rId1"/>
  <headerFooter>
    <oddHeader xml:space="preserve">&amp;R&amp;"Century Gothic,Bold"&amp;18ANNEX A: 
SAMPLE PACKAGE COMPUTATION
</oddHeader>
  </headerFooter>
  <colBreaks count="1" manualBreakCount="1">
    <brk id="8" max="70" man="1"/>
  </colBreaks>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9313C6-3D40-41FC-8442-1064FBC5826B}">
  <sheetPr codeName="Sheet29"/>
  <dimension ref="A1:U80"/>
  <sheetViews>
    <sheetView showGridLines="0" showZeros="0" view="pageBreakPreview" zoomScale="115" zoomScaleNormal="100" zoomScaleSheetLayoutView="115" workbookViewId="0">
      <selection activeCell="R26" sqref="R26"/>
    </sheetView>
  </sheetViews>
  <sheetFormatPr defaultColWidth="9.28515625" defaultRowHeight="16.5" x14ac:dyDescent="0.3"/>
  <cols>
    <col min="1" max="1" width="3.28515625" style="5" customWidth="1"/>
    <col min="2" max="2" width="1.28515625" style="5" customWidth="1"/>
    <col min="3" max="3" width="4.5703125" style="5" customWidth="1"/>
    <col min="4" max="4" width="2.7109375" style="5" customWidth="1"/>
    <col min="5" max="5" width="7" style="5" customWidth="1"/>
    <col min="6" max="6" width="4.28515625" style="5" customWidth="1"/>
    <col min="7" max="7" width="3.42578125" style="5" customWidth="1"/>
    <col min="8" max="8" width="3.28515625" style="5" customWidth="1"/>
    <col min="9" max="9" width="5.28515625" style="5" customWidth="1"/>
    <col min="10" max="10" width="3.28515625" style="5" customWidth="1"/>
    <col min="11" max="11" width="4.7109375" style="5" customWidth="1"/>
    <col min="12" max="12" width="5.7109375" style="5" customWidth="1"/>
    <col min="13" max="13" width="7" style="5" customWidth="1"/>
    <col min="14" max="14" width="3.28515625" style="5" customWidth="1"/>
    <col min="15" max="15" width="4.42578125" style="5" customWidth="1"/>
    <col min="16" max="16" width="7" style="5" customWidth="1"/>
    <col min="17" max="17" width="5.28515625" style="5" customWidth="1"/>
    <col min="18" max="18" width="15.7109375" style="5" customWidth="1"/>
    <col min="19" max="19" width="2.42578125" style="5" customWidth="1"/>
    <col min="20" max="20" width="12.7109375" style="5" customWidth="1"/>
    <col min="21" max="21" width="1.28515625" style="5" customWidth="1"/>
    <col min="22" max="16384" width="9.28515625" style="5"/>
  </cols>
  <sheetData>
    <row r="1" spans="1:21" ht="7.5" customHeight="1" x14ac:dyDescent="0.3">
      <c r="U1" s="58"/>
    </row>
    <row r="2" spans="1:21" s="18" customFormat="1" ht="14.25" x14ac:dyDescent="0.3">
      <c r="A2" s="18" t="s">
        <v>778</v>
      </c>
      <c r="C2" s="1227">
        <f>FORM!G22</f>
        <v>45870</v>
      </c>
      <c r="D2" s="1227"/>
      <c r="E2" s="1227"/>
      <c r="F2" s="1227"/>
    </row>
    <row r="3" spans="1:21" s="18" customFormat="1" ht="13.5" x14ac:dyDescent="0.3"/>
    <row r="4" spans="1:21" s="18" customFormat="1" ht="14.25" x14ac:dyDescent="0.3">
      <c r="A4" s="655" t="s">
        <v>779</v>
      </c>
    </row>
    <row r="5" spans="1:21" s="18" customFormat="1" ht="9" customHeight="1" x14ac:dyDescent="0.3"/>
    <row r="6" spans="1:21" s="18" customFormat="1" ht="16.5" customHeight="1" x14ac:dyDescent="0.3">
      <c r="A6" s="1228" t="s">
        <v>780</v>
      </c>
      <c r="B6" s="1228"/>
      <c r="C6" s="1228"/>
      <c r="D6" s="1228"/>
      <c r="E6" s="1228"/>
      <c r="F6" s="1228"/>
      <c r="G6" s="1228"/>
      <c r="H6" s="1228"/>
      <c r="I6" s="1228"/>
      <c r="J6" s="1228"/>
      <c r="K6" s="1228"/>
      <c r="L6" s="1228"/>
      <c r="M6" s="1228"/>
      <c r="N6" s="1228"/>
      <c r="O6" s="1228"/>
      <c r="P6" s="1228"/>
      <c r="Q6" s="1228"/>
      <c r="R6" s="1228"/>
      <c r="S6" s="1228"/>
      <c r="T6" s="1228"/>
      <c r="U6" s="1228"/>
    </row>
    <row r="7" spans="1:21" ht="8.25" customHeight="1" x14ac:dyDescent="0.3">
      <c r="A7" s="21"/>
      <c r="B7" s="21"/>
      <c r="C7" s="21"/>
      <c r="D7" s="21"/>
      <c r="E7" s="21"/>
      <c r="F7" s="21"/>
      <c r="G7" s="21"/>
      <c r="H7" s="21"/>
      <c r="I7" s="21"/>
      <c r="J7" s="21"/>
      <c r="K7" s="21"/>
      <c r="L7" s="21"/>
      <c r="M7" s="21"/>
      <c r="N7" s="21"/>
      <c r="O7" s="21"/>
      <c r="P7" s="21"/>
      <c r="Q7" s="21"/>
      <c r="R7" s="21"/>
      <c r="S7" s="21"/>
      <c r="T7" s="21"/>
      <c r="U7" s="21"/>
    </row>
    <row r="8" spans="1:21" x14ac:dyDescent="0.3">
      <c r="A8" s="25" t="s">
        <v>781</v>
      </c>
      <c r="B8" s="26"/>
      <c r="C8" s="26"/>
      <c r="D8" s="24"/>
      <c r="E8" s="1229" t="str">
        <f>FORM!G11</f>
        <v>WEECOMM CENTRE</v>
      </c>
      <c r="F8" s="1229"/>
      <c r="G8" s="1229"/>
      <c r="H8" s="1229"/>
      <c r="I8" s="1229"/>
      <c r="J8" s="1229"/>
      <c r="K8" s="1229"/>
      <c r="L8" s="1229"/>
      <c r="M8" s="1229"/>
      <c r="N8" s="1229"/>
      <c r="O8" s="1229"/>
      <c r="P8" s="1229"/>
      <c r="Q8" s="1229"/>
      <c r="R8" s="1229"/>
      <c r="S8" s="1229"/>
      <c r="T8" s="1229"/>
      <c r="U8" s="62"/>
    </row>
    <row r="9" spans="1:21" x14ac:dyDescent="0.3">
      <c r="A9" s="27" t="s">
        <v>782</v>
      </c>
      <c r="B9" s="28"/>
      <c r="C9" s="28"/>
      <c r="D9" s="29"/>
      <c r="E9" s="30" t="s">
        <v>783</v>
      </c>
      <c r="F9" s="29"/>
      <c r="G9" s="29"/>
      <c r="H9" s="29"/>
      <c r="I9" s="29"/>
      <c r="J9" s="29"/>
      <c r="K9" s="29"/>
      <c r="L9" s="60"/>
      <c r="M9" s="29"/>
      <c r="N9" s="29"/>
      <c r="O9" s="29"/>
      <c r="P9" s="29"/>
      <c r="Q9" s="29"/>
      <c r="R9" s="29"/>
      <c r="S9" s="29"/>
      <c r="T9" s="30"/>
      <c r="U9" s="59"/>
    </row>
    <row r="10" spans="1:21" x14ac:dyDescent="0.3">
      <c r="A10" s="31"/>
      <c r="B10" s="8"/>
      <c r="C10" s="8"/>
      <c r="D10" s="8"/>
      <c r="E10" s="32"/>
      <c r="F10" s="8"/>
      <c r="G10" s="8"/>
      <c r="H10" s="8"/>
      <c r="I10" s="8"/>
      <c r="J10" s="8"/>
      <c r="K10" s="8"/>
      <c r="L10" s="32"/>
      <c r="M10" s="8"/>
      <c r="N10" s="8"/>
      <c r="O10" s="8"/>
      <c r="P10" s="8"/>
      <c r="Q10" s="8"/>
      <c r="R10" s="8"/>
      <c r="S10" s="8"/>
      <c r="T10" s="32"/>
      <c r="U10" s="33"/>
    </row>
    <row r="11" spans="1:21" ht="7.5" customHeight="1" x14ac:dyDescent="0.3">
      <c r="T11" s="5" t="s">
        <v>660</v>
      </c>
    </row>
    <row r="12" spans="1:21" x14ac:dyDescent="0.3">
      <c r="A12" s="1230" t="s">
        <v>784</v>
      </c>
      <c r="B12" s="1231"/>
      <c r="C12" s="1231"/>
      <c r="D12" s="1231"/>
      <c r="E12" s="1231"/>
      <c r="F12" s="1232"/>
      <c r="G12" s="1230" t="s">
        <v>267</v>
      </c>
      <c r="H12" s="1231"/>
      <c r="I12" s="1231"/>
      <c r="J12" s="1231"/>
      <c r="K12" s="1231"/>
      <c r="L12" s="1232"/>
      <c r="M12" s="1230" t="s">
        <v>785</v>
      </c>
      <c r="N12" s="1231"/>
      <c r="O12" s="1231"/>
      <c r="P12" s="1231"/>
      <c r="Q12" s="1232"/>
      <c r="R12" s="1230" t="s">
        <v>786</v>
      </c>
      <c r="S12" s="1231"/>
      <c r="T12" s="1231"/>
      <c r="U12" s="1232"/>
    </row>
    <row r="13" spans="1:21" x14ac:dyDescent="0.3">
      <c r="A13" s="40" t="s">
        <v>787</v>
      </c>
      <c r="B13" s="41"/>
      <c r="C13" s="41"/>
      <c r="D13" s="1193">
        <f>RA_Standard!D21</f>
        <v>1</v>
      </c>
      <c r="E13" s="1194"/>
      <c r="F13" s="1195"/>
      <c r="G13" s="40" t="s">
        <v>787</v>
      </c>
      <c r="H13" s="41"/>
      <c r="I13" s="42"/>
      <c r="J13" s="1207"/>
      <c r="K13" s="1208"/>
      <c r="L13" s="1209"/>
      <c r="M13" s="40" t="s">
        <v>788</v>
      </c>
      <c r="N13" s="41"/>
      <c r="O13" s="42"/>
      <c r="P13" s="1210"/>
      <c r="Q13" s="1197"/>
      <c r="R13" s="1211" t="s">
        <v>787</v>
      </c>
      <c r="S13" s="1212"/>
      <c r="T13" s="1213"/>
      <c r="U13" s="1214"/>
    </row>
    <row r="14" spans="1:21" x14ac:dyDescent="0.3">
      <c r="A14" s="36" t="s">
        <v>789</v>
      </c>
      <c r="B14" s="37"/>
      <c r="C14" s="37"/>
      <c r="D14" s="1193" t="str">
        <f>RA_Standard!D22</f>
        <v>GF</v>
      </c>
      <c r="E14" s="1194"/>
      <c r="F14" s="1195"/>
      <c r="G14" s="40" t="s">
        <v>790</v>
      </c>
      <c r="H14" s="41"/>
      <c r="I14" s="42"/>
      <c r="J14" s="1207"/>
      <c r="K14" s="1208"/>
      <c r="L14" s="1209"/>
      <c r="M14" s="40" t="s">
        <v>791</v>
      </c>
      <c r="N14" s="41"/>
      <c r="O14" s="42"/>
      <c r="P14" s="1210"/>
      <c r="Q14" s="1197"/>
      <c r="R14" s="1211" t="s">
        <v>792</v>
      </c>
      <c r="S14" s="1212"/>
      <c r="T14" s="1213"/>
      <c r="U14" s="1214"/>
    </row>
    <row r="15" spans="1:21" x14ac:dyDescent="0.3">
      <c r="A15" s="40" t="s">
        <v>792</v>
      </c>
      <c r="B15" s="41"/>
      <c r="C15" s="42"/>
      <c r="D15" s="1193" t="str">
        <f>RA_Standard!D23</f>
        <v>9G</v>
      </c>
      <c r="E15" s="1194"/>
      <c r="F15" s="1195"/>
      <c r="G15" s="40" t="s">
        <v>793</v>
      </c>
      <c r="H15" s="41"/>
      <c r="I15" s="42"/>
      <c r="J15" s="1207"/>
      <c r="K15" s="1208"/>
      <c r="L15" s="1209"/>
      <c r="M15" s="40" t="s">
        <v>794</v>
      </c>
      <c r="N15" s="41"/>
      <c r="O15" s="42"/>
      <c r="P15" s="1210"/>
      <c r="Q15" s="1197"/>
      <c r="R15" s="1211" t="s">
        <v>795</v>
      </c>
      <c r="S15" s="1212"/>
      <c r="T15" s="1213"/>
      <c r="U15" s="1214"/>
    </row>
    <row r="16" spans="1:21" ht="16.5" customHeight="1" x14ac:dyDescent="0.3">
      <c r="A16" s="36" t="s">
        <v>80</v>
      </c>
      <c r="B16" s="40"/>
      <c r="C16" s="42"/>
      <c r="D16" s="1193">
        <f>RA_Standard!D24</f>
        <v>108.78</v>
      </c>
      <c r="E16" s="1194"/>
      <c r="F16" s="1195"/>
      <c r="G16" s="40" t="s">
        <v>795</v>
      </c>
      <c r="H16" s="41"/>
      <c r="I16" s="42"/>
      <c r="J16" s="1207"/>
      <c r="K16" s="1208"/>
      <c r="L16" s="1209"/>
      <c r="M16" s="36" t="s">
        <v>80</v>
      </c>
      <c r="N16" s="37"/>
      <c r="O16" s="37"/>
      <c r="P16" s="1196"/>
      <c r="Q16" s="1197"/>
      <c r="R16" s="1215" t="s">
        <v>796</v>
      </c>
      <c r="S16" s="1216"/>
      <c r="T16" s="1221"/>
      <c r="U16" s="1222"/>
    </row>
    <row r="17" spans="1:21" ht="16.5" customHeight="1" x14ac:dyDescent="0.3">
      <c r="A17" s="40" t="s">
        <v>797</v>
      </c>
      <c r="B17" s="37"/>
      <c r="C17" s="37"/>
      <c r="D17" s="1193" t="str">
        <f>RA_Standard!D25</f>
        <v>2-BR BARE</v>
      </c>
      <c r="E17" s="1194"/>
      <c r="F17" s="1195"/>
      <c r="G17" s="40" t="s">
        <v>798</v>
      </c>
      <c r="H17" s="41"/>
      <c r="I17" s="42"/>
      <c r="J17" s="698"/>
      <c r="K17" s="699"/>
      <c r="L17" s="700"/>
      <c r="M17" s="36" t="s">
        <v>799</v>
      </c>
      <c r="N17" s="37"/>
      <c r="O17" s="37"/>
      <c r="P17" s="1196"/>
      <c r="Q17" s="1197"/>
      <c r="R17" s="1217"/>
      <c r="S17" s="1218"/>
      <c r="T17" s="1223"/>
      <c r="U17" s="1224"/>
    </row>
    <row r="18" spans="1:21" x14ac:dyDescent="0.3">
      <c r="B18"/>
      <c r="C18"/>
      <c r="D18"/>
      <c r="E18"/>
      <c r="F18"/>
      <c r="G18"/>
      <c r="H18"/>
      <c r="I18"/>
      <c r="J18"/>
      <c r="K18"/>
      <c r="L18"/>
      <c r="M18" s="40" t="s">
        <v>800</v>
      </c>
      <c r="N18" s="41"/>
      <c r="O18" s="42"/>
      <c r="P18" s="1198"/>
      <c r="Q18" s="1195"/>
      <c r="R18" s="1219"/>
      <c r="S18" s="1220"/>
      <c r="T18" s="1225"/>
      <c r="U18" s="1226"/>
    </row>
    <row r="19" spans="1:21" ht="7.5" customHeight="1" x14ac:dyDescent="0.3"/>
    <row r="20" spans="1:21" x14ac:dyDescent="0.3">
      <c r="A20" s="40" t="s">
        <v>37</v>
      </c>
      <c r="B20" s="41"/>
      <c r="C20" s="41"/>
      <c r="D20" s="41"/>
      <c r="E20" s="41"/>
      <c r="F20" s="41"/>
      <c r="G20" s="41"/>
      <c r="H20" s="42"/>
      <c r="I20" s="1199">
        <f>RA_SE7D!I27</f>
        <v>20466686.730335645</v>
      </c>
      <c r="J20" s="1200"/>
      <c r="K20" s="1200"/>
      <c r="L20" s="1200"/>
      <c r="M20" s="1200"/>
      <c r="N20" s="1200"/>
      <c r="O20" s="1200"/>
      <c r="P20" s="1200"/>
      <c r="Q20" s="1200"/>
      <c r="R20" s="1200"/>
      <c r="S20" s="1200"/>
      <c r="T20" s="1200"/>
      <c r="U20" s="1201"/>
    </row>
    <row r="21" spans="1:21" x14ac:dyDescent="0.3">
      <c r="A21" s="40" t="s">
        <v>801</v>
      </c>
      <c r="B21" s="41"/>
      <c r="C21" s="43"/>
      <c r="D21" s="43"/>
      <c r="E21" s="43"/>
      <c r="F21" s="43"/>
      <c r="G21" s="43"/>
      <c r="H21" s="44"/>
      <c r="I21" s="1199">
        <f>RA_SE7D!I28</f>
        <v>0</v>
      </c>
      <c r="J21" s="1200"/>
      <c r="K21" s="1200"/>
      <c r="L21" s="1200"/>
      <c r="M21" s="1200"/>
      <c r="N21" s="1200"/>
      <c r="O21" s="1200"/>
      <c r="P21" s="1200"/>
      <c r="Q21" s="1200"/>
      <c r="R21" s="1200"/>
      <c r="S21" s="1200"/>
      <c r="T21" s="1200"/>
      <c r="U21" s="1201"/>
    </row>
    <row r="22" spans="1:21" x14ac:dyDescent="0.3">
      <c r="A22" s="52" t="s">
        <v>92</v>
      </c>
      <c r="B22" s="53"/>
      <c r="C22" s="54"/>
      <c r="D22" s="54"/>
      <c r="E22" s="54"/>
      <c r="F22" s="54"/>
      <c r="G22" s="54"/>
      <c r="H22" s="51"/>
      <c r="I22" s="1199">
        <f>RA_SE7D!I29</f>
        <v>20210853.14620645</v>
      </c>
      <c r="J22" s="1200"/>
      <c r="K22" s="1200"/>
      <c r="L22" s="1200"/>
      <c r="M22" s="1200"/>
      <c r="N22" s="1200"/>
      <c r="O22" s="1200"/>
      <c r="P22" s="1200"/>
      <c r="Q22" s="1200"/>
      <c r="R22" s="1200"/>
      <c r="S22" s="1200"/>
      <c r="T22" s="1200"/>
      <c r="U22" s="1201"/>
    </row>
    <row r="23" spans="1:21" x14ac:dyDescent="0.3">
      <c r="A23" s="40" t="s">
        <v>802</v>
      </c>
      <c r="B23" s="41"/>
      <c r="C23" s="43"/>
      <c r="D23" s="43"/>
      <c r="E23" s="43"/>
      <c r="F23" s="43"/>
      <c r="G23" s="43"/>
      <c r="H23" s="44"/>
      <c r="I23" s="1199">
        <f>RA_SE7D!I30</f>
        <v>2046668.6730335646</v>
      </c>
      <c r="J23" s="1200"/>
      <c r="K23" s="1200"/>
      <c r="L23" s="1200"/>
      <c r="M23" s="1200"/>
      <c r="N23" s="1200"/>
      <c r="O23" s="1200"/>
      <c r="P23" s="1200"/>
      <c r="Q23" s="1200"/>
      <c r="R23" s="1200"/>
      <c r="S23" s="1200"/>
      <c r="T23" s="1200"/>
      <c r="U23" s="1201"/>
    </row>
    <row r="24" spans="1:21" x14ac:dyDescent="0.3">
      <c r="A24" s="40" t="s">
        <v>803</v>
      </c>
      <c r="B24" s="41"/>
      <c r="C24" s="43"/>
      <c r="D24" s="43"/>
      <c r="E24" s="43"/>
      <c r="F24" s="43"/>
      <c r="G24" s="43"/>
      <c r="H24" s="44"/>
      <c r="I24" s="1199">
        <f>RA_SE7D!I31</f>
        <v>2046668.6730335646</v>
      </c>
      <c r="J24" s="1200"/>
      <c r="K24" s="1200"/>
      <c r="L24" s="1200"/>
      <c r="M24" s="1200"/>
      <c r="N24" s="1200"/>
      <c r="O24" s="1200"/>
      <c r="P24" s="1200"/>
      <c r="Q24" s="1200"/>
      <c r="R24" s="1200"/>
      <c r="S24" s="1200"/>
      <c r="T24" s="1200"/>
      <c r="U24" s="1201"/>
    </row>
    <row r="25" spans="1:21" x14ac:dyDescent="0.3">
      <c r="A25" s="40" t="s">
        <v>41</v>
      </c>
      <c r="B25" s="41"/>
      <c r="C25" s="43"/>
      <c r="D25" s="43"/>
      <c r="E25" s="43"/>
      <c r="F25" s="43"/>
      <c r="G25" s="43"/>
      <c r="H25" s="44"/>
      <c r="I25" s="1199">
        <f>RA_SE7D!I32</f>
        <v>2425302.3775447737</v>
      </c>
      <c r="J25" s="1200"/>
      <c r="K25" s="1200"/>
      <c r="L25" s="1200"/>
      <c r="M25" s="1200"/>
      <c r="N25" s="1200"/>
      <c r="O25" s="1200"/>
      <c r="P25" s="1200"/>
      <c r="Q25" s="1200"/>
      <c r="R25" s="1200"/>
      <c r="S25" s="1200"/>
      <c r="T25" s="1200"/>
      <c r="U25" s="1201"/>
    </row>
    <row r="26" spans="1:21" ht="7.5" customHeight="1" x14ac:dyDescent="0.3"/>
    <row r="27" spans="1:21" x14ac:dyDescent="0.3">
      <c r="A27" s="18" t="s">
        <v>804</v>
      </c>
      <c r="B27" s="18"/>
      <c r="C27" s="18"/>
      <c r="D27" s="18"/>
      <c r="E27" s="18"/>
      <c r="F27" s="18"/>
      <c r="G27" s="1205" t="str">
        <f>IF(OR(LEN(FLOOR(P27,1))=13,FLOOR(P27,1)&lt;=0),"Out of range",PROPER(SUBSTITUTE(CONCATENATE(CHOOSE(MID(TEXT(INT(P27),REPT(0,12)),1,1)+1,"","one hundred ","two hundred ","three hundred ","four hundred ","five hundred ","six hundred ","seven hundred ","eight hundred ","nine hundred "),CHOOSE(MID(TEXT(INT(P27),REPT(0,12)),2,1)+1,"",CHOOSE(MID(TEXT(INT(P27),REPT(0,12)),3,1)+1,"ten","eleven","twelve","thirteen","fourteen","fifteen","sixteen","seventeen","eighteen","nineteen"),"twenty","thirty","forty","fifty","sixty","seventy","eighty","ninety"),IF(VALUE(MID(TEXT(INT(P27),REPT(0,12)),2,1))&gt;1,CHOOSE(MID(TEXT(INT(P27),REPT(0,12)),3,1)+1,"","-one","-two","-three","-four","-five","-six","-seven","-eight","-nine"),IF(VALUE(MID(TEXT(INT(P27),REPT(0,12)),2,1))=0,CHOOSE(MID(TEXT(INT(P27),REPT(0,12)),3,1)+1,"","one","two","three","four","five","six","seven","eight","nine"),"")),IF(P27&gt;=10^9," billion ",""),CHOOSE(MID(TEXT(INT(P27),REPT(0,12)),4,1)+1,"","one hundred ","two hundred ","three hundred ","four hundred ","five hundred ","six hundred ","seven hundred ","eight hundred ","nine hundred "),CHOOSE(MID(TEXT(INT(P27),REPT(0,12)),5,1)+1,"",CHOOSE(MID(TEXT(INT(P27),REPT(0,12)),6,1)+1,"ten","eleven","twelve","thirteen","fourteen","fifteen","sixteen","seventeen","eighteen","nineteen"),"twenty","thirty","forty","fifty","sixty","seventy","eighty","ninety"),IF(VALUE(MID(TEXT(INT(P27),REPT(0,12)),5,1))&gt;1,CHOOSE(MID(TEXT(INT(P27),REPT(0,12)),6,1)+1,"","-one","-two","-three","-four","-five","-six","-seven","-eight","-nine"),IF(VALUE(MID(TEXT(INT(P27),REPT(0,12)),5,1))=0,CHOOSE(MID(TEXT(INT(P27),REPT(0,12)),6,1)+1,"","one","two","three","four","five","six","seven","eight","nine"),"")),IF(VALUE(MID(TEXT(INT(P27),REPT(0,12)),4,3))&gt;0," million ",""),CHOOSE(MID(TEXT(INT(P27),REPT(0,12)),7,1)+1,"","one hundred ","two hundred ","three hundred ","four hundred ","five hundred ","six hundred ","seven hundred ","eight hundred ","nine hundred "),CHOOSE(MID(TEXT(INT(P27),REPT(0,12)),8,1)+1,"",CHOOSE(MID(TEXT(INT(P27),REPT(0,12)),9,1)+1,"ten","eleven","twelve","thirteen","fourteen","fifteen","sixteen","seventeen","eighteen","nineteen"),"twenty","thirty","forty","fifty","sixty","seventy","eighty","ninety"),IF(VALUE(MID(TEXT(INT(P27),REPT(0,12)),8,1))&gt;1,CHOOSE(MID(TEXT(INT(P27),REPT(0,12)),9,1)+1,"","-one","-two","-three","-four","-five","-six","-seven","-eight","-nine"),IF(VALUE(MID(TEXT(INT(P27),REPT(0,12)),8,1))=0,CHOOSE(MID(TEXT(INT(P27),REPT(0,12)),9,1)+1,"","one","two","three","four","five","six","seven","eight","nine"),"")),IF(VALUE(MID(TEXT(INT(P27),REPT(0,12)),7,3))," thousand ",""),CHOOSE(MID(TEXT(INT(P27),REPT(0,12)),10,1)+1,"","one hundred ","two hundred ","three hundred ","four hundred ","five hundred ","six hundred ","seven hundred ","eight hundred ","nine hundred "),CHOOSE(MID(TEXT(INT(P27),REPT(0,12)),11,1)+1,"",CHOOSE(MID(TEXT(INT(P27),REPT(0,12)),12,1)+1,"ten","eleven","twelve","thirteen","fourteen","fifteen","sixteen","seventeen","eighteen","nineteen"),"twenty","thirty","forty","fifty","sixty","seventy","eighty","ninety"),IF(VALUE(MID(TEXT(INT(P27),REPT(0,12)),11,1))&gt;1,CHOOSE(MID(TEXT(INT(P27),REPT(0,12)),12,1)+1,"","-one","-two","-three","-four","-five","-six","-seven","-eight","-nine"),IF(VALUE(MID(TEXT(INT(P27),REPT(0,12)),11,1))=0,CHOOSE(MID(TEXT(INT(P27),REPT(0,12)),12,1)+1,"","one","two","three","four","five","six","seven","eight","nine"),""))),"  "," ")&amp;IF(FLOOR(P27,1)&gt;1," PESOS"," dollar"))&amp;IF(ISERROR(FIND(".",P27,1)),""," and "&amp;PROPER(IF(LEN(LEFT(TRIM(MID(SUBSTITUTE([22]Sheet1!A2,".",REPT(" ",255)),255,200)),2))=1,CHOOSE(1*LEFT(TRIM(MID(SUBSTITUTE([22]Sheet1!A2,".",REPT(" ",255)),255,200)),2),"ten","twenty","thirty","forty","fifty","sixty","seventy","eighty","ninety")&amp;" cents","")&amp;CONCATENATE(CHOOSE(MID(TEXT(INT(LEFT(TRIM(MID(SUBSTITUTE([22]Sheet1!A2,".",REPT(" ",255)),255,200)),2)),REPT(0,12)),11,1)+1,"",CHOOSE(MID(TEXT(INT(LEFT(TRIM(MID(SUBSTITUTE([22]Sheet1!A2,".",REPT(" ",255)),255,200)),2)),REPT(0,12)),12,1)+1,"ten","eleven","twelve","thirteen","fourteen","fifteen","sixteen","seventeen","eighteen","nineteen")&amp;" cents","twenty","thirty","forty","fifty","sixty","seventy","eighty","ninety"),IF(VALUE(MID(TEXT(INT(LEFT(TRIM(MID(SUBSTITUTE([22]Sheet1!A2,".",REPT(" ",255)),255,200)),2)),REPT(0,12)),11,1))&gt;1,CHOOSE(MID(TEXT(INT(LEFT(TRIM(MID(SUBSTITUTE([22]Sheet1!A2,".",REPT(" ",255)),255,200)),2)),REPT(0,12)),12,1)+1,"","-one","-two","-three","-four","-five","-six","-seven","-eight","-nine")&amp;" cents",IF(LEFT(TRIM(MID(SUBSTITUTE([22]Sheet1!A2,".",REPT(" ",255)),255,200)),2)="01","one cent",IF(LEFT(TRIM(MID(SUBSTITUTE([22]Sheet1!A2,".",REPT(" ",255)),255,200)),1)="0",CHOOSE(MID(TEXT(INT(LEFT(TRIM(MID(SUBSTITUTE([22]Sheet1!A2,".",REPT(" ",255)),255,200)),2)),REPT(0,12)),12,1)+1,"","one","two","three","four","five","six","seven","eight","nine")&amp;" cents","")))))))</f>
        <v>Fifty Thousand  Pesos</v>
      </c>
      <c r="H27" s="1205"/>
      <c r="I27" s="1205"/>
      <c r="J27" s="1205"/>
      <c r="K27" s="1205"/>
      <c r="L27" s="1205"/>
      <c r="M27" s="1205"/>
      <c r="N27" s="18"/>
      <c r="O27" s="701" t="s">
        <v>805</v>
      </c>
      <c r="P27" s="1205">
        <f>FORM!G24</f>
        <v>50000</v>
      </c>
      <c r="Q27" s="1205"/>
      <c r="R27" s="1205"/>
      <c r="S27" s="18" t="s">
        <v>806</v>
      </c>
      <c r="T27" s="18"/>
      <c r="U27" s="18"/>
    </row>
    <row r="28" spans="1:21" ht="7.5" customHeight="1" x14ac:dyDescent="0.3">
      <c r="A28" s="77"/>
      <c r="B28" s="78"/>
      <c r="C28" s="78"/>
      <c r="D28" s="78"/>
      <c r="E28" s="78"/>
      <c r="F28" s="78"/>
      <c r="G28" s="78"/>
      <c r="H28" s="78"/>
      <c r="I28" s="78"/>
      <c r="J28" s="78"/>
      <c r="K28" s="78"/>
      <c r="L28" s="78"/>
      <c r="M28" s="78"/>
      <c r="N28" s="78"/>
      <c r="O28" s="84"/>
      <c r="P28" s="84"/>
      <c r="Q28" s="84"/>
      <c r="R28" s="84"/>
      <c r="S28" s="61"/>
      <c r="T28" s="85"/>
      <c r="U28" s="61"/>
    </row>
    <row r="29" spans="1:21" ht="13.5" customHeight="1" x14ac:dyDescent="0.3">
      <c r="A29" s="18" t="s">
        <v>807</v>
      </c>
      <c r="B29" s="78"/>
      <c r="C29" s="78"/>
      <c r="D29" s="78"/>
      <c r="E29" s="78"/>
      <c r="F29" s="78"/>
      <c r="G29" s="78"/>
      <c r="H29" s="78"/>
      <c r="I29" s="78"/>
      <c r="J29" s="78"/>
      <c r="K29" s="78"/>
      <c r="L29" s="78"/>
      <c r="M29" s="78"/>
      <c r="N29" s="78"/>
      <c r="O29" s="84"/>
      <c r="P29" s="84"/>
      <c r="Q29" s="84"/>
      <c r="R29" s="84"/>
      <c r="S29" s="61"/>
      <c r="T29" s="85"/>
      <c r="U29" s="61"/>
    </row>
    <row r="30" spans="1:21" ht="13.5" customHeight="1" x14ac:dyDescent="0.3">
      <c r="A30" s="702" t="s">
        <v>808</v>
      </c>
      <c r="B30" s="78"/>
      <c r="C30" s="78"/>
      <c r="D30" s="78"/>
      <c r="E30" s="78"/>
      <c r="F30" s="78"/>
      <c r="G30" s="78"/>
      <c r="H30" s="78"/>
      <c r="I30" s="78"/>
      <c r="J30" s="78"/>
      <c r="K30" s="78"/>
      <c r="L30" s="78"/>
      <c r="M30" s="78"/>
      <c r="N30" s="78"/>
      <c r="O30" s="84"/>
      <c r="P30" s="84"/>
      <c r="Q30" s="84"/>
      <c r="R30" s="84"/>
      <c r="S30" s="61"/>
      <c r="T30" s="85"/>
      <c r="U30" s="61"/>
    </row>
    <row r="31" spans="1:21" ht="13.5" customHeight="1" x14ac:dyDescent="0.3">
      <c r="A31" s="702" t="s">
        <v>809</v>
      </c>
      <c r="B31" s="78"/>
      <c r="C31" s="78"/>
      <c r="D31" s="78"/>
      <c r="E31" s="78"/>
      <c r="F31" s="78"/>
      <c r="G31" s="78"/>
      <c r="H31" s="78"/>
      <c r="I31" s="78"/>
      <c r="J31" s="78"/>
      <c r="K31" s="78"/>
      <c r="L31" s="78"/>
      <c r="M31" s="78"/>
      <c r="N31" s="78"/>
      <c r="O31" s="84"/>
      <c r="P31" s="84"/>
      <c r="Q31" s="84"/>
      <c r="R31" s="84"/>
      <c r="S31" s="61"/>
      <c r="T31" s="85"/>
      <c r="U31" s="61"/>
    </row>
    <row r="32" spans="1:21" ht="7.5" customHeight="1" x14ac:dyDescent="0.3">
      <c r="A32" s="77"/>
      <c r="B32" s="78"/>
      <c r="C32" s="78"/>
      <c r="D32" s="78"/>
      <c r="E32" s="78"/>
      <c r="F32" s="78"/>
      <c r="G32" s="78"/>
      <c r="H32" s="78"/>
      <c r="I32" s="78"/>
      <c r="J32" s="78"/>
      <c r="K32" s="78"/>
      <c r="L32" s="78"/>
      <c r="M32" s="78"/>
      <c r="N32" s="78"/>
      <c r="O32" s="84"/>
      <c r="P32" s="84"/>
      <c r="Q32" s="84"/>
      <c r="R32" s="84"/>
      <c r="S32" s="61"/>
      <c r="T32" s="85"/>
      <c r="U32" s="61"/>
    </row>
    <row r="33" spans="1:21" ht="13.5" customHeight="1" x14ac:dyDescent="0.3">
      <c r="A33" s="701" t="s">
        <v>810</v>
      </c>
      <c r="B33" s="78"/>
      <c r="C33" s="78"/>
      <c r="D33" s="78"/>
      <c r="E33" s="78"/>
      <c r="F33" s="78"/>
      <c r="G33" s="78"/>
      <c r="H33" s="78"/>
      <c r="I33" s="78"/>
      <c r="J33" s="78"/>
      <c r="K33" s="78"/>
      <c r="L33" s="78"/>
      <c r="M33" s="78"/>
      <c r="N33" s="78"/>
      <c r="O33" s="84"/>
      <c r="P33" s="84"/>
      <c r="Q33" s="84"/>
      <c r="R33" s="84"/>
      <c r="S33" s="61"/>
      <c r="T33" s="85"/>
      <c r="U33" s="61"/>
    </row>
    <row r="34" spans="1:21" ht="13.5" customHeight="1" x14ac:dyDescent="0.3">
      <c r="A34" s="701" t="s">
        <v>811</v>
      </c>
      <c r="B34" s="78"/>
      <c r="C34" s="78"/>
      <c r="D34" s="78"/>
      <c r="E34" s="78"/>
      <c r="F34" s="78"/>
      <c r="G34" s="78"/>
      <c r="H34" s="78"/>
      <c r="I34" s="78"/>
      <c r="J34" s="78"/>
      <c r="K34" s="78"/>
      <c r="L34" s="78"/>
      <c r="M34" s="78"/>
      <c r="N34" s="78"/>
      <c r="O34" s="84"/>
      <c r="P34" s="84"/>
      <c r="Q34" s="84"/>
      <c r="R34" s="84"/>
      <c r="S34" s="61"/>
      <c r="T34" s="85"/>
      <c r="U34" s="61"/>
    </row>
    <row r="35" spans="1:21" ht="7.5" customHeight="1" x14ac:dyDescent="0.3">
      <c r="A35" s="77"/>
      <c r="B35" s="78"/>
      <c r="C35" s="78"/>
      <c r="D35" s="78"/>
      <c r="E35" s="78"/>
      <c r="F35" s="78"/>
      <c r="G35" s="78"/>
      <c r="H35" s="78"/>
      <c r="I35" s="78"/>
      <c r="J35" s="78"/>
      <c r="K35" s="78"/>
      <c r="L35" s="78"/>
      <c r="M35" s="78"/>
      <c r="N35" s="78"/>
      <c r="O35" s="84"/>
      <c r="P35" s="84"/>
      <c r="Q35" s="84"/>
      <c r="R35" s="84"/>
      <c r="S35" s="61"/>
      <c r="T35" s="85"/>
      <c r="U35" s="61"/>
    </row>
    <row r="36" spans="1:21" ht="13.5" customHeight="1" x14ac:dyDescent="0.3">
      <c r="A36" s="702" t="s">
        <v>812</v>
      </c>
      <c r="B36" s="78"/>
      <c r="C36" s="78"/>
      <c r="D36" s="78"/>
      <c r="E36" s="78"/>
      <c r="F36" s="78"/>
      <c r="G36" s="78"/>
      <c r="H36" s="78"/>
      <c r="I36" s="78"/>
      <c r="J36" s="78"/>
      <c r="K36" s="78"/>
      <c r="L36" s="78"/>
      <c r="M36" s="78"/>
      <c r="N36" s="78"/>
      <c r="O36" s="84"/>
      <c r="P36" s="84"/>
      <c r="Q36" s="84"/>
      <c r="R36" s="84"/>
      <c r="S36" s="61"/>
      <c r="T36" s="85"/>
      <c r="U36" s="61"/>
    </row>
    <row r="37" spans="1:21" ht="7.5" customHeight="1" x14ac:dyDescent="0.3">
      <c r="A37" s="77"/>
      <c r="B37" s="78"/>
      <c r="C37" s="78"/>
      <c r="D37" s="78"/>
      <c r="E37" s="78"/>
      <c r="F37" s="78"/>
      <c r="G37" s="78"/>
      <c r="H37" s="78"/>
      <c r="I37" s="78"/>
      <c r="J37" s="78"/>
      <c r="K37" s="78"/>
      <c r="L37" s="78"/>
      <c r="M37" s="78"/>
      <c r="N37" s="78"/>
      <c r="O37" s="84"/>
      <c r="P37" s="84"/>
      <c r="Q37" s="84"/>
      <c r="R37" s="84"/>
      <c r="S37" s="61"/>
      <c r="T37" s="85"/>
      <c r="U37" s="61"/>
    </row>
    <row r="38" spans="1:21" ht="13.5" customHeight="1" x14ac:dyDescent="0.3">
      <c r="A38" s="701" t="s">
        <v>813</v>
      </c>
      <c r="B38" s="78"/>
      <c r="C38" s="78"/>
      <c r="D38" s="78"/>
      <c r="E38" s="78"/>
      <c r="F38" s="78"/>
      <c r="G38" s="78"/>
      <c r="H38" s="78"/>
      <c r="I38" s="78"/>
      <c r="J38" s="78"/>
      <c r="K38" s="78"/>
      <c r="L38" s="78"/>
      <c r="M38" s="78"/>
      <c r="N38" s="78"/>
      <c r="O38" s="84"/>
      <c r="P38" s="84"/>
      <c r="Q38" s="84"/>
      <c r="R38" s="84"/>
      <c r="S38" s="61"/>
      <c r="T38" s="85"/>
      <c r="U38" s="61"/>
    </row>
    <row r="39" spans="1:21" ht="13.5" customHeight="1" x14ac:dyDescent="0.3">
      <c r="A39" s="703" t="s">
        <v>814</v>
      </c>
      <c r="B39" s="78"/>
      <c r="C39" s="78"/>
      <c r="D39" s="78"/>
      <c r="E39" s="78"/>
      <c r="F39" s="78"/>
      <c r="G39" s="78"/>
      <c r="H39" s="78"/>
      <c r="I39" s="78"/>
      <c r="J39" s="78"/>
      <c r="K39" s="78"/>
      <c r="L39" s="78"/>
      <c r="M39" s="78"/>
      <c r="N39" s="78"/>
      <c r="O39" s="84"/>
      <c r="P39" s="84"/>
      <c r="Q39" s="84"/>
      <c r="R39" s="84"/>
      <c r="S39" s="61"/>
      <c r="T39" s="85"/>
      <c r="U39" s="61"/>
    </row>
    <row r="40" spans="1:21" ht="13.5" customHeight="1" x14ac:dyDescent="0.3">
      <c r="A40" s="703" t="s">
        <v>815</v>
      </c>
      <c r="B40" s="78"/>
      <c r="C40" s="78"/>
      <c r="D40" s="78"/>
      <c r="E40" s="78"/>
      <c r="F40" s="78"/>
      <c r="G40" s="78"/>
      <c r="H40" s="78"/>
      <c r="I40" s="78"/>
      <c r="J40" s="78"/>
      <c r="K40" s="78"/>
      <c r="L40" s="78"/>
      <c r="M40" s="78"/>
      <c r="N40" s="78"/>
      <c r="O40" s="84"/>
      <c r="P40" s="84"/>
      <c r="Q40" s="84"/>
      <c r="R40" s="84"/>
      <c r="S40" s="61"/>
      <c r="T40" s="85"/>
      <c r="U40" s="61"/>
    </row>
    <row r="41" spans="1:21" ht="13.5" customHeight="1" x14ac:dyDescent="0.3">
      <c r="A41" s="77"/>
      <c r="B41" s="78"/>
      <c r="C41" s="78"/>
      <c r="D41" s="78"/>
      <c r="E41" s="78"/>
      <c r="F41" s="78"/>
      <c r="G41" s="78"/>
      <c r="H41" s="78"/>
      <c r="I41" s="78"/>
      <c r="J41" s="78"/>
      <c r="K41" s="78"/>
      <c r="L41" s="78"/>
      <c r="M41" s="78"/>
      <c r="N41" s="78"/>
      <c r="O41" s="84"/>
      <c r="P41" s="84"/>
      <c r="Q41" s="84"/>
      <c r="R41" s="84"/>
      <c r="S41" s="61"/>
      <c r="T41" s="85"/>
      <c r="U41" s="61"/>
    </row>
    <row r="42" spans="1:21" ht="13.5" customHeight="1" x14ac:dyDescent="0.3">
      <c r="A42" s="702" t="s">
        <v>816</v>
      </c>
      <c r="B42" s="78"/>
      <c r="C42" s="78"/>
      <c r="D42" s="78"/>
      <c r="E42" s="78"/>
      <c r="F42" s="78"/>
      <c r="G42" s="78"/>
      <c r="H42" s="78"/>
      <c r="I42" s="78"/>
      <c r="J42" s="78"/>
      <c r="K42" s="78"/>
      <c r="L42" s="78"/>
      <c r="M42" s="78"/>
      <c r="N42" s="78"/>
      <c r="O42" s="84"/>
      <c r="P42" s="84"/>
      <c r="Q42" s="84"/>
      <c r="R42" s="84"/>
      <c r="S42" s="61"/>
      <c r="T42" s="85"/>
      <c r="U42" s="61"/>
    </row>
    <row r="43" spans="1:21" ht="13.5" customHeight="1" x14ac:dyDescent="0.3">
      <c r="A43" s="77"/>
      <c r="B43" s="78"/>
      <c r="C43" s="78"/>
      <c r="D43" s="78"/>
      <c r="E43" s="78"/>
      <c r="F43" s="78"/>
      <c r="G43" s="78"/>
      <c r="H43" s="78"/>
      <c r="I43" s="78"/>
      <c r="J43" s="78"/>
      <c r="K43" s="78"/>
      <c r="L43" s="78"/>
      <c r="M43" s="78"/>
      <c r="N43" s="78"/>
      <c r="O43" s="84"/>
      <c r="P43" s="84"/>
      <c r="Q43" s="84"/>
      <c r="R43" s="84"/>
      <c r="S43" s="61"/>
      <c r="T43" s="85"/>
      <c r="U43" s="61"/>
    </row>
    <row r="44" spans="1:21" ht="13.5" customHeight="1" x14ac:dyDescent="0.3">
      <c r="A44" s="704"/>
      <c r="B44" s="705"/>
      <c r="C44" s="705"/>
      <c r="D44" s="1191" t="s">
        <v>817</v>
      </c>
      <c r="E44" s="1191"/>
      <c r="F44" s="1191"/>
      <c r="G44" s="1191"/>
      <c r="H44" s="1191"/>
      <c r="I44" s="1191"/>
      <c r="J44" s="705"/>
      <c r="K44" s="705"/>
      <c r="L44" s="705"/>
      <c r="M44" s="705"/>
      <c r="N44" s="705"/>
      <c r="O44" s="706"/>
      <c r="P44" s="706"/>
      <c r="Q44" s="1192" t="s">
        <v>774</v>
      </c>
      <c r="R44" s="1192"/>
      <c r="S44" s="1192"/>
      <c r="T44" s="707"/>
      <c r="U44" s="61"/>
    </row>
    <row r="45" spans="1:21" ht="13.5" customHeight="1" x14ac:dyDescent="0.3">
      <c r="A45" s="704"/>
      <c r="B45" s="705"/>
      <c r="C45" s="705"/>
      <c r="D45" s="705"/>
      <c r="E45" s="705"/>
      <c r="F45" s="705"/>
      <c r="G45" s="705"/>
      <c r="H45" s="705"/>
      <c r="I45" s="705"/>
      <c r="J45" s="705"/>
      <c r="K45" s="705"/>
      <c r="L45" s="705"/>
      <c r="M45" s="705"/>
      <c r="N45" s="705"/>
      <c r="O45" s="706"/>
      <c r="P45" s="706"/>
      <c r="Q45" s="706"/>
      <c r="R45" s="706"/>
      <c r="S45" s="708"/>
      <c r="T45" s="707"/>
      <c r="U45" s="61"/>
    </row>
    <row r="46" spans="1:21" ht="13.5" customHeight="1" x14ac:dyDescent="0.3">
      <c r="A46" s="704"/>
      <c r="B46" s="705"/>
      <c r="C46" s="705"/>
      <c r="D46" s="705"/>
      <c r="E46" s="705"/>
      <c r="F46" s="705"/>
      <c r="G46" s="705"/>
      <c r="H46" s="705"/>
      <c r="I46" s="705"/>
      <c r="J46" s="705"/>
      <c r="K46" s="705"/>
      <c r="L46" s="705"/>
      <c r="M46" s="705"/>
      <c r="N46" s="705"/>
      <c r="O46" s="706"/>
      <c r="P46" s="706"/>
      <c r="Q46" s="706"/>
      <c r="R46" s="706"/>
      <c r="S46" s="708"/>
      <c r="T46" s="707"/>
      <c r="U46" s="61"/>
    </row>
    <row r="47" spans="1:21" ht="13.5" customHeight="1" x14ac:dyDescent="0.3">
      <c r="A47" s="704"/>
      <c r="B47" s="705"/>
      <c r="C47" s="705"/>
      <c r="D47" s="705"/>
      <c r="E47" s="705"/>
      <c r="F47" s="705"/>
      <c r="G47" s="705"/>
      <c r="H47" s="705"/>
      <c r="I47" s="705"/>
      <c r="J47" s="705"/>
      <c r="K47" s="705"/>
      <c r="L47" s="705"/>
      <c r="M47" s="705"/>
      <c r="N47" s="705"/>
      <c r="O47" s="706"/>
      <c r="P47" s="706"/>
      <c r="Q47" s="706"/>
      <c r="R47" s="706"/>
      <c r="S47" s="708"/>
      <c r="T47" s="707"/>
      <c r="U47" s="61"/>
    </row>
    <row r="48" spans="1:21" x14ac:dyDescent="0.3">
      <c r="A48" s="50"/>
      <c r="B48" s="50"/>
      <c r="C48" s="50"/>
      <c r="D48" s="1188">
        <f>FORM!G30</f>
        <v>0</v>
      </c>
      <c r="E48" s="1188"/>
      <c r="F48" s="1188"/>
      <c r="G48" s="1188"/>
      <c r="H48" s="1188"/>
      <c r="I48" s="1188"/>
      <c r="J48" s="50"/>
      <c r="K48" s="50"/>
      <c r="L48" s="50"/>
      <c r="M48" s="50"/>
      <c r="N48" s="50"/>
      <c r="O48" s="50"/>
      <c r="P48" s="50"/>
      <c r="Q48" s="1188" t="str">
        <f>FORM!G32</f>
        <v>Seller</v>
      </c>
      <c r="R48" s="1188"/>
      <c r="S48" s="1188"/>
      <c r="T48" s="50"/>
      <c r="U48" s="50"/>
    </row>
    <row r="49" spans="1:21" x14ac:dyDescent="0.3">
      <c r="A49" s="50"/>
      <c r="B49" s="50"/>
      <c r="C49" s="50"/>
      <c r="D49" s="1189" t="s">
        <v>818</v>
      </c>
      <c r="E49" s="1189"/>
      <c r="F49" s="1189"/>
      <c r="G49" s="1189"/>
      <c r="H49" s="1189"/>
      <c r="I49" s="1189"/>
      <c r="J49" s="50"/>
      <c r="K49" s="50"/>
      <c r="L49" s="50"/>
      <c r="M49" s="50"/>
      <c r="N49" s="50"/>
      <c r="O49" s="50"/>
      <c r="P49" s="50"/>
      <c r="Q49" s="1189" t="s">
        <v>818</v>
      </c>
      <c r="R49" s="1189"/>
      <c r="S49" s="1189"/>
      <c r="T49" s="50"/>
      <c r="U49" s="50"/>
    </row>
    <row r="50" spans="1:21" x14ac:dyDescent="0.3">
      <c r="A50" s="50"/>
      <c r="B50" s="50"/>
      <c r="C50" s="50"/>
      <c r="D50" s="1190" t="s">
        <v>819</v>
      </c>
      <c r="E50" s="1190"/>
      <c r="F50" s="1190"/>
      <c r="G50" s="1190"/>
      <c r="H50" s="1190"/>
      <c r="I50" s="1190"/>
      <c r="J50" s="50"/>
      <c r="K50" s="50"/>
      <c r="L50" s="50"/>
      <c r="M50" s="50"/>
      <c r="N50" s="50"/>
      <c r="O50" s="50"/>
      <c r="P50" s="50"/>
      <c r="Q50" s="1190" t="s">
        <v>820</v>
      </c>
      <c r="R50" s="1190"/>
      <c r="S50" s="1190"/>
      <c r="T50" s="50"/>
      <c r="U50" s="50"/>
    </row>
    <row r="51" spans="1:21" x14ac:dyDescent="0.3">
      <c r="A51" s="50"/>
      <c r="B51" s="50"/>
      <c r="C51" s="50"/>
      <c r="D51" s="50"/>
      <c r="E51" s="50"/>
      <c r="F51" s="50"/>
      <c r="G51" s="50"/>
      <c r="H51" s="50"/>
      <c r="I51" s="50"/>
      <c r="J51" s="50"/>
      <c r="K51" s="50"/>
      <c r="L51" s="50"/>
      <c r="M51" s="50"/>
      <c r="N51" s="50"/>
      <c r="O51" s="50"/>
      <c r="P51" s="50"/>
      <c r="Q51" s="50"/>
      <c r="R51" s="50"/>
      <c r="S51" s="50"/>
      <c r="T51" s="50"/>
      <c r="U51" s="50"/>
    </row>
    <row r="53" spans="1:21" x14ac:dyDescent="0.3">
      <c r="A53" s="1183" t="s">
        <v>821</v>
      </c>
      <c r="B53" s="1184"/>
      <c r="C53" s="1184"/>
      <c r="D53" s="1184"/>
      <c r="E53" s="1184"/>
      <c r="F53" s="1184"/>
      <c r="G53" s="1184"/>
      <c r="H53" s="1184"/>
      <c r="I53" s="1184"/>
      <c r="J53" s="1184"/>
      <c r="K53" s="1184"/>
      <c r="L53" s="1184"/>
      <c r="M53" s="1184"/>
      <c r="N53" s="1184"/>
      <c r="O53" s="1184"/>
      <c r="P53" s="1184"/>
      <c r="Q53" s="1184"/>
      <c r="R53" s="1184"/>
      <c r="S53" s="1184"/>
      <c r="T53" s="1184"/>
      <c r="U53" s="1185"/>
    </row>
    <row r="54" spans="1:21" x14ac:dyDescent="0.3">
      <c r="A54" s="1186" t="s">
        <v>822</v>
      </c>
      <c r="B54" s="1186"/>
      <c r="C54" s="1186"/>
      <c r="D54" s="1186"/>
      <c r="E54" s="1186"/>
      <c r="F54" s="1186"/>
      <c r="G54" s="1186"/>
      <c r="H54" s="1186"/>
      <c r="I54" s="1186" t="s">
        <v>823</v>
      </c>
      <c r="J54" s="1186"/>
      <c r="K54" s="1186"/>
      <c r="L54" s="1186"/>
      <c r="M54" s="1186"/>
      <c r="N54" s="1186"/>
      <c r="O54" s="1186"/>
      <c r="P54" s="1187" t="s">
        <v>824</v>
      </c>
      <c r="Q54" s="1187"/>
      <c r="R54" s="1187"/>
      <c r="S54" s="1187"/>
      <c r="T54" s="1187"/>
      <c r="U54" s="1187"/>
    </row>
    <row r="55" spans="1:21" x14ac:dyDescent="0.3">
      <c r="A55" s="1182" t="s">
        <v>825</v>
      </c>
      <c r="B55" s="1182"/>
      <c r="C55" s="1182"/>
      <c r="D55" s="1182"/>
      <c r="E55" s="1182"/>
      <c r="F55" s="1182"/>
      <c r="G55" s="1182"/>
      <c r="H55" s="1182"/>
      <c r="I55" s="1182">
        <f>FORM!J47</f>
        <v>0</v>
      </c>
      <c r="J55" s="1182"/>
      <c r="K55" s="1182"/>
      <c r="L55" s="1182"/>
      <c r="M55" s="1182"/>
      <c r="N55" s="1182"/>
      <c r="O55" s="1182"/>
      <c r="P55" s="1182">
        <f>FORM!Q47</f>
        <v>0</v>
      </c>
      <c r="Q55" s="1182"/>
      <c r="R55" s="1182"/>
      <c r="S55" s="1182"/>
      <c r="T55" s="1182"/>
      <c r="U55" s="1182"/>
    </row>
    <row r="56" spans="1:21" x14ac:dyDescent="0.3">
      <c r="A56" s="1182" t="s">
        <v>826</v>
      </c>
      <c r="B56" s="1182"/>
      <c r="C56" s="1182"/>
      <c r="D56" s="1182"/>
      <c r="E56" s="1182"/>
      <c r="F56" s="1182"/>
      <c r="G56" s="1182"/>
      <c r="H56" s="1182"/>
      <c r="I56" s="1182">
        <f>FORM!J48</f>
        <v>0</v>
      </c>
      <c r="J56" s="1182"/>
      <c r="K56" s="1182"/>
      <c r="L56" s="1182"/>
      <c r="M56" s="1182"/>
      <c r="N56" s="1182"/>
      <c r="O56" s="1182"/>
      <c r="P56" s="1182">
        <f>FORM!Q48</f>
        <v>0</v>
      </c>
      <c r="Q56" s="1182"/>
      <c r="R56" s="1182"/>
      <c r="S56" s="1182"/>
      <c r="T56" s="1182"/>
      <c r="U56" s="1182"/>
    </row>
    <row r="57" spans="1:21" x14ac:dyDescent="0.3">
      <c r="A57" s="1182" t="s">
        <v>827</v>
      </c>
      <c r="B57" s="1182"/>
      <c r="C57" s="1182"/>
      <c r="D57" s="1182"/>
      <c r="E57" s="1182"/>
      <c r="F57" s="1182"/>
      <c r="G57" s="1182"/>
      <c r="H57" s="1182"/>
      <c r="I57" s="1182">
        <f>FORM!J49</f>
        <v>0</v>
      </c>
      <c r="J57" s="1182"/>
      <c r="K57" s="1182"/>
      <c r="L57" s="1182"/>
      <c r="M57" s="1182"/>
      <c r="N57" s="1182"/>
      <c r="O57" s="1182"/>
      <c r="P57" s="1182">
        <f>FORM!Q49</f>
        <v>0</v>
      </c>
      <c r="Q57" s="1182"/>
      <c r="R57" s="1182"/>
      <c r="S57" s="1182"/>
      <c r="T57" s="1182"/>
      <c r="U57" s="1182"/>
    </row>
    <row r="58" spans="1:21" x14ac:dyDescent="0.3">
      <c r="A58" s="1182" t="s">
        <v>828</v>
      </c>
      <c r="B58" s="1182"/>
      <c r="C58" s="1182"/>
      <c r="D58" s="1182"/>
      <c r="E58" s="1182"/>
      <c r="F58" s="1182"/>
      <c r="G58" s="1182"/>
      <c r="H58" s="1182"/>
      <c r="I58" s="1182">
        <f>FORM!J50</f>
        <v>0</v>
      </c>
      <c r="J58" s="1182"/>
      <c r="K58" s="1182"/>
      <c r="L58" s="1182"/>
      <c r="M58" s="1182"/>
      <c r="N58" s="1182"/>
      <c r="O58" s="1182"/>
      <c r="P58" s="1182">
        <f>FORM!Q50</f>
        <v>0</v>
      </c>
      <c r="Q58" s="1182"/>
      <c r="R58" s="1182"/>
      <c r="S58" s="1182"/>
      <c r="T58" s="1182"/>
      <c r="U58" s="1182"/>
    </row>
    <row r="60" spans="1:21" x14ac:dyDescent="0.3">
      <c r="A60"/>
      <c r="B60"/>
      <c r="C60"/>
      <c r="D60"/>
      <c r="E60"/>
      <c r="F60"/>
      <c r="G60"/>
      <c r="H60"/>
      <c r="I60"/>
      <c r="J60"/>
      <c r="K60"/>
      <c r="L60"/>
      <c r="M60"/>
      <c r="N60"/>
      <c r="O60"/>
      <c r="P60"/>
      <c r="Q60"/>
      <c r="R60"/>
      <c r="S60"/>
      <c r="T60"/>
      <c r="U60"/>
    </row>
    <row r="68" spans="1:21" x14ac:dyDescent="0.3">
      <c r="A68"/>
      <c r="B68"/>
      <c r="C68"/>
      <c r="D68"/>
      <c r="E68"/>
      <c r="F68"/>
      <c r="G68"/>
      <c r="H68"/>
      <c r="I68"/>
      <c r="J68"/>
      <c r="K68"/>
      <c r="L68"/>
      <c r="M68"/>
      <c r="N68"/>
      <c r="O68"/>
      <c r="P68"/>
      <c r="Q68"/>
      <c r="R68"/>
      <c r="S68"/>
      <c r="T68"/>
      <c r="U68"/>
    </row>
    <row r="69" spans="1:21" x14ac:dyDescent="0.3">
      <c r="A69"/>
      <c r="B69"/>
      <c r="C69"/>
      <c r="D69"/>
      <c r="E69"/>
      <c r="F69"/>
      <c r="G69"/>
      <c r="H69"/>
      <c r="I69"/>
      <c r="J69"/>
      <c r="K69"/>
      <c r="L69"/>
      <c r="M69"/>
      <c r="N69"/>
      <c r="O69"/>
      <c r="P69"/>
      <c r="Q69"/>
      <c r="R69"/>
      <c r="S69"/>
      <c r="T69"/>
      <c r="U69"/>
    </row>
    <row r="70" spans="1:21" ht="25.5" customHeight="1" x14ac:dyDescent="0.3">
      <c r="A70"/>
      <c r="B70"/>
      <c r="C70"/>
      <c r="D70"/>
      <c r="E70"/>
      <c r="F70"/>
      <c r="G70"/>
      <c r="H70"/>
      <c r="I70"/>
      <c r="J70"/>
      <c r="K70"/>
      <c r="L70"/>
      <c r="M70"/>
      <c r="N70"/>
      <c r="O70"/>
      <c r="P70"/>
      <c r="Q70"/>
      <c r="R70"/>
      <c r="S70"/>
      <c r="T70"/>
      <c r="U70"/>
    </row>
    <row r="71" spans="1:21" x14ac:dyDescent="0.3">
      <c r="A71"/>
      <c r="B71"/>
      <c r="C71"/>
      <c r="D71"/>
      <c r="E71"/>
      <c r="F71"/>
      <c r="G71"/>
      <c r="H71"/>
      <c r="I71"/>
      <c r="J71"/>
      <c r="K71"/>
      <c r="L71"/>
      <c r="M71"/>
      <c r="N71"/>
      <c r="O71"/>
      <c r="P71"/>
      <c r="Q71"/>
      <c r="R71"/>
      <c r="S71"/>
      <c r="T71"/>
      <c r="U71"/>
    </row>
    <row r="72" spans="1:21" x14ac:dyDescent="0.3">
      <c r="A72"/>
      <c r="B72"/>
      <c r="C72"/>
      <c r="D72"/>
      <c r="E72"/>
      <c r="F72"/>
      <c r="G72"/>
      <c r="H72"/>
      <c r="I72"/>
      <c r="J72"/>
      <c r="K72"/>
      <c r="L72"/>
      <c r="M72"/>
      <c r="N72"/>
      <c r="O72"/>
      <c r="P72"/>
      <c r="Q72"/>
      <c r="R72"/>
      <c r="S72"/>
      <c r="T72"/>
      <c r="U72"/>
    </row>
    <row r="73" spans="1:21" x14ac:dyDescent="0.3">
      <c r="A73"/>
      <c r="B73"/>
      <c r="C73"/>
      <c r="D73"/>
      <c r="E73"/>
      <c r="F73"/>
      <c r="G73"/>
      <c r="H73"/>
      <c r="I73"/>
      <c r="J73"/>
      <c r="K73"/>
      <c r="L73"/>
      <c r="M73"/>
      <c r="N73"/>
      <c r="O73"/>
      <c r="P73"/>
      <c r="Q73"/>
      <c r="R73"/>
      <c r="S73"/>
      <c r="T73"/>
      <c r="U73"/>
    </row>
    <row r="74" spans="1:21" ht="21.75" customHeight="1" x14ac:dyDescent="0.3">
      <c r="A74"/>
      <c r="B74"/>
      <c r="C74"/>
      <c r="D74"/>
      <c r="E74"/>
      <c r="F74"/>
      <c r="G74"/>
      <c r="H74"/>
      <c r="I74"/>
      <c r="J74"/>
      <c r="K74"/>
      <c r="L74"/>
      <c r="M74"/>
      <c r="N74"/>
      <c r="O74"/>
      <c r="P74"/>
      <c r="Q74"/>
      <c r="R74"/>
      <c r="S74"/>
      <c r="T74"/>
      <c r="U74"/>
    </row>
    <row r="75" spans="1:21" x14ac:dyDescent="0.3">
      <c r="A75" s="21"/>
      <c r="B75" s="21"/>
      <c r="C75" s="21"/>
      <c r="D75" s="21"/>
      <c r="E75" s="21"/>
      <c r="F75" s="21"/>
      <c r="G75" s="21"/>
      <c r="H75" s="21"/>
      <c r="I75" s="21"/>
      <c r="J75" s="21"/>
      <c r="K75" s="21"/>
      <c r="L75" s="21"/>
      <c r="M75" s="21"/>
      <c r="N75" s="21"/>
      <c r="O75" s="21"/>
      <c r="P75" s="21"/>
      <c r="Q75" s="21"/>
      <c r="R75" s="21"/>
      <c r="S75" s="21"/>
      <c r="T75" s="21"/>
      <c r="U75" s="21"/>
    </row>
    <row r="76" spans="1:21" x14ac:dyDescent="0.3">
      <c r="A76" s="21"/>
      <c r="B76" s="21"/>
      <c r="C76" s="21"/>
      <c r="D76" s="21"/>
      <c r="E76" s="21"/>
      <c r="F76" s="21"/>
      <c r="G76" s="21"/>
      <c r="H76" s="21"/>
      <c r="I76" s="22"/>
      <c r="J76" s="22"/>
      <c r="K76" s="22"/>
      <c r="L76" s="22"/>
      <c r="M76" s="22"/>
      <c r="N76" s="22"/>
      <c r="O76" s="22"/>
      <c r="P76" s="22"/>
      <c r="Q76" s="22"/>
      <c r="R76" s="21"/>
      <c r="S76" s="21"/>
      <c r="T76" s="21"/>
      <c r="U76" s="21"/>
    </row>
    <row r="80" spans="1:21" x14ac:dyDescent="0.3">
      <c r="I80" s="56"/>
    </row>
  </sheetData>
  <sheetProtection formatCells="0" formatColumns="0" formatRows="0"/>
  <mergeCells count="62">
    <mergeCell ref="C2:F2"/>
    <mergeCell ref="A6:U6"/>
    <mergeCell ref="E8:T8"/>
    <mergeCell ref="A12:F12"/>
    <mergeCell ref="G12:L12"/>
    <mergeCell ref="M12:Q12"/>
    <mergeCell ref="R12:U12"/>
    <mergeCell ref="D14:F14"/>
    <mergeCell ref="J14:L14"/>
    <mergeCell ref="P14:Q14"/>
    <mergeCell ref="R14:S14"/>
    <mergeCell ref="T14:U14"/>
    <mergeCell ref="D13:F13"/>
    <mergeCell ref="J13:L13"/>
    <mergeCell ref="P13:Q13"/>
    <mergeCell ref="R13:S13"/>
    <mergeCell ref="T13:U13"/>
    <mergeCell ref="D16:F16"/>
    <mergeCell ref="J16:L16"/>
    <mergeCell ref="P16:Q16"/>
    <mergeCell ref="R16:S18"/>
    <mergeCell ref="T16:U18"/>
    <mergeCell ref="D15:F15"/>
    <mergeCell ref="J15:L15"/>
    <mergeCell ref="P15:Q15"/>
    <mergeCell ref="R15:S15"/>
    <mergeCell ref="T15:U15"/>
    <mergeCell ref="D44:I44"/>
    <mergeCell ref="Q44:S44"/>
    <mergeCell ref="D17:F17"/>
    <mergeCell ref="P17:Q17"/>
    <mergeCell ref="P18:Q18"/>
    <mergeCell ref="I20:U20"/>
    <mergeCell ref="I21:U21"/>
    <mergeCell ref="I22:U22"/>
    <mergeCell ref="I23:U23"/>
    <mergeCell ref="I24:U24"/>
    <mergeCell ref="I25:U25"/>
    <mergeCell ref="G27:M27"/>
    <mergeCell ref="P27:R27"/>
    <mergeCell ref="D48:I48"/>
    <mergeCell ref="Q48:S48"/>
    <mergeCell ref="D49:I49"/>
    <mergeCell ref="Q49:S49"/>
    <mergeCell ref="D50:I50"/>
    <mergeCell ref="Q50:S50"/>
    <mergeCell ref="A53:U53"/>
    <mergeCell ref="A54:H54"/>
    <mergeCell ref="I54:O54"/>
    <mergeCell ref="P54:U54"/>
    <mergeCell ref="A55:H55"/>
    <mergeCell ref="I55:O55"/>
    <mergeCell ref="P55:U55"/>
    <mergeCell ref="A58:H58"/>
    <mergeCell ref="I58:O58"/>
    <mergeCell ref="P58:U58"/>
    <mergeCell ref="A56:H56"/>
    <mergeCell ref="I56:O56"/>
    <mergeCell ref="P56:U56"/>
    <mergeCell ref="A57:H57"/>
    <mergeCell ref="I57:O57"/>
    <mergeCell ref="P57:U57"/>
  </mergeCells>
  <pageMargins left="0.51181102362204722" right="0.51181102362204722" top="0.87791666666666668" bottom="0.74803149606299213" header="0.31496062992125984" footer="0.31496062992125984"/>
  <pageSetup paperSize="305" scale="86" orientation="portrait" verticalDpi="360" r:id="rId1"/>
  <headerFooter>
    <oddHeader xml:space="preserve">&amp;R
&amp;"Century Gothic,Bold"&amp;18LETTER OF INTENT    
 &amp;"-,Regular"&amp;11
</oddHeader>
    <oddFooter>&amp;C&amp;"Century Gothic,Regular"&amp;8Page &amp;P of &amp;N</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91137" r:id="rId4" name="Check Box 1">
              <controlPr defaultSize="0" autoFill="0" autoLine="0" autoPict="0">
                <anchor moveWithCells="1">
                  <from>
                    <xdr:col>11</xdr:col>
                    <xdr:colOff>304800</xdr:colOff>
                    <xdr:row>7</xdr:row>
                    <xdr:rowOff>209550</xdr:rowOff>
                  </from>
                  <to>
                    <xdr:col>14</xdr:col>
                    <xdr:colOff>171450</xdr:colOff>
                    <xdr:row>9</xdr:row>
                    <xdr:rowOff>0</xdr:rowOff>
                  </to>
                </anchor>
              </controlPr>
            </control>
          </mc:Choice>
        </mc:AlternateContent>
        <mc:AlternateContent xmlns:mc="http://schemas.openxmlformats.org/markup-compatibility/2006">
          <mc:Choice Requires="x14">
            <control shapeId="91138" r:id="rId5" name="Check Box 2">
              <controlPr defaultSize="0" autoFill="0" autoLine="0" autoPict="0">
                <anchor moveWithCells="1">
                  <from>
                    <xdr:col>11</xdr:col>
                    <xdr:colOff>304800</xdr:colOff>
                    <xdr:row>9</xdr:row>
                    <xdr:rowOff>0</xdr:rowOff>
                  </from>
                  <to>
                    <xdr:col>14</xdr:col>
                    <xdr:colOff>171450</xdr:colOff>
                    <xdr:row>10</xdr:row>
                    <xdr:rowOff>0</xdr:rowOff>
                  </to>
                </anchor>
              </controlPr>
            </control>
          </mc:Choice>
        </mc:AlternateContent>
        <mc:AlternateContent xmlns:mc="http://schemas.openxmlformats.org/markup-compatibility/2006">
          <mc:Choice Requires="x14">
            <control shapeId="91139" r:id="rId6" name="Check Box 3">
              <controlPr defaultSize="0" autoFill="0" autoLine="0" autoPict="0">
                <anchor moveWithCells="1">
                  <from>
                    <xdr:col>4</xdr:col>
                    <xdr:colOff>57150</xdr:colOff>
                    <xdr:row>8</xdr:row>
                    <xdr:rowOff>19050</xdr:rowOff>
                  </from>
                  <to>
                    <xdr:col>8</xdr:col>
                    <xdr:colOff>285750</xdr:colOff>
                    <xdr:row>9</xdr:row>
                    <xdr:rowOff>19050</xdr:rowOff>
                  </to>
                </anchor>
              </controlPr>
            </control>
          </mc:Choice>
        </mc:AlternateContent>
        <mc:AlternateContent xmlns:mc="http://schemas.openxmlformats.org/markup-compatibility/2006">
          <mc:Choice Requires="x14">
            <control shapeId="91140" r:id="rId7" name="Check Box 4">
              <controlPr defaultSize="0" autoFill="0" autoLine="0" autoPict="0">
                <anchor moveWithCells="1">
                  <from>
                    <xdr:col>4</xdr:col>
                    <xdr:colOff>57150</xdr:colOff>
                    <xdr:row>8</xdr:row>
                    <xdr:rowOff>209550</xdr:rowOff>
                  </from>
                  <to>
                    <xdr:col>8</xdr:col>
                    <xdr:colOff>285750</xdr:colOff>
                    <xdr:row>10</xdr:row>
                    <xdr:rowOff>0</xdr:rowOff>
                  </to>
                </anchor>
              </controlPr>
            </control>
          </mc:Choice>
        </mc:AlternateContent>
        <mc:AlternateContent xmlns:mc="http://schemas.openxmlformats.org/markup-compatibility/2006">
          <mc:Choice Requires="x14">
            <control shapeId="91141" r:id="rId8" name="Check Box 5">
              <controlPr defaultSize="0" autoFill="0" autoLine="0" autoPict="0">
                <anchor moveWithCells="1">
                  <from>
                    <xdr:col>17</xdr:col>
                    <xdr:colOff>476250</xdr:colOff>
                    <xdr:row>8</xdr:row>
                    <xdr:rowOff>0</xdr:rowOff>
                  </from>
                  <to>
                    <xdr:col>19</xdr:col>
                    <xdr:colOff>180975</xdr:colOff>
                    <xdr:row>9</xdr:row>
                    <xdr:rowOff>0</xdr:rowOff>
                  </to>
                </anchor>
              </controlPr>
            </control>
          </mc:Choice>
        </mc:AlternateContent>
        <mc:AlternateContent xmlns:mc="http://schemas.openxmlformats.org/markup-compatibility/2006">
          <mc:Choice Requires="x14">
            <control shapeId="91142" r:id="rId9" name="Check Box 6">
              <controlPr defaultSize="0" autoFill="0" autoLine="0" autoPict="0">
                <anchor moveWithCells="1">
                  <from>
                    <xdr:col>17</xdr:col>
                    <xdr:colOff>476250</xdr:colOff>
                    <xdr:row>9</xdr:row>
                    <xdr:rowOff>0</xdr:rowOff>
                  </from>
                  <to>
                    <xdr:col>19</xdr:col>
                    <xdr:colOff>180975</xdr:colOff>
                    <xdr:row>10</xdr:row>
                    <xdr:rowOff>0</xdr:rowOff>
                  </to>
                </anchor>
              </controlPr>
            </control>
          </mc:Choice>
        </mc:AlternateContent>
      </controls>
    </mc:Choice>
  </mc:AlternateContent>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dimension ref="A1:U127"/>
  <sheetViews>
    <sheetView showGridLines="0" showZeros="0" view="pageLayout" topLeftCell="A8" zoomScaleNormal="100" zoomScaleSheetLayoutView="85" workbookViewId="0">
      <selection activeCell="O41" sqref="O41:R41"/>
    </sheetView>
  </sheetViews>
  <sheetFormatPr defaultColWidth="9.28515625" defaultRowHeight="16.5" x14ac:dyDescent="0.3"/>
  <cols>
    <col min="1" max="1" width="2.7109375" style="5" customWidth="1"/>
    <col min="2" max="2" width="1.5703125" style="5" customWidth="1"/>
    <col min="3" max="3" width="5.5703125" style="5" customWidth="1"/>
    <col min="4" max="4" width="2.7109375" style="5" customWidth="1"/>
    <col min="5" max="5" width="7" style="5" customWidth="1"/>
    <col min="6" max="6" width="5.28515625" style="5" customWidth="1"/>
    <col min="7" max="7" width="3.42578125" style="5" customWidth="1"/>
    <col min="8" max="8" width="4.5703125" style="5" customWidth="1"/>
    <col min="9" max="9" width="5.7109375" style="5" customWidth="1"/>
    <col min="10" max="10" width="3.28515625" style="5" customWidth="1"/>
    <col min="11" max="11" width="4.7109375" style="5" customWidth="1"/>
    <col min="12" max="12" width="4.28515625" style="5" customWidth="1"/>
    <col min="13" max="13" width="5.7109375" style="5" customWidth="1"/>
    <col min="14" max="14" width="3.28515625" style="5" customWidth="1"/>
    <col min="15" max="15" width="4.42578125" style="5" customWidth="1"/>
    <col min="16" max="16" width="9.42578125" style="5" customWidth="1"/>
    <col min="17" max="17" width="5.28515625" style="5" customWidth="1"/>
    <col min="18" max="18" width="14.28515625" style="5" customWidth="1"/>
    <col min="19" max="19" width="2.7109375" style="5" customWidth="1"/>
    <col min="20" max="20" width="10.28515625" style="5" customWidth="1"/>
    <col min="21" max="21" width="2.7109375" style="5" customWidth="1"/>
    <col min="22" max="16384" width="9.28515625" style="5"/>
  </cols>
  <sheetData>
    <row r="1" spans="1:21" ht="6.75" customHeight="1" x14ac:dyDescent="0.3">
      <c r="G1" s="57"/>
      <c r="H1" s="57"/>
      <c r="I1" s="57"/>
      <c r="J1" s="57"/>
      <c r="K1" s="57"/>
      <c r="L1" s="57"/>
      <c r="M1" s="57"/>
      <c r="N1" s="57"/>
      <c r="O1" s="57"/>
      <c r="P1" s="57"/>
      <c r="Q1" s="57"/>
      <c r="R1" s="57"/>
      <c r="S1" s="57"/>
      <c r="T1" s="57"/>
    </row>
    <row r="2" spans="1:21" ht="14.25" customHeight="1" x14ac:dyDescent="0.3">
      <c r="U2" s="58"/>
    </row>
    <row r="3" spans="1:21" x14ac:dyDescent="0.3">
      <c r="A3" s="21" t="s">
        <v>829</v>
      </c>
      <c r="B3" s="21"/>
      <c r="C3" s="90"/>
      <c r="D3" s="1236">
        <f>FORM!G30</f>
        <v>0</v>
      </c>
      <c r="E3" s="1236"/>
      <c r="F3" s="1236"/>
      <c r="G3" s="1236"/>
      <c r="H3" s="1236"/>
      <c r="I3" s="1236"/>
      <c r="J3" s="1236"/>
      <c r="K3" s="1236"/>
      <c r="L3" s="1236"/>
      <c r="M3" s="1236"/>
      <c r="N3" s="1236"/>
      <c r="O3" s="1236"/>
      <c r="P3" s="1236"/>
      <c r="Q3" s="1236"/>
      <c r="R3" s="21"/>
      <c r="S3" s="21"/>
      <c r="T3" s="21"/>
      <c r="U3" s="23" t="s">
        <v>830</v>
      </c>
    </row>
    <row r="4" spans="1:21" x14ac:dyDescent="0.3">
      <c r="A4" s="1234">
        <f>FORM!G34</f>
        <v>0</v>
      </c>
      <c r="B4" s="1234"/>
      <c r="C4" s="1234"/>
      <c r="D4" s="1234"/>
      <c r="E4" s="1234"/>
      <c r="F4" s="1234"/>
      <c r="G4" s="1234"/>
      <c r="H4" s="1234"/>
      <c r="I4" s="1234"/>
      <c r="J4" s="1234"/>
      <c r="K4" s="1234"/>
      <c r="L4" s="1234"/>
      <c r="M4" s="1234"/>
      <c r="N4" s="1234"/>
      <c r="O4" s="1234"/>
      <c r="P4" s="1234"/>
      <c r="Q4" s="1234"/>
      <c r="R4" s="21"/>
      <c r="S4" s="21"/>
      <c r="T4" s="21"/>
      <c r="U4" s="23" t="s">
        <v>831</v>
      </c>
    </row>
    <row r="5" spans="1:21" ht="16.5" customHeight="1" x14ac:dyDescent="0.3">
      <c r="A5" s="1233" t="s">
        <v>832</v>
      </c>
      <c r="B5" s="1233"/>
      <c r="C5" s="1233"/>
      <c r="D5" s="1233"/>
      <c r="E5" s="1233"/>
      <c r="F5" s="1233"/>
      <c r="G5" s="1233"/>
      <c r="H5" s="1233"/>
      <c r="I5" s="1233"/>
      <c r="J5" s="1233"/>
      <c r="K5" s="1233"/>
      <c r="L5" s="1233"/>
      <c r="M5" s="1233"/>
      <c r="N5" s="1233"/>
      <c r="O5" s="1233"/>
      <c r="P5" s="1233"/>
      <c r="Q5" s="1233"/>
      <c r="R5" s="1233"/>
      <c r="S5" s="1233"/>
      <c r="T5" s="1233"/>
      <c r="U5" s="1233"/>
    </row>
    <row r="6" spans="1:21" x14ac:dyDescent="0.3">
      <c r="A6" s="1233"/>
      <c r="B6" s="1233"/>
      <c r="C6" s="1233"/>
      <c r="D6" s="1233"/>
      <c r="E6" s="1233"/>
      <c r="F6" s="1233"/>
      <c r="G6" s="1233"/>
      <c r="H6" s="1233"/>
      <c r="I6" s="1233"/>
      <c r="J6" s="1233"/>
      <c r="K6" s="1233"/>
      <c r="L6" s="1233"/>
      <c r="M6" s="1233"/>
      <c r="N6" s="1233"/>
      <c r="O6" s="1233"/>
      <c r="P6" s="1233"/>
      <c r="Q6" s="1233"/>
      <c r="R6" s="1233"/>
      <c r="S6" s="1233"/>
      <c r="T6" s="1233"/>
      <c r="U6" s="1233"/>
    </row>
    <row r="7" spans="1:21" ht="9" customHeight="1" x14ac:dyDescent="0.3">
      <c r="A7" s="21"/>
      <c r="B7" s="21"/>
      <c r="C7" s="21"/>
      <c r="D7" s="21"/>
      <c r="E7" s="21"/>
      <c r="F7" s="21"/>
      <c r="G7" s="21"/>
      <c r="H7" s="21"/>
      <c r="I7" s="21"/>
      <c r="J7" s="21"/>
      <c r="K7" s="21"/>
      <c r="L7" s="21"/>
      <c r="M7" s="21"/>
      <c r="N7" s="21"/>
      <c r="O7" s="21"/>
      <c r="P7" s="21"/>
      <c r="Q7" s="21"/>
      <c r="R7" s="21"/>
      <c r="S7" s="21"/>
      <c r="T7" s="21"/>
      <c r="U7" s="21"/>
    </row>
    <row r="8" spans="1:21" ht="16.5" customHeight="1" x14ac:dyDescent="0.3">
      <c r="A8" s="21" t="s">
        <v>833</v>
      </c>
      <c r="B8" s="21"/>
      <c r="C8" s="21"/>
      <c r="D8" s="21"/>
      <c r="E8" s="21"/>
      <c r="F8" s="21"/>
      <c r="G8" s="21"/>
      <c r="H8" s="1236" t="str">
        <f>FORM!Z13</f>
        <v>WEE COMMUNITY DEVELOPERS, INC.</v>
      </c>
      <c r="I8" s="1236"/>
      <c r="J8" s="1236"/>
      <c r="K8" s="1236"/>
      <c r="L8" s="1236"/>
      <c r="M8" s="1236"/>
      <c r="N8" s="1236"/>
      <c r="O8" s="1236"/>
      <c r="P8" s="21"/>
      <c r="Q8" s="21"/>
      <c r="R8" s="21"/>
      <c r="S8" s="21"/>
      <c r="T8" s="21"/>
      <c r="U8" s="23" t="s">
        <v>834</v>
      </c>
    </row>
    <row r="9" spans="1:21" x14ac:dyDescent="0.3">
      <c r="A9" s="1235" t="s">
        <v>835</v>
      </c>
      <c r="B9" s="1235"/>
      <c r="C9" s="1235"/>
      <c r="D9" s="1235"/>
      <c r="E9" s="1235"/>
      <c r="F9" s="1235"/>
      <c r="G9" s="1235"/>
      <c r="H9" s="1235"/>
      <c r="I9" s="1235"/>
      <c r="J9" s="1235"/>
      <c r="K9" s="1235"/>
      <c r="L9" s="1235"/>
      <c r="M9" s="1235"/>
      <c r="N9" s="1235"/>
      <c r="O9" s="1235"/>
      <c r="P9" s="1235"/>
      <c r="Q9" s="1235"/>
      <c r="R9" s="1235"/>
      <c r="S9" s="1235"/>
      <c r="T9" s="1235"/>
      <c r="U9" s="1235"/>
    </row>
    <row r="10" spans="1:21" x14ac:dyDescent="0.3">
      <c r="A10" s="1240" t="str">
        <f>FORM!Z14</f>
        <v>166 A. Mabini Street, Addition Hills, San Juan City</v>
      </c>
      <c r="B10" s="1240"/>
      <c r="C10" s="1240"/>
      <c r="D10" s="1240"/>
      <c r="E10" s="1240"/>
      <c r="F10" s="1240"/>
      <c r="G10" s="1240"/>
      <c r="H10" s="1240"/>
      <c r="I10" s="1240"/>
      <c r="J10" s="1240"/>
      <c r="K10" s="1240"/>
      <c r="L10" s="1240"/>
      <c r="M10" s="1240"/>
      <c r="N10" s="1240"/>
      <c r="O10" s="1240"/>
      <c r="P10" s="1240"/>
      <c r="Q10" s="21"/>
      <c r="R10" s="21"/>
      <c r="S10" s="21"/>
      <c r="T10" s="21"/>
      <c r="U10" s="23" t="s">
        <v>836</v>
      </c>
    </row>
    <row r="11" spans="1:21" x14ac:dyDescent="0.3">
      <c r="A11" s="21" t="s">
        <v>837</v>
      </c>
      <c r="B11" s="21"/>
      <c r="C11" s="21"/>
      <c r="D11" s="21"/>
      <c r="E11" s="21"/>
      <c r="F11" s="21"/>
      <c r="G11" s="21"/>
      <c r="H11" s="21"/>
      <c r="I11" s="1234" t="str">
        <f>FORM!G11</f>
        <v>WEECOMM CENTRE</v>
      </c>
      <c r="J11" s="1234"/>
      <c r="K11" s="1234"/>
      <c r="L11" s="1234"/>
      <c r="M11" s="1234"/>
      <c r="N11" s="1234"/>
      <c r="O11" s="1234"/>
      <c r="P11" s="1234"/>
      <c r="Q11" s="1234"/>
      <c r="R11" s="1234"/>
      <c r="S11" s="1234"/>
      <c r="T11" s="1234"/>
      <c r="U11" s="1234"/>
    </row>
    <row r="12" spans="1:21" x14ac:dyDescent="0.3">
      <c r="A12" s="21" t="s">
        <v>838</v>
      </c>
      <c r="B12" s="21"/>
      <c r="C12" s="21"/>
      <c r="D12" s="21"/>
      <c r="E12" s="21"/>
      <c r="F12" s="21"/>
      <c r="G12" s="21"/>
      <c r="H12" s="21"/>
      <c r="I12" s="21"/>
      <c r="J12" s="21"/>
      <c r="K12" s="21"/>
      <c r="L12" s="21"/>
      <c r="M12" s="1229" t="str">
        <f>'RA_Step up'!M12:U12</f>
        <v>#54 Tinio St. Barangay Addition Hills, Mandaluyong City</v>
      </c>
      <c r="N12" s="1229"/>
      <c r="O12" s="1229"/>
      <c r="P12" s="1229"/>
      <c r="Q12" s="1229"/>
      <c r="R12" s="1229"/>
      <c r="S12" s="1229"/>
      <c r="T12" s="1229"/>
      <c r="U12" s="1229"/>
    </row>
    <row r="13" spans="1:21" x14ac:dyDescent="0.3">
      <c r="A13" s="21" t="s">
        <v>839</v>
      </c>
      <c r="B13" s="21"/>
      <c r="C13" s="21"/>
      <c r="D13" s="21"/>
      <c r="E13" s="21"/>
      <c r="F13" s="21"/>
      <c r="G13" s="21"/>
      <c r="H13" s="21"/>
      <c r="I13" s="21"/>
      <c r="J13" s="21"/>
      <c r="K13" s="1241" t="str">
        <f>'RA_Step up'!K13:U13</f>
        <v>2-BR BARE</v>
      </c>
      <c r="L13" s="1234"/>
      <c r="M13" s="1234"/>
      <c r="N13" s="1234"/>
      <c r="O13" s="1234"/>
      <c r="P13" s="1234"/>
      <c r="Q13" s="1234"/>
      <c r="R13" s="1234"/>
      <c r="S13" s="1234"/>
      <c r="T13" s="1234"/>
      <c r="U13" s="1234"/>
    </row>
    <row r="14" spans="1:21" ht="13.5" customHeight="1" x14ac:dyDescent="0.3">
      <c r="A14" s="21" t="s">
        <v>840</v>
      </c>
      <c r="B14" s="21"/>
      <c r="C14" s="21"/>
      <c r="D14" s="21"/>
      <c r="E14" s="21"/>
      <c r="F14" s="21"/>
      <c r="G14" s="21"/>
      <c r="H14" s="21"/>
      <c r="I14" s="21"/>
      <c r="J14" s="21"/>
      <c r="K14" s="21"/>
      <c r="L14" s="21"/>
      <c r="M14" s="21"/>
      <c r="N14" s="21"/>
      <c r="O14" s="21"/>
      <c r="P14" s="21"/>
      <c r="Q14" s="21"/>
      <c r="R14" s="21"/>
      <c r="S14" s="21"/>
      <c r="T14" s="21"/>
      <c r="U14" s="21"/>
    </row>
    <row r="15" spans="1:21" x14ac:dyDescent="0.3">
      <c r="A15" s="21"/>
      <c r="B15" s="21"/>
      <c r="C15" s="21"/>
      <c r="D15" s="21"/>
      <c r="E15" s="21"/>
      <c r="F15" s="21"/>
      <c r="G15" s="21"/>
      <c r="H15" s="21"/>
      <c r="I15" s="21"/>
      <c r="J15" s="21"/>
      <c r="K15" s="21"/>
      <c r="L15" s="21"/>
      <c r="M15" s="21"/>
      <c r="N15" s="21"/>
      <c r="O15" s="21"/>
      <c r="P15" s="21"/>
      <c r="Q15" s="21"/>
      <c r="R15" s="21"/>
      <c r="S15" s="21"/>
      <c r="T15" s="21"/>
      <c r="U15" s="21"/>
    </row>
    <row r="16" spans="1:21" x14ac:dyDescent="0.3">
      <c r="A16" s="25" t="s">
        <v>781</v>
      </c>
      <c r="B16" s="26"/>
      <c r="C16" s="26"/>
      <c r="D16" s="24"/>
      <c r="E16" s="1229" t="str">
        <f>FORM!G11</f>
        <v>WEECOMM CENTRE</v>
      </c>
      <c r="F16" s="1229"/>
      <c r="G16" s="1229"/>
      <c r="H16" s="1229"/>
      <c r="I16" s="1229"/>
      <c r="J16" s="1229"/>
      <c r="K16" s="1229"/>
      <c r="L16" s="1229"/>
      <c r="M16" s="1229"/>
      <c r="N16" s="1229"/>
      <c r="O16" s="1229"/>
      <c r="P16" s="1229"/>
      <c r="Q16" s="1229"/>
      <c r="R16" s="1229"/>
      <c r="S16" s="1229"/>
      <c r="T16" s="1229"/>
      <c r="U16" s="62"/>
    </row>
    <row r="17" spans="1:21" x14ac:dyDescent="0.3">
      <c r="A17" s="27" t="s">
        <v>782</v>
      </c>
      <c r="B17" s="28"/>
      <c r="C17" s="28"/>
      <c r="D17" s="29"/>
      <c r="E17" s="30" t="s">
        <v>841</v>
      </c>
      <c r="F17" s="29"/>
      <c r="G17" s="29"/>
      <c r="H17" s="29"/>
      <c r="I17" s="29"/>
      <c r="J17" s="29"/>
      <c r="K17" s="29"/>
      <c r="L17" s="60" t="s">
        <v>842</v>
      </c>
      <c r="M17" s="29"/>
      <c r="N17" s="29"/>
      <c r="O17" s="29"/>
      <c r="P17" s="29"/>
      <c r="Q17" s="29"/>
      <c r="R17" s="29"/>
      <c r="S17" s="29"/>
      <c r="T17" s="30" t="s">
        <v>843</v>
      </c>
      <c r="U17" s="59"/>
    </row>
    <row r="18" spans="1:21" x14ac:dyDescent="0.3">
      <c r="A18" s="31"/>
      <c r="B18" s="8"/>
      <c r="C18" s="8"/>
      <c r="D18" s="8"/>
      <c r="E18" s="32" t="s">
        <v>844</v>
      </c>
      <c r="F18" s="8"/>
      <c r="G18" s="8"/>
      <c r="H18" s="8"/>
      <c r="I18" s="8"/>
      <c r="J18" s="8"/>
      <c r="K18" s="8"/>
      <c r="L18" s="32" t="s">
        <v>786</v>
      </c>
      <c r="M18" s="8"/>
      <c r="N18" s="8"/>
      <c r="O18" s="8"/>
      <c r="P18" s="8"/>
      <c r="Q18" s="8"/>
      <c r="R18" s="8"/>
      <c r="S18" s="8"/>
      <c r="T18" s="32" t="s">
        <v>845</v>
      </c>
      <c r="U18" s="33"/>
    </row>
    <row r="19" spans="1:21" x14ac:dyDescent="0.3">
      <c r="T19" s="5" t="s">
        <v>660</v>
      </c>
    </row>
    <row r="20" spans="1:21" x14ac:dyDescent="0.3">
      <c r="A20" s="1230" t="s">
        <v>784</v>
      </c>
      <c r="B20" s="1231"/>
      <c r="C20" s="1231"/>
      <c r="D20" s="1231"/>
      <c r="E20" s="1231"/>
      <c r="F20" s="1232"/>
      <c r="G20" s="1230" t="s">
        <v>267</v>
      </c>
      <c r="H20" s="1231"/>
      <c r="I20" s="1231"/>
      <c r="J20" s="1231"/>
      <c r="K20" s="1231"/>
      <c r="L20" s="1232"/>
      <c r="M20" s="1230" t="s">
        <v>785</v>
      </c>
      <c r="N20" s="1231"/>
      <c r="O20" s="1231"/>
      <c r="P20" s="1231"/>
      <c r="Q20" s="1232"/>
      <c r="R20" s="1230" t="s">
        <v>786</v>
      </c>
      <c r="S20" s="1231"/>
      <c r="T20" s="1231"/>
      <c r="U20" s="1232"/>
    </row>
    <row r="21" spans="1:21" x14ac:dyDescent="0.3">
      <c r="A21" s="40" t="s">
        <v>787</v>
      </c>
      <c r="B21" s="41"/>
      <c r="C21" s="41"/>
      <c r="D21" s="1193">
        <f>FORM!G14</f>
        <v>1</v>
      </c>
      <c r="E21" s="1194"/>
      <c r="F21" s="1195"/>
      <c r="G21" s="40" t="s">
        <v>787</v>
      </c>
      <c r="H21" s="41"/>
      <c r="I21" s="42"/>
      <c r="J21" s="1207"/>
      <c r="K21" s="1208"/>
      <c r="L21" s="1209"/>
      <c r="M21" s="40" t="s">
        <v>788</v>
      </c>
      <c r="N21" s="41"/>
      <c r="O21" s="42"/>
      <c r="P21" s="1210"/>
      <c r="Q21" s="1197"/>
      <c r="R21" s="101" t="s">
        <v>787</v>
      </c>
      <c r="S21" s="102"/>
      <c r="T21" s="1213"/>
      <c r="U21" s="1214"/>
    </row>
    <row r="22" spans="1:21" x14ac:dyDescent="0.3">
      <c r="A22" s="36" t="s">
        <v>789</v>
      </c>
      <c r="B22" s="37"/>
      <c r="C22" s="37"/>
      <c r="D22" s="1193" t="str">
        <f>'RA_Step up'!D22:E22</f>
        <v>GF</v>
      </c>
      <c r="E22" s="1194"/>
      <c r="F22" s="55"/>
      <c r="G22" s="40" t="s">
        <v>790</v>
      </c>
      <c r="H22" s="41"/>
      <c r="I22" s="42"/>
      <c r="J22" s="1207"/>
      <c r="K22" s="1208"/>
      <c r="L22" s="1209"/>
      <c r="M22" s="40" t="s">
        <v>791</v>
      </c>
      <c r="N22" s="41"/>
      <c r="O22" s="42"/>
      <c r="P22" s="1210"/>
      <c r="Q22" s="1197"/>
      <c r="R22" s="101" t="s">
        <v>792</v>
      </c>
      <c r="S22" s="102"/>
      <c r="T22" s="1213"/>
      <c r="U22" s="1214"/>
    </row>
    <row r="23" spans="1:21" x14ac:dyDescent="0.3">
      <c r="A23" s="40" t="s">
        <v>792</v>
      </c>
      <c r="B23" s="41"/>
      <c r="C23" s="42"/>
      <c r="D23" s="1193" t="str">
        <f>'RA_Step up'!D23:E23</f>
        <v>9G</v>
      </c>
      <c r="E23" s="1194"/>
      <c r="F23" s="55"/>
      <c r="G23" s="40" t="s">
        <v>793</v>
      </c>
      <c r="H23" s="41"/>
      <c r="I23" s="42"/>
      <c r="J23" s="1207"/>
      <c r="K23" s="1208"/>
      <c r="L23" s="1209"/>
      <c r="M23" s="40" t="s">
        <v>794</v>
      </c>
      <c r="N23" s="41"/>
      <c r="O23" s="42"/>
      <c r="P23" s="1210"/>
      <c r="Q23" s="1197"/>
      <c r="R23" s="101" t="s">
        <v>795</v>
      </c>
      <c r="S23" s="102"/>
      <c r="T23" s="1213"/>
      <c r="U23" s="1214"/>
    </row>
    <row r="24" spans="1:21" ht="16.5" customHeight="1" x14ac:dyDescent="0.3">
      <c r="A24" s="36" t="s">
        <v>80</v>
      </c>
      <c r="B24" s="37"/>
      <c r="C24" s="37"/>
      <c r="D24" s="1242">
        <f>'STANDARD COMP.'!E13</f>
        <v>108.78</v>
      </c>
      <c r="E24" s="1243"/>
      <c r="F24" s="55" t="s">
        <v>693</v>
      </c>
      <c r="G24" s="40" t="s">
        <v>795</v>
      </c>
      <c r="H24" s="41"/>
      <c r="I24" s="42"/>
      <c r="J24" s="1207"/>
      <c r="K24" s="1208"/>
      <c r="L24" s="1209"/>
      <c r="M24" s="36" t="s">
        <v>846</v>
      </c>
      <c r="N24" s="37"/>
      <c r="O24" s="37"/>
      <c r="P24" s="1210"/>
      <c r="Q24" s="1197"/>
      <c r="R24" s="1215" t="s">
        <v>796</v>
      </c>
      <c r="S24" s="1216"/>
      <c r="T24" s="1221"/>
      <c r="U24" s="1222"/>
    </row>
    <row r="25" spans="1:21" x14ac:dyDescent="0.3">
      <c r="A25" s="40" t="s">
        <v>797</v>
      </c>
      <c r="B25" s="41"/>
      <c r="C25" s="42"/>
      <c r="D25" s="1237" t="str">
        <f>K13</f>
        <v>2-BR BARE</v>
      </c>
      <c r="E25" s="1194"/>
      <c r="F25" s="1195"/>
      <c r="G25" s="40" t="s">
        <v>798</v>
      </c>
      <c r="H25" s="41"/>
      <c r="I25" s="42"/>
      <c r="J25" s="1207"/>
      <c r="K25" s="1208"/>
      <c r="L25" s="1209"/>
      <c r="M25" s="40" t="s">
        <v>800</v>
      </c>
      <c r="N25" s="41"/>
      <c r="O25" s="42"/>
      <c r="P25" s="1193"/>
      <c r="Q25" s="1195"/>
      <c r="R25" s="1219"/>
      <c r="S25" s="1220"/>
      <c r="T25" s="1225"/>
      <c r="U25" s="1226"/>
    </row>
    <row r="27" spans="1:21" x14ac:dyDescent="0.3">
      <c r="A27" s="40" t="s">
        <v>37</v>
      </c>
      <c r="B27" s="41"/>
      <c r="C27" s="41"/>
      <c r="D27" s="41"/>
      <c r="E27" s="41"/>
      <c r="F27" s="41"/>
      <c r="G27" s="41"/>
      <c r="H27" s="42"/>
      <c r="I27" s="1199">
        <f>'SPOT EQUITY_7DAYS'!F15</f>
        <v>20466686.730335645</v>
      </c>
      <c r="J27" s="1200"/>
      <c r="K27" s="1200"/>
      <c r="L27" s="1200"/>
      <c r="M27" s="1200"/>
      <c r="N27" s="1200"/>
      <c r="O27" s="1200"/>
      <c r="P27" s="1200"/>
      <c r="Q27" s="1200"/>
      <c r="R27" s="1200"/>
      <c r="S27" s="1200"/>
      <c r="T27" s="1200"/>
      <c r="U27" s="1201"/>
    </row>
    <row r="28" spans="1:21" x14ac:dyDescent="0.3">
      <c r="A28" s="40" t="s">
        <v>801</v>
      </c>
      <c r="B28" s="41"/>
      <c r="C28" s="43"/>
      <c r="D28" s="43"/>
      <c r="E28" s="43"/>
      <c r="F28" s="43"/>
      <c r="G28" s="43"/>
      <c r="H28" s="44"/>
      <c r="I28" s="1202">
        <f>'SPOT EQUITY_7DAYS'!F17</f>
        <v>0</v>
      </c>
      <c r="J28" s="1203"/>
      <c r="K28" s="1203"/>
      <c r="L28" s="1203"/>
      <c r="M28" s="1203"/>
      <c r="N28" s="1203"/>
      <c r="O28" s="1203"/>
      <c r="P28" s="1203"/>
      <c r="Q28" s="1203"/>
      <c r="R28" s="1203"/>
      <c r="S28" s="1203"/>
      <c r="T28" s="1203"/>
      <c r="U28" s="1204"/>
    </row>
    <row r="29" spans="1:21" x14ac:dyDescent="0.3">
      <c r="A29" s="52" t="s">
        <v>92</v>
      </c>
      <c r="B29" s="53"/>
      <c r="C29" s="54"/>
      <c r="D29" s="54"/>
      <c r="E29" s="54"/>
      <c r="F29" s="54"/>
      <c r="G29" s="54"/>
      <c r="H29" s="51"/>
      <c r="I29" s="1199">
        <f>'SPOT EQUITY_7DAYS'!F18</f>
        <v>20210853.14620645</v>
      </c>
      <c r="J29" s="1200"/>
      <c r="K29" s="1200"/>
      <c r="L29" s="1200"/>
      <c r="M29" s="1200"/>
      <c r="N29" s="1200"/>
      <c r="O29" s="1200"/>
      <c r="P29" s="1200"/>
      <c r="Q29" s="1200"/>
      <c r="R29" s="1200"/>
      <c r="S29" s="1200"/>
      <c r="T29" s="1200"/>
      <c r="U29" s="1201"/>
    </row>
    <row r="30" spans="1:21" x14ac:dyDescent="0.3">
      <c r="A30" s="40" t="s">
        <v>802</v>
      </c>
      <c r="B30" s="41"/>
      <c r="C30" s="43"/>
      <c r="D30" s="43"/>
      <c r="E30" s="43"/>
      <c r="F30" s="43"/>
      <c r="G30" s="43"/>
      <c r="H30" s="44"/>
      <c r="I30" s="1199">
        <f>'SPOT EQUITY_7DAYS'!F20</f>
        <v>2046668.6730335646</v>
      </c>
      <c r="J30" s="1200"/>
      <c r="K30" s="1200"/>
      <c r="L30" s="1200"/>
      <c r="M30" s="1200"/>
      <c r="N30" s="1200"/>
      <c r="O30" s="1200"/>
      <c r="P30" s="1200"/>
      <c r="Q30" s="1200"/>
      <c r="R30" s="1200"/>
      <c r="S30" s="1200"/>
      <c r="T30" s="1200"/>
      <c r="U30" s="1201"/>
    </row>
    <row r="31" spans="1:21" hidden="1" x14ac:dyDescent="0.3">
      <c r="A31" s="38" t="s">
        <v>847</v>
      </c>
      <c r="B31" s="39"/>
      <c r="C31" s="48"/>
      <c r="D31" s="48"/>
      <c r="E31" s="48"/>
      <c r="F31" s="48"/>
      <c r="G31" s="48"/>
      <c r="H31" s="49"/>
      <c r="I31" s="1199">
        <f>'SPOT EQUITY_7DAYS'!F20</f>
        <v>2046668.6730335646</v>
      </c>
      <c r="J31" s="1200"/>
      <c r="K31" s="1200"/>
      <c r="L31" s="1200"/>
      <c r="M31" s="1200"/>
      <c r="N31" s="1200"/>
      <c r="O31" s="1200"/>
      <c r="P31" s="1200"/>
      <c r="Q31" s="1200"/>
      <c r="R31" s="1200"/>
      <c r="S31" s="1200"/>
      <c r="T31" s="1200"/>
      <c r="U31" s="1201"/>
    </row>
    <row r="32" spans="1:21" x14ac:dyDescent="0.3">
      <c r="A32" s="40" t="s">
        <v>803</v>
      </c>
      <c r="B32" s="41"/>
      <c r="C32" s="43"/>
      <c r="D32" s="43"/>
      <c r="E32" s="43"/>
      <c r="F32" s="43"/>
      <c r="G32" s="43"/>
      <c r="H32" s="44"/>
      <c r="I32" s="1199">
        <f>'SPOT EQUITY_7DAYS'!F21</f>
        <v>2425302.3775447737</v>
      </c>
      <c r="J32" s="1200"/>
      <c r="K32" s="1200"/>
      <c r="L32" s="1200"/>
      <c r="M32" s="1200"/>
      <c r="N32" s="1200"/>
      <c r="O32" s="1200"/>
      <c r="P32" s="1200"/>
      <c r="Q32" s="1200"/>
      <c r="R32" s="1200"/>
      <c r="S32" s="1200"/>
      <c r="T32" s="1200"/>
      <c r="U32" s="1201"/>
    </row>
    <row r="33" spans="1:21" x14ac:dyDescent="0.3">
      <c r="A33" s="40" t="s">
        <v>41</v>
      </c>
      <c r="B33" s="41"/>
      <c r="C33" s="43"/>
      <c r="D33" s="43"/>
      <c r="E33" s="43"/>
      <c r="F33" s="43"/>
      <c r="G33" s="43"/>
      <c r="H33" s="44"/>
      <c r="I33" s="1199">
        <f>'SPOT EQUITY_7DAYS'!E23</f>
        <v>24682824.196784787</v>
      </c>
      <c r="J33" s="1200"/>
      <c r="K33" s="1200"/>
      <c r="L33" s="1200"/>
      <c r="M33" s="1200"/>
      <c r="N33" s="1200"/>
      <c r="O33" s="1200"/>
      <c r="P33" s="1200"/>
      <c r="Q33" s="1200"/>
      <c r="R33" s="1200"/>
      <c r="S33" s="1200"/>
      <c r="T33" s="1200"/>
      <c r="U33" s="1201"/>
    </row>
    <row r="35" spans="1:21" x14ac:dyDescent="0.3">
      <c r="A35" s="74" t="s">
        <v>848</v>
      </c>
      <c r="B35" s="45"/>
      <c r="C35" s="45"/>
      <c r="D35" s="45"/>
      <c r="E35" s="45"/>
      <c r="F35" s="45"/>
      <c r="G35" s="46"/>
      <c r="H35" s="46"/>
      <c r="I35" s="46"/>
      <c r="J35" s="46"/>
      <c r="K35" s="46"/>
      <c r="L35" s="46"/>
      <c r="M35" s="46"/>
      <c r="N35" s="46"/>
      <c r="O35" s="46"/>
      <c r="P35" s="46"/>
      <c r="Q35" s="46"/>
      <c r="R35" s="46"/>
      <c r="S35" s="46"/>
      <c r="T35" s="46"/>
      <c r="U35" s="47"/>
    </row>
    <row r="36" spans="1:21" ht="4.5" customHeight="1" x14ac:dyDescent="0.3">
      <c r="A36" s="34"/>
      <c r="B36" s="18"/>
      <c r="C36" s="18"/>
      <c r="D36" s="18"/>
      <c r="E36" s="18"/>
      <c r="F36" s="18"/>
      <c r="G36" s="18"/>
      <c r="H36" s="18"/>
      <c r="I36" s="18"/>
      <c r="J36" s="18"/>
      <c r="K36" s="18"/>
      <c r="L36" s="18"/>
      <c r="M36" s="18"/>
      <c r="N36" s="18"/>
      <c r="O36" s="18"/>
      <c r="P36" s="18"/>
      <c r="Q36" s="18"/>
      <c r="R36" s="18"/>
      <c r="S36" s="18"/>
      <c r="T36" s="18"/>
      <c r="U36" s="35"/>
    </row>
    <row r="37" spans="1:21" x14ac:dyDescent="0.3">
      <c r="A37" s="34"/>
      <c r="B37" s="18"/>
      <c r="C37" s="18"/>
      <c r="D37" s="18" t="s">
        <v>849</v>
      </c>
      <c r="E37" s="18"/>
      <c r="F37" s="18"/>
      <c r="G37" s="18"/>
      <c r="H37" s="18"/>
      <c r="I37" s="18"/>
      <c r="J37" s="18"/>
      <c r="K37" s="18"/>
      <c r="L37" s="18"/>
      <c r="M37" s="18" t="s">
        <v>850</v>
      </c>
      <c r="O37" s="18"/>
      <c r="P37" s="18"/>
      <c r="Q37" s="18"/>
      <c r="R37" s="18"/>
      <c r="S37" s="18" t="s">
        <v>851</v>
      </c>
      <c r="T37" s="18"/>
      <c r="U37" s="35"/>
    </row>
    <row r="38" spans="1:21" ht="4.5" customHeight="1" x14ac:dyDescent="0.3">
      <c r="A38" s="75"/>
      <c r="B38" s="32"/>
      <c r="C38" s="32"/>
      <c r="D38" s="32"/>
      <c r="E38" s="32"/>
      <c r="F38" s="32"/>
      <c r="G38" s="32"/>
      <c r="H38" s="32"/>
      <c r="I38" s="32"/>
      <c r="J38" s="32"/>
      <c r="K38" s="32"/>
      <c r="L38" s="32"/>
      <c r="M38" s="32"/>
      <c r="N38" s="32"/>
      <c r="O38" s="32"/>
      <c r="P38" s="32"/>
      <c r="Q38" s="32"/>
      <c r="R38" s="32"/>
      <c r="S38" s="32"/>
      <c r="T38" s="32"/>
      <c r="U38" s="76"/>
    </row>
    <row r="39" spans="1:21" ht="11.25" customHeight="1" x14ac:dyDescent="0.3"/>
    <row r="40" spans="1:21" x14ac:dyDescent="0.3">
      <c r="A40" s="6" t="s">
        <v>852</v>
      </c>
    </row>
    <row r="41" spans="1:21" ht="13.5" customHeight="1" x14ac:dyDescent="0.3">
      <c r="A41" s="88" t="s">
        <v>853</v>
      </c>
      <c r="C41" s="1247" t="s">
        <v>854</v>
      </c>
      <c r="D41" s="1247"/>
      <c r="E41" s="1247"/>
      <c r="F41" s="1247"/>
      <c r="G41" s="1247"/>
      <c r="H41" s="1247"/>
      <c r="I41" s="1247"/>
      <c r="J41" s="1247"/>
      <c r="K41" s="1247"/>
      <c r="L41" s="1247"/>
      <c r="M41" s="1247"/>
      <c r="N41" s="1247"/>
      <c r="O41" s="1250" t="str">
        <f>IF(OR(LEN(FLOOR(T41,1))=13,FLOOR(T41,1)&lt;=0),"Out of range",PROPER(SUBSTITUTE(CONCATENATE(CHOOSE(MID(TEXT(INT(T41),REPT(0,12)),1,1)+1,"","one hundred ","two hundred ","three hundred ","four hundred ","five hundred ","six hundred ","seven hundred ","eight hundred ","nine hundred "),CHOOSE(MID(TEXT(INT(T41),REPT(0,12)),2,1)+1,"",CHOOSE(MID(TEXT(INT(T41),REPT(0,12)),3,1)+1,"ten","eleven","twelve","thirteen","fourteen","fifteen","sixteen","seventeen","eighteen","nineteen"),"twenty","thirty","forty","fifty","sixty","seventy","eighty","ninety"),IF(VALUE(MID(TEXT(INT(T41),REPT(0,12)),2,1))&gt;1,CHOOSE(MID(TEXT(INT(T41),REPT(0,12)),3,1)+1,"","-one","-two","-three","-four","-five","-six","-seven","-eight","-nine"),IF(VALUE(MID(TEXT(INT(T41),REPT(0,12)),2,1))=0,CHOOSE(MID(TEXT(INT(T41),REPT(0,12)),3,1)+1,"","one","two","three","four","five","six","seven","eight","nine"),"")),IF(T41&gt;=10^9," billion ",""),CHOOSE(MID(TEXT(INT(T41),REPT(0,12)),4,1)+1,"","one hundred ","two hundred ","three hundred ","four hundred ","five hundred ","six hundred ","seven hundred ","eight hundred ","nine hundred "),CHOOSE(MID(TEXT(INT(T41),REPT(0,12)),5,1)+1,"",CHOOSE(MID(TEXT(INT(T41),REPT(0,12)),6,1)+1,"ten","eleven","twelve","thirteen","fourteen","fifteen","sixteen","seventeen","eighteen","nineteen"),"twenty","thirty","forty","fifty","sixty","seventy","eighty","ninety"),IF(VALUE(MID(TEXT(INT(T41),REPT(0,12)),5,1))&gt;1,CHOOSE(MID(TEXT(INT(T41),REPT(0,12)),6,1)+1,"","-one","-two","-three","-four","-five","-six","-seven","-eight","-nine"),IF(VALUE(MID(TEXT(INT(T41),REPT(0,12)),5,1))=0,CHOOSE(MID(TEXT(INT(T41),REPT(0,12)),6,1)+1,"","one","two","three","four","five","six","seven","eight","nine"),"")),IF(VALUE(MID(TEXT(INT(T41),REPT(0,12)),4,3))&gt;0," million ",""),CHOOSE(MID(TEXT(INT(T41),REPT(0,12)),7,1)+1,"","one hundred ","two hundred ","three hundred ","four hundred ","five hundred ","six hundred ","seven hundred ","eight hundred ","nine hundred "),CHOOSE(MID(TEXT(INT(T41),REPT(0,12)),8,1)+1,"",CHOOSE(MID(TEXT(INT(T41),REPT(0,12)),9,1)+1,"ten","eleven","twelve","thirteen","fourteen","fifteen","sixteen","seventeen","eighteen","nineteen"),"twenty","thirty","forty","fifty","sixty","seventy","eighty","ninety"),IF(VALUE(MID(TEXT(INT(T41),REPT(0,12)),8,1))&gt;1,CHOOSE(MID(TEXT(INT(T41),REPT(0,12)),9,1)+1,"","-one","-two","-three","-four","-five","-six","-seven","-eight","-nine"),IF(VALUE(MID(TEXT(INT(T41),REPT(0,12)),8,1))=0,CHOOSE(MID(TEXT(INT(T41),REPT(0,12)),9,1)+1,"","one","two","three","four","five","six","seven","eight","nine"),"")),IF(VALUE(MID(TEXT(INT(T41),REPT(0,12)),7,3))," thousand ",""),CHOOSE(MID(TEXT(INT(T41),REPT(0,12)),10,1)+1,"","one hundred ","two hundred ","three hundred ","four hundred ","five hundred ","six hundred ","seven hundred ","eight hundred ","nine hundred "),CHOOSE(MID(TEXT(INT(T41),REPT(0,12)),11,1)+1,"",CHOOSE(MID(TEXT(INT(T41),REPT(0,12)),12,1)+1,"ten","eleven","twelve","thirteen","fourteen","fifteen","sixteen","seventeen","eighteen","nineteen"),"twenty","thirty","forty","fifty","sixty","seventy","eighty","ninety"),IF(VALUE(MID(TEXT(INT(T41),REPT(0,12)),11,1))&gt;1,CHOOSE(MID(TEXT(INT(T41),REPT(0,12)),12,1)+1,"","-one","-two","-three","-four","-five","-six","-seven","-eight","-nine"),IF(VALUE(MID(TEXT(INT(T41),REPT(0,12)),11,1))=0,CHOOSE(MID(TEXT(INT(T41),REPT(0,12)),12,1)+1,"","one","two","three","four","five","six","seven","eight","nine"),""))),"  "," ")&amp;IF(FLOOR(T41,1)&gt;1," PESOS"," dollar"))&amp;IF(ISERROR(FIND(".",T41,1)),""," and "&amp;PROPER(IF(LEN(LEFT(TRIM(MID(SUBSTITUTE([22]Sheet1!A2,".",REPT(" ",255)),255,200)),2))=1,CHOOSE(1*LEFT(TRIM(MID(SUBSTITUTE([22]Sheet1!A2,".",REPT(" ",255)),255,200)),2),"ten","twenty","thirty","forty","fifty","sixty","seventy","eighty","ninety")&amp;" cents","")&amp;CONCATENATE(CHOOSE(MID(TEXT(INT(LEFT(TRIM(MID(SUBSTITUTE([22]Sheet1!A2,".",REPT(" ",255)),255,200)),2)),REPT(0,12)),11,1)+1,"",CHOOSE(MID(TEXT(INT(LEFT(TRIM(MID(SUBSTITUTE([22]Sheet1!A2,".",REPT(" ",255)),255,200)),2)),REPT(0,12)),12,1)+1,"ten","eleven","twelve","thirteen","fourteen","fifteen","sixteen","seventeen","eighteen","nineteen")&amp;" cents","twenty","thirty","forty","fifty","sixty","seventy","eighty","ninety"),IF(VALUE(MID(TEXT(INT(LEFT(TRIM(MID(SUBSTITUTE([22]Sheet1!A2,".",REPT(" ",255)),255,200)),2)),REPT(0,12)),11,1))&gt;1,CHOOSE(MID(TEXT(INT(LEFT(TRIM(MID(SUBSTITUTE([22]Sheet1!A2,".",REPT(" ",255)),255,200)),2)),REPT(0,12)),12,1)+1,"","-one","-two","-three","-four","-five","-six","-seven","-eight","-nine")&amp;" cents",IF(LEFT(TRIM(MID(SUBSTITUTE([22]Sheet1!A2,".",REPT(" ",255)),255,200)),2)="01","one cent",IF(LEFT(TRIM(MID(SUBSTITUTE([22]Sheet1!A2,".",REPT(" ",255)),255,200)),1)="0",CHOOSE(MID(TEXT(INT(LEFT(TRIM(MID(SUBSTITUTE([22]Sheet1!A2,".",REPT(" ",255)),255,200)),2)),REPT(0,12)),12,1)+1,"","one","two","three","four","five","six","seven","eight","nine")&amp;" cents","")))))))</f>
        <v>Fifty Thousand  Pesos</v>
      </c>
      <c r="P41" s="1250"/>
      <c r="Q41" s="1250"/>
      <c r="R41" s="1250"/>
      <c r="S41" s="97" t="s">
        <v>855</v>
      </c>
      <c r="T41" s="83">
        <f>FORM!G24</f>
        <v>50000</v>
      </c>
      <c r="U41" s="84" t="s">
        <v>856</v>
      </c>
    </row>
    <row r="42" spans="1:21" ht="13.5" customHeight="1" x14ac:dyDescent="0.3">
      <c r="A42" s="77"/>
      <c r="B42" s="78"/>
      <c r="C42" s="78"/>
      <c r="D42" s="78"/>
      <c r="E42" s="78"/>
      <c r="F42" s="78"/>
      <c r="G42" s="78"/>
      <c r="H42" s="78"/>
      <c r="I42" s="78"/>
      <c r="J42" s="78"/>
      <c r="K42" s="78"/>
      <c r="L42" s="78"/>
      <c r="M42" s="78"/>
      <c r="N42" s="78"/>
      <c r="O42" s="95"/>
      <c r="P42" s="95"/>
      <c r="Q42" s="95"/>
      <c r="R42" s="95"/>
      <c r="S42" s="61"/>
      <c r="T42" s="96"/>
      <c r="U42" s="61"/>
    </row>
    <row r="43" spans="1:21" ht="13.5" customHeight="1" x14ac:dyDescent="0.3">
      <c r="A43" s="77"/>
      <c r="B43" s="78"/>
      <c r="C43" s="78"/>
      <c r="D43" s="78"/>
      <c r="E43" s="78"/>
      <c r="F43" s="78"/>
      <c r="G43" s="78"/>
      <c r="H43" s="78"/>
      <c r="I43" s="78"/>
      <c r="J43" s="78"/>
      <c r="K43" s="78"/>
      <c r="L43" s="78"/>
      <c r="M43" s="78"/>
      <c r="N43" s="78"/>
      <c r="O43" s="95"/>
      <c r="P43" s="95"/>
      <c r="Q43" s="95"/>
      <c r="R43" s="95"/>
      <c r="S43" s="61"/>
      <c r="T43" s="96"/>
      <c r="U43" s="61"/>
    </row>
    <row r="44" spans="1:21" ht="13.5" customHeight="1" x14ac:dyDescent="0.3">
      <c r="A44" s="77"/>
      <c r="B44" s="78"/>
      <c r="C44" s="78"/>
      <c r="D44" s="78"/>
      <c r="E44" s="78"/>
      <c r="F44" s="78"/>
      <c r="G44" s="78"/>
      <c r="H44" s="78"/>
      <c r="I44" s="78"/>
      <c r="J44" s="78"/>
      <c r="K44" s="78"/>
      <c r="L44" s="78"/>
      <c r="M44" s="78"/>
      <c r="N44" s="78"/>
      <c r="O44" s="95"/>
      <c r="P44" s="95"/>
      <c r="Q44" s="95"/>
      <c r="R44" s="95"/>
      <c r="S44" s="61"/>
      <c r="T44" s="96"/>
      <c r="U44" s="61"/>
    </row>
    <row r="45" spans="1:21" ht="13.5" customHeight="1" x14ac:dyDescent="0.3">
      <c r="A45" s="77"/>
      <c r="B45" s="78"/>
      <c r="C45" s="78"/>
      <c r="D45" s="78"/>
      <c r="E45" s="78" t="s">
        <v>660</v>
      </c>
      <c r="F45" s="78"/>
      <c r="G45" s="78"/>
      <c r="H45" s="78"/>
      <c r="I45" s="78"/>
      <c r="J45" s="78"/>
      <c r="K45" s="78"/>
      <c r="L45" s="78"/>
      <c r="M45" s="78"/>
      <c r="N45" s="78"/>
      <c r="O45" s="95"/>
      <c r="P45" s="95"/>
      <c r="Q45" s="95"/>
      <c r="R45" s="95"/>
      <c r="S45" s="61"/>
      <c r="T45" s="96"/>
      <c r="U45" s="61"/>
    </row>
    <row r="46" spans="1:21" ht="13.5" customHeight="1" x14ac:dyDescent="0.3">
      <c r="A46" s="77"/>
      <c r="B46" s="78"/>
      <c r="C46" s="78"/>
      <c r="D46" s="78"/>
      <c r="E46" s="78"/>
      <c r="F46" s="78"/>
      <c r="G46" s="78"/>
      <c r="H46" s="78"/>
      <c r="I46" s="78"/>
      <c r="J46" s="78"/>
      <c r="K46" s="78"/>
      <c r="L46" s="78"/>
      <c r="M46" s="78"/>
      <c r="N46" s="78"/>
      <c r="O46" s="95"/>
      <c r="P46" s="95"/>
      <c r="Q46" s="95"/>
      <c r="R46" s="95"/>
      <c r="S46" s="61"/>
      <c r="T46" s="96"/>
      <c r="U46" s="61"/>
    </row>
    <row r="47" spans="1:21" ht="13.5" customHeight="1" x14ac:dyDescent="0.3">
      <c r="A47" s="77"/>
      <c r="B47" s="78"/>
      <c r="C47" s="78"/>
      <c r="D47" s="78"/>
      <c r="E47" s="78"/>
      <c r="F47" s="78"/>
      <c r="G47" s="78"/>
      <c r="H47" s="78"/>
      <c r="I47" s="78"/>
      <c r="J47" s="78"/>
      <c r="K47" s="78"/>
      <c r="L47" s="78"/>
      <c r="M47" s="78"/>
      <c r="N47" s="78"/>
      <c r="O47" s="95"/>
      <c r="P47" s="95"/>
      <c r="Q47" s="95"/>
      <c r="R47" s="95"/>
      <c r="S47" s="61"/>
      <c r="T47" s="96"/>
      <c r="U47" s="61"/>
    </row>
    <row r="48" spans="1:21" ht="13.5" customHeight="1" x14ac:dyDescent="0.3">
      <c r="A48" s="77"/>
      <c r="B48" s="78"/>
      <c r="C48" s="78"/>
      <c r="D48" s="78"/>
      <c r="E48" s="78"/>
      <c r="F48" s="78"/>
      <c r="G48" s="78"/>
      <c r="H48" s="78"/>
      <c r="I48" s="78"/>
      <c r="J48" s="78"/>
      <c r="K48" s="78"/>
      <c r="L48" s="78"/>
      <c r="M48" s="78"/>
      <c r="N48" s="78"/>
      <c r="O48" s="95"/>
      <c r="P48" s="95"/>
      <c r="Q48" s="95"/>
      <c r="R48" s="95"/>
      <c r="S48" s="61"/>
      <c r="T48" s="96"/>
      <c r="U48" s="61"/>
    </row>
    <row r="49" spans="1:21" ht="13.5" customHeight="1" x14ac:dyDescent="0.3">
      <c r="A49" s="77"/>
      <c r="B49" s="78"/>
      <c r="C49" s="78"/>
      <c r="D49" s="78"/>
      <c r="E49" s="78"/>
      <c r="F49" s="78"/>
      <c r="G49" s="78"/>
      <c r="H49" s="78"/>
      <c r="I49" s="78"/>
      <c r="J49" s="78"/>
      <c r="K49" s="78"/>
      <c r="L49" s="78"/>
      <c r="M49" s="78"/>
      <c r="N49" s="78"/>
      <c r="O49" s="95"/>
      <c r="P49" s="95"/>
      <c r="Q49" s="95"/>
      <c r="R49" s="95"/>
      <c r="S49" s="61"/>
      <c r="T49" s="96"/>
      <c r="U49" s="61"/>
    </row>
    <row r="50" spans="1:21" ht="13.5" customHeight="1" x14ac:dyDescent="0.3">
      <c r="A50" s="77"/>
      <c r="B50" s="78"/>
      <c r="C50" s="78"/>
      <c r="D50" s="78"/>
      <c r="E50" s="78"/>
      <c r="F50" s="78"/>
      <c r="G50" s="78"/>
      <c r="H50" s="78"/>
      <c r="I50" s="78"/>
      <c r="J50" s="78"/>
      <c r="K50" s="78"/>
      <c r="L50" s="78"/>
      <c r="M50" s="78"/>
      <c r="N50" s="78"/>
      <c r="O50" s="95"/>
      <c r="P50" s="95"/>
      <c r="Q50" s="95"/>
      <c r="R50" s="95"/>
      <c r="S50" s="61"/>
      <c r="T50" s="96"/>
      <c r="U50" s="61"/>
    </row>
    <row r="51" spans="1:21" ht="13.5" customHeight="1" x14ac:dyDescent="0.3">
      <c r="A51" s="77"/>
      <c r="B51" s="78"/>
      <c r="C51" s="78"/>
      <c r="D51" s="78"/>
      <c r="E51" s="78"/>
      <c r="F51" s="78"/>
      <c r="G51" s="78"/>
      <c r="H51" s="78"/>
      <c r="I51" s="78"/>
      <c r="J51" s="78"/>
      <c r="K51" s="78"/>
      <c r="L51" s="78"/>
      <c r="M51" s="78"/>
      <c r="N51" s="78"/>
      <c r="O51" s="95"/>
      <c r="P51" s="95"/>
      <c r="Q51" s="95"/>
      <c r="R51" s="95"/>
      <c r="S51" s="61"/>
      <c r="T51" s="96"/>
      <c r="U51" s="61"/>
    </row>
    <row r="52" spans="1:21" ht="13.5" customHeight="1" x14ac:dyDescent="0.3">
      <c r="A52" s="77"/>
      <c r="B52" s="78"/>
      <c r="C52" s="78"/>
      <c r="D52" s="78"/>
      <c r="E52" s="78"/>
      <c r="F52" s="78"/>
      <c r="G52" s="78"/>
      <c r="H52" s="78"/>
      <c r="I52" s="78"/>
      <c r="J52" s="78"/>
      <c r="K52" s="78"/>
      <c r="L52" s="78"/>
      <c r="M52" s="78"/>
      <c r="N52" s="78"/>
      <c r="O52" s="95"/>
      <c r="P52" s="95"/>
      <c r="Q52" s="95"/>
      <c r="R52" s="95"/>
      <c r="S52" s="61"/>
      <c r="T52" s="96"/>
      <c r="U52" s="61"/>
    </row>
    <row r="53" spans="1:21" ht="13.5" customHeight="1" x14ac:dyDescent="0.3">
      <c r="A53" s="77"/>
      <c r="B53" s="78"/>
      <c r="C53" s="78"/>
      <c r="D53" s="78"/>
      <c r="E53" s="78"/>
      <c r="F53" s="78"/>
      <c r="G53" s="78"/>
      <c r="H53" s="78"/>
      <c r="I53" s="78"/>
      <c r="J53" s="78"/>
      <c r="K53" s="78"/>
      <c r="L53" s="78"/>
      <c r="M53" s="78"/>
      <c r="N53" s="78"/>
      <c r="O53" s="95"/>
      <c r="P53" s="95"/>
      <c r="Q53" s="95"/>
      <c r="R53" s="95"/>
      <c r="S53" s="61"/>
      <c r="T53" s="96"/>
      <c r="U53" s="61"/>
    </row>
    <row r="54" spans="1:21" ht="13.5" customHeight="1" x14ac:dyDescent="0.3">
      <c r="A54" s="77"/>
      <c r="B54" s="78"/>
      <c r="C54" s="78"/>
      <c r="D54" s="78"/>
      <c r="E54" s="78"/>
      <c r="F54" s="78"/>
      <c r="G54" s="78"/>
      <c r="H54" s="78"/>
      <c r="I54" s="78"/>
      <c r="J54" s="78"/>
      <c r="K54" s="78"/>
      <c r="L54" s="78"/>
      <c r="M54" s="78"/>
      <c r="N54" s="78"/>
      <c r="O54" s="95"/>
      <c r="P54" s="95"/>
      <c r="Q54" s="95"/>
      <c r="R54" s="95"/>
      <c r="S54" s="61"/>
      <c r="T54" s="96"/>
      <c r="U54" s="61"/>
    </row>
    <row r="55" spans="1:21" ht="13.5" customHeight="1" x14ac:dyDescent="0.3">
      <c r="A55" s="77"/>
      <c r="B55" s="78"/>
      <c r="C55" s="78"/>
      <c r="D55" s="78"/>
      <c r="E55" s="78"/>
      <c r="F55" s="78"/>
      <c r="G55" s="78"/>
      <c r="H55" s="78"/>
      <c r="I55" s="78"/>
      <c r="J55" s="78"/>
      <c r="K55" s="78"/>
      <c r="L55" s="78"/>
      <c r="M55" s="78"/>
      <c r="N55" s="78"/>
      <c r="O55" s="95"/>
      <c r="P55" s="95"/>
      <c r="Q55" s="95"/>
      <c r="R55" s="95"/>
      <c r="S55" s="61"/>
      <c r="T55" s="96"/>
      <c r="U55" s="61"/>
    </row>
    <row r="56" spans="1:21" ht="13.5" customHeight="1" x14ac:dyDescent="0.3">
      <c r="A56" s="77"/>
      <c r="B56" s="78"/>
      <c r="C56" s="78"/>
      <c r="D56" s="78"/>
      <c r="E56" s="78"/>
      <c r="F56" s="78"/>
      <c r="G56" s="78"/>
      <c r="H56" s="78"/>
      <c r="I56" s="78"/>
      <c r="J56" s="78"/>
      <c r="K56" s="78"/>
      <c r="L56" s="78"/>
      <c r="M56" s="78"/>
      <c r="N56" s="78"/>
      <c r="O56" s="95"/>
      <c r="P56" s="95"/>
      <c r="Q56" s="95"/>
      <c r="R56" s="95"/>
      <c r="S56" s="61"/>
      <c r="T56" s="96"/>
      <c r="U56" s="61"/>
    </row>
    <row r="57" spans="1:21" ht="13.5" customHeight="1" x14ac:dyDescent="0.3">
      <c r="A57" s="77"/>
      <c r="B57" s="78"/>
      <c r="C57" s="78"/>
      <c r="D57" s="78"/>
      <c r="E57" s="78"/>
      <c r="F57" s="78"/>
      <c r="G57" s="78"/>
      <c r="H57" s="78"/>
      <c r="I57" s="78"/>
      <c r="J57" s="78"/>
      <c r="K57" s="78"/>
      <c r="L57" s="78"/>
      <c r="M57" s="78"/>
      <c r="N57" s="78"/>
      <c r="O57" s="95"/>
      <c r="P57" s="95"/>
      <c r="Q57" s="95"/>
      <c r="R57" s="95"/>
      <c r="S57" s="61"/>
      <c r="T57" s="96"/>
      <c r="U57" s="61"/>
    </row>
    <row r="58" spans="1:21" ht="13.5" customHeight="1" x14ac:dyDescent="0.3">
      <c r="A58" s="77"/>
      <c r="B58" s="78"/>
      <c r="C58" s="78"/>
      <c r="D58" s="78"/>
      <c r="E58" s="78"/>
      <c r="F58" s="78"/>
      <c r="G58" s="78"/>
      <c r="H58" s="78"/>
      <c r="I58" s="78"/>
      <c r="J58" s="78"/>
      <c r="K58" s="78"/>
      <c r="L58" s="78"/>
      <c r="M58" s="78"/>
      <c r="N58" s="78"/>
      <c r="O58" s="95"/>
      <c r="P58" s="95"/>
      <c r="Q58" s="95"/>
      <c r="R58" s="95"/>
      <c r="S58" s="61"/>
      <c r="T58" s="96"/>
      <c r="U58" s="61"/>
    </row>
    <row r="59" spans="1:21" ht="13.5" customHeight="1" x14ac:dyDescent="0.3">
      <c r="A59" s="77"/>
      <c r="B59" s="78"/>
      <c r="C59" s="78"/>
      <c r="D59" s="78"/>
      <c r="E59" s="78"/>
      <c r="F59" s="78"/>
      <c r="G59" s="78"/>
      <c r="H59" s="78"/>
      <c r="I59" s="78"/>
      <c r="J59" s="78"/>
      <c r="K59" s="78"/>
      <c r="L59" s="78"/>
      <c r="M59" s="78"/>
      <c r="N59" s="78"/>
      <c r="O59" s="95"/>
      <c r="P59" s="95"/>
      <c r="Q59" s="95"/>
      <c r="R59" s="95"/>
      <c r="S59" s="61"/>
      <c r="T59" s="96"/>
      <c r="U59" s="61"/>
    </row>
    <row r="60" spans="1:21" ht="13.5" customHeight="1" x14ac:dyDescent="0.3">
      <c r="A60" s="77"/>
      <c r="B60" s="78"/>
      <c r="C60" s="78"/>
      <c r="D60" s="78"/>
      <c r="E60" s="78"/>
      <c r="F60" s="78"/>
      <c r="G60" s="78"/>
      <c r="H60" s="78"/>
      <c r="I60" s="78"/>
      <c r="J60" s="78"/>
      <c r="K60" s="78"/>
      <c r="L60" s="78"/>
      <c r="M60" s="78"/>
      <c r="N60" s="78"/>
      <c r="O60" s="95"/>
      <c r="P60" s="95"/>
      <c r="Q60" s="95"/>
      <c r="R60" s="95"/>
      <c r="S60" s="61"/>
      <c r="T60" s="96"/>
      <c r="U60" s="61"/>
    </row>
    <row r="61" spans="1:21" ht="13.5" customHeight="1" x14ac:dyDescent="0.3">
      <c r="A61" s="77"/>
      <c r="B61" s="78"/>
      <c r="C61" s="78"/>
      <c r="D61" s="78"/>
      <c r="E61" s="78"/>
      <c r="F61" s="78"/>
      <c r="G61" s="78"/>
      <c r="H61" s="78"/>
      <c r="I61" s="78"/>
      <c r="J61" s="78"/>
      <c r="K61" s="78"/>
      <c r="L61" s="78"/>
      <c r="M61" s="78"/>
      <c r="N61" s="78"/>
      <c r="O61" s="95"/>
      <c r="P61" s="95"/>
      <c r="Q61" s="95"/>
      <c r="R61" s="95"/>
      <c r="S61" s="61"/>
      <c r="T61" s="96"/>
      <c r="U61" s="61"/>
    </row>
    <row r="62" spans="1:21" ht="13.5" customHeight="1" x14ac:dyDescent="0.3">
      <c r="A62" s="77"/>
      <c r="B62" s="78"/>
      <c r="C62" s="78"/>
      <c r="D62" s="78"/>
      <c r="E62" s="78"/>
      <c r="F62" s="78"/>
      <c r="G62" s="78"/>
      <c r="H62" s="78"/>
      <c r="I62" s="78"/>
      <c r="J62" s="78"/>
      <c r="K62" s="78"/>
      <c r="L62" s="78"/>
      <c r="M62" s="78"/>
      <c r="N62" s="78"/>
      <c r="O62" s="95"/>
      <c r="P62" s="95"/>
      <c r="Q62" s="95"/>
      <c r="R62" s="95"/>
      <c r="S62" s="61"/>
      <c r="T62" s="96"/>
      <c r="U62" s="61"/>
    </row>
    <row r="63" spans="1:21" ht="13.5" customHeight="1" x14ac:dyDescent="0.3">
      <c r="A63" s="77"/>
      <c r="B63" s="78"/>
      <c r="C63" s="78"/>
      <c r="D63" s="78"/>
      <c r="E63" s="78"/>
      <c r="F63" s="78"/>
      <c r="G63" s="78"/>
      <c r="H63" s="78"/>
      <c r="I63" s="78"/>
      <c r="J63" s="78"/>
      <c r="K63" s="78"/>
      <c r="L63" s="78"/>
      <c r="M63" s="78"/>
      <c r="N63" s="78"/>
      <c r="O63" s="95"/>
      <c r="P63" s="95"/>
      <c r="Q63" s="95"/>
      <c r="R63" s="95"/>
      <c r="S63" s="61"/>
      <c r="T63" s="96"/>
      <c r="U63" s="61"/>
    </row>
    <row r="64" spans="1:21" ht="13.5" customHeight="1" x14ac:dyDescent="0.3">
      <c r="A64" s="77"/>
      <c r="B64" s="78"/>
      <c r="C64" s="78"/>
      <c r="D64" s="78"/>
      <c r="E64" s="78"/>
      <c r="F64" s="78"/>
      <c r="G64" s="78"/>
      <c r="H64" s="78"/>
      <c r="I64" s="78"/>
      <c r="J64" s="78"/>
      <c r="K64" s="78"/>
      <c r="L64" s="78"/>
      <c r="M64" s="78"/>
      <c r="N64" s="78"/>
      <c r="O64" s="95"/>
      <c r="P64" s="95"/>
      <c r="Q64" s="95"/>
      <c r="R64" s="95"/>
      <c r="S64" s="61"/>
      <c r="T64" s="96"/>
      <c r="U64" s="61"/>
    </row>
    <row r="65" spans="1:21" ht="13.5" customHeight="1" x14ac:dyDescent="0.3">
      <c r="A65" s="77"/>
      <c r="B65" s="78"/>
      <c r="C65" s="78"/>
      <c r="D65" s="78"/>
      <c r="E65" s="78"/>
      <c r="F65" s="78"/>
      <c r="G65" s="78"/>
      <c r="H65" s="78"/>
      <c r="I65" s="78"/>
      <c r="J65" s="78"/>
      <c r="K65" s="78"/>
      <c r="L65" s="78"/>
      <c r="M65" s="78"/>
      <c r="N65" s="78"/>
      <c r="O65" s="95"/>
      <c r="P65" s="95"/>
      <c r="Q65" s="95"/>
      <c r="R65" s="95"/>
      <c r="S65" s="61"/>
      <c r="T65" s="96"/>
      <c r="U65" s="61"/>
    </row>
    <row r="66" spans="1:21" ht="13.5" customHeight="1" x14ac:dyDescent="0.3">
      <c r="A66" s="77"/>
      <c r="B66" s="78"/>
      <c r="C66" s="78"/>
      <c r="D66" s="78"/>
      <c r="E66" s="78"/>
      <c r="F66" s="78"/>
      <c r="G66" s="78"/>
      <c r="H66" s="78"/>
      <c r="I66" s="78"/>
      <c r="J66" s="78"/>
      <c r="K66" s="78"/>
      <c r="L66" s="78"/>
      <c r="M66" s="78"/>
      <c r="N66" s="78"/>
      <c r="O66" s="95"/>
      <c r="P66" s="95"/>
      <c r="Q66" s="95"/>
      <c r="R66" s="95"/>
      <c r="S66" s="61"/>
      <c r="T66" s="96"/>
      <c r="U66" s="61"/>
    </row>
    <row r="67" spans="1:21" ht="13.5" customHeight="1" x14ac:dyDescent="0.3">
      <c r="A67" s="77"/>
      <c r="B67" s="78"/>
      <c r="C67" s="78"/>
      <c r="D67" s="78"/>
      <c r="E67" s="78"/>
      <c r="F67" s="78"/>
      <c r="G67" s="78"/>
      <c r="H67" s="78"/>
      <c r="I67" s="78"/>
      <c r="J67" s="78"/>
      <c r="K67" s="78"/>
      <c r="L67" s="78"/>
      <c r="M67" s="78"/>
      <c r="N67" s="78"/>
      <c r="O67" s="95"/>
      <c r="P67" s="95"/>
      <c r="Q67" s="95"/>
      <c r="R67" s="95"/>
      <c r="S67" s="61"/>
      <c r="T67" s="96"/>
      <c r="U67" s="61"/>
    </row>
    <row r="68" spans="1:21" ht="13.5" customHeight="1" x14ac:dyDescent="0.3">
      <c r="A68" s="77"/>
      <c r="B68" s="78"/>
      <c r="C68" s="78"/>
      <c r="D68" s="78"/>
      <c r="E68" s="78"/>
      <c r="F68" s="78"/>
      <c r="G68" s="78"/>
      <c r="H68" s="78"/>
      <c r="I68" s="78"/>
      <c r="J68" s="78"/>
      <c r="K68" s="78"/>
      <c r="L68" s="78"/>
      <c r="M68" s="78"/>
      <c r="N68" s="78"/>
      <c r="O68" s="95"/>
      <c r="P68" s="95"/>
      <c r="Q68" s="95"/>
      <c r="R68" s="95"/>
      <c r="S68" s="61"/>
      <c r="T68" s="96"/>
      <c r="U68" s="61"/>
    </row>
    <row r="69" spans="1:21" ht="13.5" customHeight="1" x14ac:dyDescent="0.3">
      <c r="A69" s="77"/>
      <c r="B69" s="78"/>
      <c r="C69" s="78"/>
      <c r="D69" s="78"/>
      <c r="E69" s="78"/>
      <c r="F69" s="78"/>
      <c r="G69" s="78"/>
      <c r="H69" s="78"/>
      <c r="I69" s="78"/>
      <c r="J69" s="78"/>
      <c r="K69" s="78"/>
      <c r="L69" s="78"/>
      <c r="M69" s="78"/>
      <c r="N69" s="78"/>
      <c r="O69" s="95"/>
      <c r="P69" s="95"/>
      <c r="Q69" s="95"/>
      <c r="R69" s="95"/>
      <c r="S69" s="61"/>
      <c r="T69" s="96"/>
      <c r="U69" s="61"/>
    </row>
    <row r="70" spans="1:21" ht="13.5" customHeight="1" x14ac:dyDescent="0.3">
      <c r="A70" s="77"/>
      <c r="B70" s="78"/>
      <c r="C70" s="78"/>
      <c r="D70" s="78"/>
      <c r="E70" s="78"/>
      <c r="F70" s="78"/>
      <c r="G70" s="78"/>
      <c r="H70" s="78"/>
      <c r="I70" s="78"/>
      <c r="J70" s="78"/>
      <c r="K70" s="78"/>
      <c r="L70" s="78"/>
      <c r="M70" s="78"/>
      <c r="N70" s="78"/>
      <c r="O70" s="95"/>
      <c r="P70" s="95"/>
      <c r="Q70" s="95"/>
      <c r="R70" s="95"/>
      <c r="S70" s="61"/>
      <c r="T70" s="96"/>
      <c r="U70" s="61"/>
    </row>
    <row r="71" spans="1:21" ht="13.5" customHeight="1" x14ac:dyDescent="0.3">
      <c r="A71" s="77"/>
      <c r="B71" s="78"/>
      <c r="C71" s="78"/>
      <c r="D71" s="78"/>
      <c r="E71" s="78"/>
      <c r="F71" s="78"/>
      <c r="G71" s="78"/>
      <c r="H71" s="78"/>
      <c r="I71" s="78"/>
      <c r="J71" s="78"/>
      <c r="K71" s="78"/>
      <c r="L71" s="78"/>
      <c r="M71" s="78"/>
      <c r="N71" s="78"/>
      <c r="O71" s="95"/>
      <c r="P71" s="95"/>
      <c r="Q71" s="95"/>
      <c r="R71" s="95"/>
      <c r="S71" s="61"/>
      <c r="T71" s="96"/>
      <c r="U71" s="61"/>
    </row>
    <row r="72" spans="1:21" ht="13.5" customHeight="1" x14ac:dyDescent="0.3">
      <c r="A72" s="77"/>
      <c r="B72" s="78"/>
      <c r="C72" s="78"/>
      <c r="D72" s="78"/>
      <c r="E72" s="78"/>
      <c r="F72" s="78"/>
      <c r="G72" s="78"/>
      <c r="H72" s="78"/>
      <c r="I72" s="78"/>
      <c r="J72" s="78"/>
      <c r="K72" s="78"/>
      <c r="L72" s="78"/>
      <c r="M72" s="78"/>
      <c r="N72" s="78"/>
      <c r="O72" s="95"/>
      <c r="P72" s="95"/>
      <c r="Q72" s="95"/>
      <c r="R72" s="95"/>
      <c r="S72" s="61"/>
      <c r="T72" s="96"/>
      <c r="U72" s="61"/>
    </row>
    <row r="73" spans="1:21" ht="13.5" customHeight="1" x14ac:dyDescent="0.3">
      <c r="A73" s="77"/>
      <c r="B73" s="78"/>
      <c r="C73" s="78"/>
      <c r="D73" s="78"/>
      <c r="E73" s="78"/>
      <c r="F73" s="78"/>
      <c r="G73" s="78"/>
      <c r="H73" s="78"/>
      <c r="I73" s="78"/>
      <c r="J73" s="78"/>
      <c r="K73" s="78"/>
      <c r="L73" s="78"/>
      <c r="M73" s="78"/>
      <c r="N73" s="78"/>
      <c r="O73" s="95"/>
      <c r="P73" s="95"/>
      <c r="Q73" s="95"/>
      <c r="R73" s="95"/>
      <c r="S73" s="61"/>
      <c r="T73" s="96"/>
      <c r="U73" s="61"/>
    </row>
    <row r="74" spans="1:21" ht="13.5" customHeight="1" x14ac:dyDescent="0.3">
      <c r="A74" s="77"/>
      <c r="B74" s="78"/>
      <c r="C74" s="78"/>
      <c r="D74" s="78"/>
      <c r="E74" s="78"/>
      <c r="F74" s="78"/>
      <c r="G74" s="78"/>
      <c r="H74" s="78"/>
      <c r="I74" s="78"/>
      <c r="J74" s="78"/>
      <c r="K74" s="78"/>
      <c r="L74" s="78"/>
      <c r="M74" s="78"/>
      <c r="N74" s="78"/>
      <c r="O74" s="95"/>
      <c r="P74" s="95"/>
      <c r="Q74" s="95"/>
      <c r="R74" s="95"/>
      <c r="S74" s="61"/>
      <c r="T74" s="96"/>
      <c r="U74" s="61"/>
    </row>
    <row r="75" spans="1:21" ht="13.5" customHeight="1" x14ac:dyDescent="0.3">
      <c r="A75" s="77"/>
      <c r="B75" s="78"/>
      <c r="C75" s="78"/>
      <c r="D75" s="78"/>
      <c r="E75" s="78"/>
      <c r="F75" s="78"/>
      <c r="G75" s="78"/>
      <c r="H75" s="78"/>
      <c r="I75" s="78"/>
      <c r="J75" s="78"/>
      <c r="K75" s="78"/>
      <c r="L75" s="78"/>
      <c r="M75" s="78"/>
      <c r="N75" s="78"/>
      <c r="O75" s="95"/>
      <c r="P75" s="95"/>
      <c r="Q75" s="95"/>
      <c r="R75" s="95"/>
      <c r="S75" s="61"/>
      <c r="T75" s="96"/>
      <c r="U75" s="61"/>
    </row>
    <row r="76" spans="1:21" ht="13.5" customHeight="1" x14ac:dyDescent="0.3">
      <c r="A76" s="77"/>
      <c r="B76" s="78"/>
      <c r="C76" s="78"/>
      <c r="D76" s="78"/>
      <c r="E76" s="78"/>
      <c r="F76" s="78"/>
      <c r="G76" s="78"/>
      <c r="H76" s="78"/>
      <c r="I76" s="78"/>
      <c r="J76" s="78"/>
      <c r="K76" s="78"/>
      <c r="L76" s="78"/>
      <c r="M76" s="78"/>
      <c r="N76" s="78"/>
      <c r="O76" s="95"/>
      <c r="P76" s="95"/>
      <c r="Q76" s="95"/>
      <c r="R76" s="95"/>
      <c r="S76" s="61"/>
      <c r="T76" s="96"/>
      <c r="U76" s="61"/>
    </row>
    <row r="77" spans="1:21" ht="13.5" customHeight="1" x14ac:dyDescent="0.3">
      <c r="A77" s="77"/>
      <c r="B77" s="78"/>
      <c r="C77" s="78"/>
      <c r="D77" s="78"/>
      <c r="E77" s="78"/>
      <c r="F77" s="78"/>
      <c r="G77" s="78"/>
      <c r="H77" s="78"/>
      <c r="I77" s="78"/>
      <c r="J77" s="78"/>
      <c r="K77" s="78"/>
      <c r="L77" s="78"/>
      <c r="M77" s="78"/>
      <c r="N77" s="78"/>
      <c r="O77" s="95"/>
      <c r="P77" s="95"/>
      <c r="Q77" s="95"/>
      <c r="R77" s="95"/>
      <c r="S77" s="61"/>
      <c r="T77" s="96"/>
      <c r="U77" s="61"/>
    </row>
    <row r="78" spans="1:21" ht="13.5" customHeight="1" x14ac:dyDescent="0.3">
      <c r="A78" s="77"/>
      <c r="B78" s="78"/>
      <c r="C78" s="78"/>
      <c r="D78" s="78"/>
      <c r="E78" s="78"/>
      <c r="F78" s="78"/>
      <c r="G78" s="78"/>
      <c r="H78" s="78"/>
      <c r="I78" s="78"/>
      <c r="J78" s="78"/>
      <c r="K78" s="78"/>
      <c r="L78" s="78"/>
      <c r="M78" s="78"/>
      <c r="N78" s="78"/>
      <c r="O78" s="95"/>
      <c r="P78" s="95"/>
      <c r="Q78" s="95"/>
      <c r="R78" s="95"/>
      <c r="S78" s="61"/>
      <c r="T78" s="96"/>
      <c r="U78" s="61"/>
    </row>
    <row r="79" spans="1:21" ht="13.5" customHeight="1" x14ac:dyDescent="0.3">
      <c r="A79" s="77"/>
      <c r="B79" s="78"/>
      <c r="C79" s="78"/>
      <c r="D79" s="78"/>
      <c r="E79" s="78"/>
      <c r="F79" s="78"/>
      <c r="G79" s="78"/>
      <c r="H79" s="78"/>
      <c r="I79" s="78"/>
      <c r="J79" s="78"/>
      <c r="K79" s="78"/>
      <c r="L79" s="78"/>
      <c r="M79" s="78"/>
      <c r="N79" s="78"/>
      <c r="O79" s="95"/>
      <c r="P79" s="95"/>
      <c r="Q79" s="95"/>
      <c r="R79" s="95"/>
      <c r="S79" s="61"/>
      <c r="T79" s="96"/>
      <c r="U79" s="61"/>
    </row>
    <row r="80" spans="1:21" ht="13.5" customHeight="1" x14ac:dyDescent="0.3">
      <c r="A80" s="77"/>
      <c r="B80" s="78"/>
      <c r="C80" s="78"/>
      <c r="D80" s="78"/>
      <c r="E80" s="78"/>
      <c r="F80" s="78"/>
      <c r="G80" s="78"/>
      <c r="H80" s="78"/>
      <c r="I80" s="78"/>
      <c r="J80" s="78"/>
      <c r="K80" s="78"/>
      <c r="L80" s="78"/>
      <c r="M80" s="78"/>
      <c r="N80" s="78"/>
      <c r="O80" s="95"/>
      <c r="P80" s="95"/>
      <c r="Q80" s="95"/>
      <c r="R80" s="95"/>
      <c r="S80" s="61"/>
      <c r="T80" s="96"/>
      <c r="U80" s="61"/>
    </row>
    <row r="81" spans="1:21" ht="13.5" customHeight="1" x14ac:dyDescent="0.3">
      <c r="A81" s="77"/>
      <c r="B81" s="78"/>
      <c r="C81" s="78"/>
      <c r="D81" s="78"/>
      <c r="E81" s="78"/>
      <c r="F81" s="78"/>
      <c r="G81" s="78"/>
      <c r="H81" s="78"/>
      <c r="I81" s="78"/>
      <c r="J81" s="78"/>
      <c r="K81" s="78"/>
      <c r="L81" s="78"/>
      <c r="M81" s="78"/>
      <c r="N81" s="78"/>
      <c r="O81" s="95"/>
      <c r="P81" s="95"/>
      <c r="Q81" s="95"/>
      <c r="R81" s="95"/>
      <c r="S81" s="61"/>
      <c r="T81" s="96"/>
      <c r="U81" s="61"/>
    </row>
    <row r="82" spans="1:21" ht="13.5" customHeight="1" x14ac:dyDescent="0.3">
      <c r="A82" s="77"/>
      <c r="B82" s="78"/>
      <c r="C82" s="78"/>
      <c r="D82" s="78"/>
      <c r="E82" s="78"/>
      <c r="F82" s="78"/>
      <c r="G82" s="78"/>
      <c r="H82" s="78"/>
      <c r="I82" s="78"/>
      <c r="J82" s="78"/>
      <c r="K82" s="78"/>
      <c r="L82" s="78"/>
      <c r="M82" s="78"/>
      <c r="N82" s="78"/>
      <c r="O82" s="95"/>
      <c r="P82" s="95"/>
      <c r="Q82" s="95"/>
      <c r="R82" s="95"/>
      <c r="S82" s="61"/>
      <c r="T82" s="96"/>
      <c r="U82" s="61"/>
    </row>
    <row r="83" spans="1:21" ht="13.5" customHeight="1" x14ac:dyDescent="0.3">
      <c r="A83" s="77"/>
      <c r="B83" s="78"/>
      <c r="C83" s="78"/>
      <c r="D83" s="78"/>
      <c r="E83" s="78"/>
      <c r="F83" s="78"/>
      <c r="G83" s="78"/>
      <c r="H83" s="78"/>
      <c r="I83" s="78"/>
      <c r="J83" s="78"/>
      <c r="K83" s="78"/>
      <c r="L83" s="78"/>
      <c r="M83" s="78"/>
      <c r="N83" s="78"/>
      <c r="O83" s="95"/>
      <c r="P83" s="95"/>
      <c r="Q83" s="95"/>
      <c r="R83" s="95"/>
      <c r="S83" s="61"/>
      <c r="T83" s="96"/>
      <c r="U83" s="61"/>
    </row>
    <row r="84" spans="1:21" ht="13.5" customHeight="1" x14ac:dyDescent="0.3">
      <c r="A84" s="77"/>
      <c r="B84" s="78"/>
      <c r="C84" s="78"/>
      <c r="D84" s="78"/>
      <c r="E84" s="78"/>
      <c r="F84" s="78"/>
      <c r="G84" s="78"/>
      <c r="H84" s="78"/>
      <c r="I84" s="78"/>
      <c r="J84" s="78"/>
      <c r="K84" s="78"/>
      <c r="L84" s="78"/>
      <c r="M84" s="78"/>
      <c r="N84" s="78"/>
      <c r="O84" s="95"/>
      <c r="P84" s="95"/>
      <c r="Q84" s="95"/>
      <c r="R84" s="95"/>
      <c r="S84" s="61"/>
      <c r="T84" s="96"/>
      <c r="U84" s="61"/>
    </row>
    <row r="85" spans="1:21" ht="13.5" customHeight="1" x14ac:dyDescent="0.3">
      <c r="A85" s="77"/>
      <c r="B85" s="78"/>
      <c r="C85" s="78"/>
      <c r="D85" s="78"/>
      <c r="E85" s="78"/>
      <c r="F85" s="78"/>
      <c r="G85" s="78"/>
      <c r="H85" s="78"/>
      <c r="I85" s="78"/>
      <c r="J85" s="78"/>
      <c r="K85" s="78"/>
      <c r="L85" s="78"/>
      <c r="M85" s="78"/>
      <c r="N85" s="78"/>
      <c r="O85" s="95"/>
      <c r="P85" s="95"/>
      <c r="Q85" s="95"/>
      <c r="R85" s="95"/>
      <c r="S85" s="61"/>
      <c r="T85" s="96"/>
      <c r="U85" s="61"/>
    </row>
    <row r="86" spans="1:21" ht="13.5" customHeight="1" x14ac:dyDescent="0.3">
      <c r="A86" s="77"/>
      <c r="B86" s="78"/>
      <c r="C86" s="78"/>
      <c r="D86" s="78"/>
      <c r="E86" s="78"/>
      <c r="F86" s="78"/>
      <c r="G86" s="78"/>
      <c r="H86" s="78"/>
      <c r="I86" s="78"/>
      <c r="J86" s="78"/>
      <c r="K86" s="78"/>
      <c r="L86" s="78"/>
      <c r="M86" s="78"/>
      <c r="N86" s="78"/>
      <c r="O86" s="95"/>
      <c r="P86" s="95"/>
      <c r="Q86" s="95"/>
      <c r="R86" s="95"/>
      <c r="S86" s="61"/>
      <c r="T86" s="96"/>
      <c r="U86" s="61"/>
    </row>
    <row r="87" spans="1:21" ht="6.75" customHeight="1" x14ac:dyDescent="0.3">
      <c r="A87" s="50"/>
      <c r="B87" s="50"/>
      <c r="C87" s="50"/>
      <c r="D87" s="50"/>
      <c r="E87" s="50"/>
      <c r="F87" s="50"/>
      <c r="G87" s="50"/>
      <c r="H87" s="50"/>
      <c r="I87" s="50"/>
      <c r="J87" s="50"/>
      <c r="K87" s="50"/>
      <c r="L87" s="50"/>
      <c r="M87" s="50"/>
      <c r="N87" s="50"/>
      <c r="O87" s="50"/>
      <c r="P87" s="50"/>
      <c r="Q87" s="50"/>
      <c r="R87" s="50"/>
      <c r="S87" s="50"/>
      <c r="T87" s="50"/>
      <c r="U87" s="50"/>
    </row>
    <row r="88" spans="1:21" x14ac:dyDescent="0.3">
      <c r="A88" s="64"/>
      <c r="B88" s="65" t="s">
        <v>857</v>
      </c>
      <c r="C88" s="66"/>
      <c r="D88" s="66"/>
      <c r="E88" s="66"/>
      <c r="F88" s="66"/>
      <c r="G88" s="66"/>
      <c r="H88" s="66"/>
      <c r="I88" s="66"/>
      <c r="J88" s="66"/>
      <c r="K88" s="66"/>
      <c r="L88" s="66"/>
      <c r="M88" s="66"/>
      <c r="N88" s="66"/>
      <c r="O88" s="66"/>
      <c r="P88" s="66"/>
      <c r="Q88" s="66"/>
      <c r="R88" s="66"/>
      <c r="S88" s="66"/>
      <c r="T88" s="66"/>
      <c r="U88" s="67"/>
    </row>
    <row r="89" spans="1:21" ht="6.75" customHeight="1" x14ac:dyDescent="0.3">
      <c r="A89" s="68"/>
      <c r="B89" s="63"/>
      <c r="C89" s="63"/>
      <c r="D89" s="63"/>
      <c r="E89" s="63"/>
      <c r="F89" s="63"/>
      <c r="G89" s="63"/>
      <c r="H89" s="63"/>
      <c r="I89" s="63"/>
      <c r="J89" s="63"/>
      <c r="K89" s="63"/>
      <c r="L89" s="63"/>
      <c r="M89" s="63"/>
      <c r="N89" s="63"/>
      <c r="O89" s="63"/>
      <c r="P89" s="63"/>
      <c r="Q89" s="63"/>
      <c r="R89" s="63"/>
      <c r="S89" s="63"/>
      <c r="T89" s="63"/>
      <c r="U89" s="69"/>
    </row>
    <row r="90" spans="1:21" x14ac:dyDescent="0.3">
      <c r="A90" s="68"/>
      <c r="B90" s="63"/>
      <c r="C90" s="70" t="s">
        <v>858</v>
      </c>
      <c r="D90" s="63"/>
      <c r="E90" s="63"/>
      <c r="F90" s="63"/>
      <c r="G90" s="63"/>
      <c r="H90" s="63"/>
      <c r="I90" s="63"/>
      <c r="J90" s="63"/>
      <c r="K90" s="70" t="s">
        <v>859</v>
      </c>
      <c r="L90" s="63"/>
      <c r="M90" s="63"/>
      <c r="N90" s="63"/>
      <c r="O90" s="63"/>
      <c r="P90" s="63"/>
      <c r="Q90" s="63"/>
      <c r="R90" s="70" t="s">
        <v>860</v>
      </c>
      <c r="S90" s="70"/>
      <c r="T90" s="70"/>
      <c r="U90" s="69"/>
    </row>
    <row r="91" spans="1:21" x14ac:dyDescent="0.3">
      <c r="A91" s="338"/>
      <c r="B91" s="339"/>
      <c r="C91" s="63" t="s">
        <v>861</v>
      </c>
      <c r="D91" s="340"/>
      <c r="E91" s="1248"/>
      <c r="F91" s="1248"/>
      <c r="G91" s="1248"/>
      <c r="H91" s="340"/>
      <c r="I91" s="340"/>
      <c r="J91" s="339"/>
      <c r="K91" s="63" t="s">
        <v>862</v>
      </c>
      <c r="L91" s="340"/>
      <c r="M91" s="1248"/>
      <c r="N91" s="1248"/>
      <c r="O91" s="1248"/>
      <c r="P91" s="340"/>
      <c r="Q91" s="339"/>
      <c r="R91" s="63" t="s">
        <v>863</v>
      </c>
      <c r="S91" s="1248"/>
      <c r="T91" s="1248"/>
      <c r="U91" s="69"/>
    </row>
    <row r="92" spans="1:21" x14ac:dyDescent="0.3">
      <c r="A92" s="338"/>
      <c r="B92" s="339"/>
      <c r="C92" s="63" t="s">
        <v>864</v>
      </c>
      <c r="D92" s="340"/>
      <c r="E92" s="1248"/>
      <c r="F92" s="1248"/>
      <c r="G92" s="1248"/>
      <c r="H92" s="340"/>
      <c r="I92" s="340"/>
      <c r="J92" s="339"/>
      <c r="K92" s="63" t="s">
        <v>865</v>
      </c>
      <c r="L92" s="340"/>
      <c r="M92" s="1248"/>
      <c r="N92" s="1248"/>
      <c r="O92" s="1248"/>
      <c r="P92" s="340"/>
      <c r="Q92" s="339"/>
      <c r="R92" s="63" t="s">
        <v>866</v>
      </c>
      <c r="S92" s="1249"/>
      <c r="T92" s="1249"/>
      <c r="U92" s="69"/>
    </row>
    <row r="93" spans="1:21" x14ac:dyDescent="0.3">
      <c r="A93" s="338"/>
      <c r="B93" s="340"/>
      <c r="C93" s="340"/>
      <c r="D93" s="340"/>
      <c r="E93" s="340"/>
      <c r="F93" s="340"/>
      <c r="G93" s="340"/>
      <c r="H93" s="340"/>
      <c r="I93" s="340"/>
      <c r="J93" s="340"/>
      <c r="K93" s="340"/>
      <c r="L93" s="340"/>
      <c r="M93" s="340"/>
      <c r="N93" s="340"/>
      <c r="O93" s="340"/>
      <c r="P93" s="340"/>
      <c r="Q93" s="339"/>
      <c r="R93" s="63" t="s">
        <v>867</v>
      </c>
      <c r="S93" s="1249"/>
      <c r="T93" s="1249"/>
      <c r="U93" s="69"/>
    </row>
    <row r="94" spans="1:21" ht="6" customHeight="1" x14ac:dyDescent="0.3">
      <c r="A94" s="71"/>
      <c r="B94" s="72"/>
      <c r="C94" s="72"/>
      <c r="D94" s="72"/>
      <c r="E94" s="72"/>
      <c r="F94" s="72"/>
      <c r="G94" s="72"/>
      <c r="H94" s="72"/>
      <c r="I94" s="72"/>
      <c r="J94" s="72"/>
      <c r="K94" s="72"/>
      <c r="L94" s="72"/>
      <c r="M94" s="72"/>
      <c r="N94" s="72"/>
      <c r="O94" s="72"/>
      <c r="P94" s="72"/>
      <c r="Q94" s="72"/>
      <c r="R94" s="72"/>
      <c r="S94" s="72"/>
      <c r="T94" s="72"/>
      <c r="U94" s="73"/>
    </row>
    <row r="96" spans="1:21" x14ac:dyDescent="0.3">
      <c r="A96" s="1183" t="s">
        <v>821</v>
      </c>
      <c r="B96" s="1184"/>
      <c r="C96" s="1184"/>
      <c r="D96" s="1184"/>
      <c r="E96" s="1184"/>
      <c r="F96" s="1184"/>
      <c r="G96" s="1184"/>
      <c r="H96" s="1184"/>
      <c r="I96" s="1184"/>
      <c r="J96" s="1184"/>
      <c r="K96" s="1184"/>
      <c r="L96" s="1184"/>
      <c r="M96" s="1184"/>
      <c r="N96" s="1184"/>
      <c r="O96" s="1184"/>
      <c r="P96" s="1184"/>
      <c r="Q96" s="1184"/>
      <c r="R96" s="1184"/>
      <c r="S96" s="1184"/>
      <c r="T96" s="1184"/>
      <c r="U96" s="1185"/>
    </row>
    <row r="97" spans="1:21" x14ac:dyDescent="0.3">
      <c r="A97" s="1186" t="s">
        <v>822</v>
      </c>
      <c r="B97" s="1186"/>
      <c r="C97" s="1186"/>
      <c r="D97" s="1186"/>
      <c r="E97" s="1186"/>
      <c r="F97" s="1186"/>
      <c r="G97" s="1186"/>
      <c r="H97" s="1186"/>
      <c r="I97" s="1186" t="s">
        <v>823</v>
      </c>
      <c r="J97" s="1186"/>
      <c r="K97" s="1186"/>
      <c r="L97" s="1186"/>
      <c r="M97" s="1186"/>
      <c r="N97" s="1186"/>
      <c r="O97" s="1186"/>
      <c r="P97" s="1187" t="s">
        <v>824</v>
      </c>
      <c r="Q97" s="1187"/>
      <c r="R97" s="1187"/>
      <c r="S97" s="1187"/>
      <c r="T97" s="1187"/>
      <c r="U97" s="1187"/>
    </row>
    <row r="98" spans="1:21" x14ac:dyDescent="0.3">
      <c r="A98" s="1182" t="str">
        <f>RA_Standard!A97</f>
        <v>Brokerage/Realty</v>
      </c>
      <c r="B98" s="1182"/>
      <c r="C98" s="1182"/>
      <c r="D98" s="1182"/>
      <c r="E98" s="1182"/>
      <c r="F98" s="1182"/>
      <c r="G98" s="1182"/>
      <c r="H98" s="1182"/>
      <c r="I98" s="1244">
        <f>LOI_SE7D!I55</f>
        <v>0</v>
      </c>
      <c r="J98" s="1244"/>
      <c r="K98" s="1244"/>
      <c r="L98" s="1244"/>
      <c r="M98" s="1244"/>
      <c r="N98" s="1244"/>
      <c r="O98" s="1244"/>
      <c r="P98" s="1244">
        <f>LOI_SE7D!P55</f>
        <v>0</v>
      </c>
      <c r="Q98" s="1244"/>
      <c r="R98" s="1244"/>
      <c r="S98" s="1244"/>
      <c r="T98" s="1244"/>
      <c r="U98" s="1244"/>
    </row>
    <row r="99" spans="1:21" x14ac:dyDescent="0.3">
      <c r="A99" s="1182" t="str">
        <f>RA_Standard!A98</f>
        <v xml:space="preserve">Broker Head / AVP </v>
      </c>
      <c r="B99" s="1182"/>
      <c r="C99" s="1182"/>
      <c r="D99" s="1182"/>
      <c r="E99" s="1182"/>
      <c r="F99" s="1182"/>
      <c r="G99" s="1182"/>
      <c r="H99" s="1182"/>
      <c r="I99" s="1244">
        <f>LOI_SE7D!I56</f>
        <v>0</v>
      </c>
      <c r="J99" s="1244"/>
      <c r="K99" s="1244"/>
      <c r="L99" s="1244"/>
      <c r="M99" s="1244"/>
      <c r="N99" s="1244"/>
      <c r="O99" s="1244"/>
      <c r="P99" s="1244">
        <f>LOI_SE7D!P56</f>
        <v>0</v>
      </c>
      <c r="Q99" s="1244"/>
      <c r="R99" s="1244"/>
      <c r="S99" s="1244"/>
      <c r="T99" s="1244"/>
      <c r="U99" s="1244"/>
    </row>
    <row r="100" spans="1:21" x14ac:dyDescent="0.3">
      <c r="A100" s="1182" t="str">
        <f>RA_Standard!A99</f>
        <v>Sales Manager</v>
      </c>
      <c r="B100" s="1182"/>
      <c r="C100" s="1182"/>
      <c r="D100" s="1182"/>
      <c r="E100" s="1182"/>
      <c r="F100" s="1182"/>
      <c r="G100" s="1182"/>
      <c r="H100" s="1182"/>
      <c r="I100" s="1244">
        <f>LOI_SE7D!I57</f>
        <v>0</v>
      </c>
      <c r="J100" s="1244"/>
      <c r="K100" s="1244"/>
      <c r="L100" s="1244"/>
      <c r="M100" s="1244"/>
      <c r="N100" s="1244"/>
      <c r="O100" s="1244"/>
      <c r="P100" s="1244">
        <f>LOI_SE7D!P57</f>
        <v>0</v>
      </c>
      <c r="Q100" s="1244"/>
      <c r="R100" s="1244"/>
      <c r="S100" s="1244"/>
      <c r="T100" s="1244"/>
      <c r="U100" s="1244"/>
    </row>
    <row r="101" spans="1:21" x14ac:dyDescent="0.3">
      <c r="A101" s="1182" t="str">
        <f>RA_Standard!A100</f>
        <v>Sales Agent / Property Consultant</v>
      </c>
      <c r="B101" s="1182"/>
      <c r="C101" s="1182"/>
      <c r="D101" s="1182"/>
      <c r="E101" s="1182"/>
      <c r="F101" s="1182"/>
      <c r="G101" s="1182"/>
      <c r="H101" s="1182"/>
      <c r="I101" s="1244">
        <f>LOI_SE7D!I58</f>
        <v>0</v>
      </c>
      <c r="J101" s="1244"/>
      <c r="K101" s="1244"/>
      <c r="L101" s="1244"/>
      <c r="M101" s="1244"/>
      <c r="N101" s="1244"/>
      <c r="O101" s="1244"/>
      <c r="P101" s="1244">
        <f>LOI_SE7D!P58</f>
        <v>0</v>
      </c>
      <c r="Q101" s="1244"/>
      <c r="R101" s="1244"/>
      <c r="S101" s="1244"/>
      <c r="T101" s="1244"/>
      <c r="U101" s="1244"/>
    </row>
    <row r="102" spans="1:21" x14ac:dyDescent="0.3">
      <c r="A102" s="627"/>
      <c r="B102" s="627"/>
      <c r="C102" s="627"/>
      <c r="D102" s="627"/>
      <c r="E102" s="627"/>
      <c r="F102" s="627"/>
      <c r="G102" s="627"/>
      <c r="H102" s="627"/>
      <c r="I102" s="628"/>
      <c r="J102" s="628"/>
      <c r="K102" s="628"/>
      <c r="L102" s="628"/>
      <c r="M102" s="628"/>
      <c r="N102" s="628"/>
      <c r="O102" s="628"/>
      <c r="P102" s="628"/>
      <c r="Q102" s="628"/>
      <c r="R102" s="628"/>
      <c r="S102" s="628"/>
      <c r="T102" s="628"/>
      <c r="U102" s="628"/>
    </row>
    <row r="104" spans="1:21" x14ac:dyDescent="0.3">
      <c r="A104" s="1251" t="s">
        <v>868</v>
      </c>
      <c r="B104" s="1251"/>
      <c r="C104" s="1251"/>
      <c r="D104" s="1251"/>
      <c r="E104" s="1251"/>
      <c r="F104" s="1251"/>
      <c r="G104" s="1251"/>
      <c r="H104" s="1251"/>
      <c r="I104" s="1251"/>
      <c r="J104" s="1251"/>
      <c r="K104" s="1251"/>
      <c r="L104" s="1251"/>
      <c r="M104" s="1251"/>
      <c r="N104" s="1251"/>
      <c r="O104" s="1251"/>
      <c r="P104" s="1251"/>
      <c r="Q104" s="1251"/>
      <c r="R104" s="1251"/>
      <c r="S104" s="1251"/>
      <c r="T104" s="1251"/>
      <c r="U104" s="1251"/>
    </row>
    <row r="105" spans="1:21" x14ac:dyDescent="0.3">
      <c r="A105" s="629"/>
      <c r="B105" s="629"/>
      <c r="C105" s="629"/>
      <c r="D105" s="629"/>
      <c r="E105" s="629"/>
      <c r="F105" s="629"/>
      <c r="G105" s="629"/>
      <c r="H105" s="629"/>
      <c r="I105" s="629"/>
      <c r="J105" s="629"/>
      <c r="K105" s="629"/>
      <c r="L105" s="629"/>
      <c r="M105" s="629"/>
      <c r="N105" s="629"/>
      <c r="O105" s="629"/>
      <c r="P105" s="629"/>
      <c r="Q105" s="629"/>
      <c r="R105" s="629"/>
      <c r="S105" s="629"/>
      <c r="T105" s="629"/>
      <c r="U105" s="629"/>
    </row>
    <row r="116" spans="1:21" x14ac:dyDescent="0.3">
      <c r="G116" s="21"/>
      <c r="H116" s="1240">
        <f>D3</f>
        <v>0</v>
      </c>
      <c r="I116" s="1240"/>
      <c r="J116" s="1240"/>
      <c r="K116" s="1240"/>
      <c r="L116" s="1240"/>
      <c r="M116" s="1240"/>
      <c r="N116" s="1240"/>
      <c r="O116" s="1240"/>
      <c r="P116" s="1240"/>
      <c r="Q116" s="1240"/>
    </row>
    <row r="117" spans="1:21" ht="25.5" customHeight="1" x14ac:dyDescent="0.3">
      <c r="A117" s="1245" t="s">
        <v>869</v>
      </c>
      <c r="B117" s="1245"/>
      <c r="C117" s="1245"/>
      <c r="D117" s="1245"/>
      <c r="E117" s="1245"/>
      <c r="F117" s="1245"/>
      <c r="G117" s="1245"/>
      <c r="H117" s="1245"/>
      <c r="I117" s="1245"/>
      <c r="J117" s="1245"/>
      <c r="K117" s="1245"/>
      <c r="L117" s="1245"/>
      <c r="M117" s="1245"/>
      <c r="N117" s="1245"/>
      <c r="O117" s="1245"/>
      <c r="P117" s="1245"/>
      <c r="Q117" s="1245"/>
      <c r="R117" s="1245"/>
      <c r="S117" s="1245"/>
      <c r="T117" s="1245"/>
      <c r="U117" s="1245"/>
    </row>
    <row r="118" spans="1:21" x14ac:dyDescent="0.3">
      <c r="A118" s="21"/>
      <c r="B118" s="21"/>
      <c r="C118" s="21"/>
      <c r="D118" s="21"/>
      <c r="E118" s="21"/>
      <c r="F118" s="21"/>
      <c r="G118" s="21"/>
      <c r="H118" s="21"/>
      <c r="I118" s="21"/>
      <c r="J118" s="21"/>
      <c r="K118" s="21"/>
      <c r="L118" s="21"/>
      <c r="M118" s="21"/>
      <c r="N118" s="21"/>
      <c r="O118" s="21"/>
      <c r="P118" s="21"/>
      <c r="Q118" s="21"/>
      <c r="R118" s="21"/>
      <c r="S118" s="21"/>
      <c r="T118" s="21"/>
      <c r="U118" s="21"/>
    </row>
    <row r="119" spans="1:21" x14ac:dyDescent="0.3">
      <c r="A119" s="21"/>
      <c r="B119" s="21"/>
      <c r="C119" s="21"/>
      <c r="D119" s="21"/>
      <c r="E119" s="21"/>
      <c r="F119" s="21"/>
      <c r="G119" s="21"/>
      <c r="H119" s="21"/>
      <c r="I119" s="21"/>
      <c r="J119" s="21"/>
      <c r="K119" s="21"/>
      <c r="L119" s="21"/>
      <c r="M119" s="21"/>
      <c r="N119" s="21"/>
      <c r="O119" s="21"/>
      <c r="P119" s="21"/>
      <c r="Q119" s="21"/>
      <c r="R119" s="21"/>
      <c r="S119" s="21"/>
      <c r="T119" s="21"/>
      <c r="U119" s="21"/>
    </row>
    <row r="120" spans="1:21" x14ac:dyDescent="0.3">
      <c r="A120" s="1239" t="s">
        <v>870</v>
      </c>
      <c r="B120" s="1239"/>
      <c r="C120" s="1239"/>
      <c r="D120" s="1239"/>
      <c r="E120" s="1239"/>
      <c r="F120" s="1239"/>
      <c r="G120" s="1239"/>
      <c r="H120" s="1239"/>
      <c r="I120" s="1239"/>
      <c r="J120" s="1239"/>
      <c r="K120" s="1239"/>
      <c r="L120" s="1239"/>
      <c r="M120" s="1239"/>
      <c r="N120" s="1239"/>
      <c r="O120" s="1239"/>
      <c r="P120" s="1239"/>
      <c r="Q120" s="1239"/>
      <c r="R120" s="1239"/>
      <c r="S120" s="1239"/>
      <c r="T120" s="1239"/>
      <c r="U120" s="1239"/>
    </row>
    <row r="121" spans="1:21" ht="21.75" customHeight="1" x14ac:dyDescent="0.3">
      <c r="A121" s="1238" t="str">
        <f>H8</f>
        <v>WEE COMMUNITY DEVELOPERS, INC.</v>
      </c>
      <c r="B121" s="1238"/>
      <c r="C121" s="1238"/>
      <c r="D121" s="1238"/>
      <c r="E121" s="1238"/>
      <c r="F121" s="1238"/>
      <c r="G121" s="1238"/>
      <c r="H121" s="1238"/>
      <c r="I121" s="1238"/>
      <c r="J121" s="1238"/>
      <c r="K121" s="1238"/>
      <c r="L121" s="1238"/>
      <c r="M121" s="1238"/>
      <c r="N121" s="1238"/>
      <c r="O121" s="1238"/>
      <c r="P121" s="1238"/>
      <c r="Q121" s="1238"/>
      <c r="R121" s="1238"/>
      <c r="S121" s="1238"/>
      <c r="T121" s="1238"/>
      <c r="U121" s="1238"/>
    </row>
    <row r="122" spans="1:21" x14ac:dyDescent="0.3">
      <c r="A122" s="21"/>
      <c r="B122" s="21"/>
      <c r="C122" s="21"/>
      <c r="D122" s="21"/>
      <c r="E122" s="21"/>
      <c r="F122" s="21"/>
      <c r="G122" s="21"/>
      <c r="H122" s="21"/>
      <c r="I122" s="21"/>
      <c r="J122" s="21"/>
      <c r="K122" s="21"/>
      <c r="L122" s="21"/>
      <c r="M122" s="21"/>
      <c r="N122" s="21"/>
      <c r="O122" s="21"/>
      <c r="P122" s="21"/>
      <c r="Q122" s="21"/>
      <c r="R122" s="21"/>
      <c r="S122" s="21"/>
      <c r="T122" s="21"/>
      <c r="U122" s="21"/>
    </row>
    <row r="123" spans="1:21" x14ac:dyDescent="0.3">
      <c r="A123" s="21"/>
      <c r="B123" s="21"/>
      <c r="C123" s="21"/>
      <c r="D123" s="21"/>
      <c r="E123" s="21"/>
      <c r="F123" s="21"/>
      <c r="G123" s="21"/>
      <c r="H123" s="22"/>
      <c r="I123" s="22"/>
      <c r="J123" s="22"/>
      <c r="K123" s="22"/>
      <c r="L123" s="22"/>
      <c r="M123" s="22"/>
      <c r="N123" s="22"/>
      <c r="O123" s="22"/>
      <c r="P123" s="22"/>
      <c r="Q123" s="22"/>
      <c r="R123" s="21"/>
      <c r="S123" s="21"/>
      <c r="T123" s="21"/>
      <c r="U123" s="21"/>
    </row>
    <row r="127" spans="1:21" x14ac:dyDescent="0.3">
      <c r="I127" s="56"/>
    </row>
  </sheetData>
  <sheetProtection selectLockedCells="1" selectUnlockedCells="1"/>
  <mergeCells count="71">
    <mergeCell ref="S93:T93"/>
    <mergeCell ref="H116:Q116"/>
    <mergeCell ref="S91:T91"/>
    <mergeCell ref="M91:O91"/>
    <mergeCell ref="M92:O92"/>
    <mergeCell ref="A96:U96"/>
    <mergeCell ref="A97:H97"/>
    <mergeCell ref="I97:O97"/>
    <mergeCell ref="P97:U97"/>
    <mergeCell ref="A98:H98"/>
    <mergeCell ref="I98:O98"/>
    <mergeCell ref="P98:U98"/>
    <mergeCell ref="A99:H99"/>
    <mergeCell ref="I99:O99"/>
    <mergeCell ref="P99:U99"/>
    <mergeCell ref="E91:G91"/>
    <mergeCell ref="E92:G92"/>
    <mergeCell ref="S92:T92"/>
    <mergeCell ref="D3:Q3"/>
    <mergeCell ref="C41:N41"/>
    <mergeCell ref="H8:O8"/>
    <mergeCell ref="I29:U29"/>
    <mergeCell ref="J24:L24"/>
    <mergeCell ref="P24:Q24"/>
    <mergeCell ref="J25:L25"/>
    <mergeCell ref="P25:Q25"/>
    <mergeCell ref="I28:U28"/>
    <mergeCell ref="I27:U27"/>
    <mergeCell ref="I11:U11"/>
    <mergeCell ref="M12:U12"/>
    <mergeCell ref="K13:U13"/>
    <mergeCell ref="A10:P10"/>
    <mergeCell ref="A4:Q4"/>
    <mergeCell ref="A5:U6"/>
    <mergeCell ref="A9:U9"/>
    <mergeCell ref="T21:U21"/>
    <mergeCell ref="E16:T16"/>
    <mergeCell ref="A20:F20"/>
    <mergeCell ref="G20:L20"/>
    <mergeCell ref="M20:Q20"/>
    <mergeCell ref="R20:U20"/>
    <mergeCell ref="D22:E22"/>
    <mergeCell ref="R24:S25"/>
    <mergeCell ref="T24:U25"/>
    <mergeCell ref="D25:F25"/>
    <mergeCell ref="D21:F21"/>
    <mergeCell ref="J21:L21"/>
    <mergeCell ref="P21:Q21"/>
    <mergeCell ref="J22:L22"/>
    <mergeCell ref="P22:Q22"/>
    <mergeCell ref="T22:U22"/>
    <mergeCell ref="D23:E23"/>
    <mergeCell ref="J23:L23"/>
    <mergeCell ref="P23:Q23"/>
    <mergeCell ref="T23:U23"/>
    <mergeCell ref="D24:E24"/>
    <mergeCell ref="I30:U30"/>
    <mergeCell ref="I32:U32"/>
    <mergeCell ref="I33:U33"/>
    <mergeCell ref="O41:R41"/>
    <mergeCell ref="I31:U31"/>
    <mergeCell ref="A117:U117"/>
    <mergeCell ref="A120:U120"/>
    <mergeCell ref="A121:U121"/>
    <mergeCell ref="A100:H100"/>
    <mergeCell ref="I100:O100"/>
    <mergeCell ref="P100:U100"/>
    <mergeCell ref="A101:H101"/>
    <mergeCell ref="I101:O101"/>
    <mergeCell ref="P101:U101"/>
    <mergeCell ref="A104:U104"/>
  </mergeCells>
  <pageMargins left="0.51181102362204722" right="0.51181102362204722" top="0.8510416666666667" bottom="0.74803149606299213" header="0.31496062992125984" footer="0.31496062992125984"/>
  <pageSetup paperSize="14" scale="86" orientation="portrait" r:id="rId1"/>
  <headerFooter>
    <oddHeader>&amp;R
&amp;"Century Gothic,Bold"&amp;18RESERVATION AGREEMENT</oddHeader>
    <oddFooter>&amp;C&amp;"Century Gothic,Regular"&amp;8Page &amp;P of &amp;N</oddFooter>
  </headerFooter>
  <rowBreaks count="1" manualBreakCount="1">
    <brk id="62" max="20" man="1"/>
  </rowBreaks>
  <drawing r:id="rId2"/>
  <legacyDrawing r:id="rId3"/>
  <mc:AlternateContent xmlns:mc="http://schemas.openxmlformats.org/markup-compatibility/2006">
    <mc:Choice Requires="x14">
      <controls>
        <mc:AlternateContent xmlns:mc="http://schemas.openxmlformats.org/markup-compatibility/2006">
          <mc:Choice Requires="x14">
            <control shapeId="16397" r:id="rId4" name="Check Box 13">
              <controlPr defaultSize="0" autoFill="0" autoLine="0" autoPict="0">
                <anchor moveWithCells="1">
                  <from>
                    <xdr:col>2</xdr:col>
                    <xdr:colOff>38100</xdr:colOff>
                    <xdr:row>36</xdr:row>
                    <xdr:rowOff>19050</xdr:rowOff>
                  </from>
                  <to>
                    <xdr:col>2</xdr:col>
                    <xdr:colOff>285750</xdr:colOff>
                    <xdr:row>37</xdr:row>
                    <xdr:rowOff>19050</xdr:rowOff>
                  </to>
                </anchor>
              </controlPr>
            </control>
          </mc:Choice>
        </mc:AlternateContent>
        <mc:AlternateContent xmlns:mc="http://schemas.openxmlformats.org/markup-compatibility/2006">
          <mc:Choice Requires="x14">
            <control shapeId="16399" r:id="rId5" name="Check Box 15">
              <controlPr defaultSize="0" autoFill="0" autoLine="0" autoPict="0">
                <anchor moveWithCells="1">
                  <from>
                    <xdr:col>11</xdr:col>
                    <xdr:colOff>66675</xdr:colOff>
                    <xdr:row>36</xdr:row>
                    <xdr:rowOff>0</xdr:rowOff>
                  </from>
                  <to>
                    <xdr:col>12</xdr:col>
                    <xdr:colOff>0</xdr:colOff>
                    <xdr:row>37</xdr:row>
                    <xdr:rowOff>19050</xdr:rowOff>
                  </to>
                </anchor>
              </controlPr>
            </control>
          </mc:Choice>
        </mc:AlternateContent>
        <mc:AlternateContent xmlns:mc="http://schemas.openxmlformats.org/markup-compatibility/2006">
          <mc:Choice Requires="x14">
            <control shapeId="16400" r:id="rId6" name="Check Box 16">
              <controlPr defaultSize="0" autoFill="0" autoLine="0" autoPict="0">
                <anchor moveWithCells="1">
                  <from>
                    <xdr:col>2</xdr:col>
                    <xdr:colOff>257175</xdr:colOff>
                    <xdr:row>17</xdr:row>
                    <xdr:rowOff>0</xdr:rowOff>
                  </from>
                  <to>
                    <xdr:col>3</xdr:col>
                    <xdr:colOff>95250</xdr:colOff>
                    <xdr:row>18</xdr:row>
                    <xdr:rowOff>19050</xdr:rowOff>
                  </to>
                </anchor>
              </controlPr>
            </control>
          </mc:Choice>
        </mc:AlternateContent>
        <mc:AlternateContent xmlns:mc="http://schemas.openxmlformats.org/markup-compatibility/2006">
          <mc:Choice Requires="x14">
            <control shapeId="16401" r:id="rId7" name="Check Box 17">
              <controlPr defaultSize="0" autoFill="0" autoLine="0" autoPict="0">
                <anchor moveWithCells="1">
                  <from>
                    <xdr:col>2</xdr:col>
                    <xdr:colOff>257175</xdr:colOff>
                    <xdr:row>16</xdr:row>
                    <xdr:rowOff>19050</xdr:rowOff>
                  </from>
                  <to>
                    <xdr:col>3</xdr:col>
                    <xdr:colOff>95250</xdr:colOff>
                    <xdr:row>17</xdr:row>
                    <xdr:rowOff>19050</xdr:rowOff>
                  </to>
                </anchor>
              </controlPr>
            </control>
          </mc:Choice>
        </mc:AlternateContent>
        <mc:AlternateContent xmlns:mc="http://schemas.openxmlformats.org/markup-compatibility/2006">
          <mc:Choice Requires="x14">
            <control shapeId="16402" r:id="rId8" name="Check Box 18">
              <controlPr defaultSize="0" autoFill="0" autoLine="0" autoPict="0">
                <anchor moveWithCells="1">
                  <from>
                    <xdr:col>10</xdr:col>
                    <xdr:colOff>133350</xdr:colOff>
                    <xdr:row>16</xdr:row>
                    <xdr:rowOff>209550</xdr:rowOff>
                  </from>
                  <to>
                    <xdr:col>11</xdr:col>
                    <xdr:colOff>28575</xdr:colOff>
                    <xdr:row>18</xdr:row>
                    <xdr:rowOff>0</xdr:rowOff>
                  </to>
                </anchor>
              </controlPr>
            </control>
          </mc:Choice>
        </mc:AlternateContent>
        <mc:AlternateContent xmlns:mc="http://schemas.openxmlformats.org/markup-compatibility/2006">
          <mc:Choice Requires="x14">
            <control shapeId="16403" r:id="rId9" name="Check Box 19">
              <controlPr defaultSize="0" autoFill="0" autoLine="0" autoPict="0">
                <anchor moveWithCells="1">
                  <from>
                    <xdr:col>10</xdr:col>
                    <xdr:colOff>133350</xdr:colOff>
                    <xdr:row>16</xdr:row>
                    <xdr:rowOff>0</xdr:rowOff>
                  </from>
                  <to>
                    <xdr:col>11</xdr:col>
                    <xdr:colOff>28575</xdr:colOff>
                    <xdr:row>17</xdr:row>
                    <xdr:rowOff>19050</xdr:rowOff>
                  </to>
                </anchor>
              </controlPr>
            </control>
          </mc:Choice>
        </mc:AlternateContent>
        <mc:AlternateContent xmlns:mc="http://schemas.openxmlformats.org/markup-compatibility/2006">
          <mc:Choice Requires="x14">
            <control shapeId="16404" r:id="rId10" name="Check Box 20">
              <controlPr defaultSize="0" autoFill="0" autoLine="0" autoPict="0">
                <anchor moveWithCells="1">
                  <from>
                    <xdr:col>17</xdr:col>
                    <xdr:colOff>990600</xdr:colOff>
                    <xdr:row>16</xdr:row>
                    <xdr:rowOff>19050</xdr:rowOff>
                  </from>
                  <to>
                    <xdr:col>19</xdr:col>
                    <xdr:colOff>19050</xdr:colOff>
                    <xdr:row>17</xdr:row>
                    <xdr:rowOff>19050</xdr:rowOff>
                  </to>
                </anchor>
              </controlPr>
            </control>
          </mc:Choice>
        </mc:AlternateContent>
        <mc:AlternateContent xmlns:mc="http://schemas.openxmlformats.org/markup-compatibility/2006">
          <mc:Choice Requires="x14">
            <control shapeId="16405" r:id="rId11" name="Check Box 21">
              <controlPr defaultSize="0" autoFill="0" autoLine="0" autoPict="0">
                <anchor moveWithCells="1">
                  <from>
                    <xdr:col>0</xdr:col>
                    <xdr:colOff>95250</xdr:colOff>
                    <xdr:row>88</xdr:row>
                    <xdr:rowOff>76200</xdr:rowOff>
                  </from>
                  <to>
                    <xdr:col>2</xdr:col>
                    <xdr:colOff>19050</xdr:colOff>
                    <xdr:row>90</xdr:row>
                    <xdr:rowOff>0</xdr:rowOff>
                  </to>
                </anchor>
              </controlPr>
            </control>
          </mc:Choice>
        </mc:AlternateContent>
        <mc:AlternateContent xmlns:mc="http://schemas.openxmlformats.org/markup-compatibility/2006">
          <mc:Choice Requires="x14">
            <control shapeId="16406" r:id="rId12" name="Check Box 22">
              <controlPr defaultSize="0" autoFill="0" autoLine="0" autoPict="0">
                <anchor moveWithCells="1">
                  <from>
                    <xdr:col>8</xdr:col>
                    <xdr:colOff>400050</xdr:colOff>
                    <xdr:row>89</xdr:row>
                    <xdr:rowOff>0</xdr:rowOff>
                  </from>
                  <to>
                    <xdr:col>9</xdr:col>
                    <xdr:colOff>209550</xdr:colOff>
                    <xdr:row>90</xdr:row>
                    <xdr:rowOff>19050</xdr:rowOff>
                  </to>
                </anchor>
              </controlPr>
            </control>
          </mc:Choice>
        </mc:AlternateContent>
        <mc:AlternateContent xmlns:mc="http://schemas.openxmlformats.org/markup-compatibility/2006">
          <mc:Choice Requires="x14">
            <control shapeId="16407" r:id="rId13" name="Check Box 23">
              <controlPr defaultSize="0" autoFill="0" autoLine="0" autoPict="0">
                <anchor moveWithCells="1">
                  <from>
                    <xdr:col>16</xdr:col>
                    <xdr:colOff>133350</xdr:colOff>
                    <xdr:row>89</xdr:row>
                    <xdr:rowOff>0</xdr:rowOff>
                  </from>
                  <to>
                    <xdr:col>17</xdr:col>
                    <xdr:colOff>0</xdr:colOff>
                    <xdr:row>90</xdr:row>
                    <xdr:rowOff>19050</xdr:rowOff>
                  </to>
                </anchor>
              </controlPr>
            </control>
          </mc:Choice>
        </mc:AlternateContent>
        <mc:AlternateContent xmlns:mc="http://schemas.openxmlformats.org/markup-compatibility/2006">
          <mc:Choice Requires="x14">
            <control shapeId="16408" r:id="rId14" name="Check Box 24">
              <controlPr defaultSize="0" autoFill="0" autoLine="0" autoPict="0">
                <anchor moveWithCells="1">
                  <from>
                    <xdr:col>17</xdr:col>
                    <xdr:colOff>990600</xdr:colOff>
                    <xdr:row>16</xdr:row>
                    <xdr:rowOff>209550</xdr:rowOff>
                  </from>
                  <to>
                    <xdr:col>19</xdr:col>
                    <xdr:colOff>19050</xdr:colOff>
                    <xdr:row>18</xdr:row>
                    <xdr:rowOff>0</xdr:rowOff>
                  </to>
                </anchor>
              </controlPr>
            </control>
          </mc:Choice>
        </mc:AlternateContent>
        <mc:AlternateContent xmlns:mc="http://schemas.openxmlformats.org/markup-compatibility/2006">
          <mc:Choice Requires="x14">
            <control shapeId="16409" r:id="rId15" name="Check Box 25">
              <controlPr defaultSize="0" autoFill="0" autoLine="0" autoPict="0">
                <anchor moveWithCells="1">
                  <from>
                    <xdr:col>17</xdr:col>
                    <xdr:colOff>714375</xdr:colOff>
                    <xdr:row>36</xdr:row>
                    <xdr:rowOff>0</xdr:rowOff>
                  </from>
                  <to>
                    <xdr:col>18</xdr:col>
                    <xdr:colOff>0</xdr:colOff>
                    <xdr:row>37</xdr:row>
                    <xdr:rowOff>19050</xdr:rowOff>
                  </to>
                </anchor>
              </controlPr>
            </control>
          </mc:Choice>
        </mc:AlternateContent>
        <mc:AlternateContent xmlns:mc="http://schemas.openxmlformats.org/markup-compatibility/2006">
          <mc:Choice Requires="x14">
            <control shapeId="16410" r:id="rId16" name="Check Box 26">
              <controlPr defaultSize="0" autoFill="0" autoLine="0" autoPict="0">
                <anchor moveWithCells="1">
                  <from>
                    <xdr:col>16</xdr:col>
                    <xdr:colOff>171450</xdr:colOff>
                    <xdr:row>90</xdr:row>
                    <xdr:rowOff>19050</xdr:rowOff>
                  </from>
                  <to>
                    <xdr:col>17</xdr:col>
                    <xdr:colOff>19050</xdr:colOff>
                    <xdr:row>91</xdr:row>
                    <xdr:rowOff>28575</xdr:rowOff>
                  </to>
                </anchor>
              </controlPr>
            </control>
          </mc:Choice>
        </mc:AlternateContent>
        <mc:AlternateContent xmlns:mc="http://schemas.openxmlformats.org/markup-compatibility/2006">
          <mc:Choice Requires="x14">
            <control shapeId="16411" r:id="rId17" name="Check Box 27">
              <controlPr defaultSize="0" autoFill="0" autoLine="0" autoPict="0">
                <anchor moveWithCells="1">
                  <from>
                    <xdr:col>16</xdr:col>
                    <xdr:colOff>171450</xdr:colOff>
                    <xdr:row>91</xdr:row>
                    <xdr:rowOff>0</xdr:rowOff>
                  </from>
                  <to>
                    <xdr:col>17</xdr:col>
                    <xdr:colOff>19050</xdr:colOff>
                    <xdr:row>92</xdr:row>
                    <xdr:rowOff>19050</xdr:rowOff>
                  </to>
                </anchor>
              </controlPr>
            </control>
          </mc:Choice>
        </mc:AlternateContent>
        <mc:AlternateContent xmlns:mc="http://schemas.openxmlformats.org/markup-compatibility/2006">
          <mc:Choice Requires="x14">
            <control shapeId="16412" r:id="rId18" name="Check Box 28">
              <controlPr defaultSize="0" autoFill="0" autoLine="0" autoPict="0">
                <anchor moveWithCells="1">
                  <from>
                    <xdr:col>16</xdr:col>
                    <xdr:colOff>171450</xdr:colOff>
                    <xdr:row>91</xdr:row>
                    <xdr:rowOff>209550</xdr:rowOff>
                  </from>
                  <to>
                    <xdr:col>17</xdr:col>
                    <xdr:colOff>19050</xdr:colOff>
                    <xdr:row>93</xdr:row>
                    <xdr:rowOff>19050</xdr:rowOff>
                  </to>
                </anchor>
              </controlPr>
            </control>
          </mc:Choice>
        </mc:AlternateContent>
        <mc:AlternateContent xmlns:mc="http://schemas.openxmlformats.org/markup-compatibility/2006">
          <mc:Choice Requires="x14">
            <control shapeId="16413" r:id="rId19" name="Check Box 29">
              <controlPr defaultSize="0" autoFill="0" autoLine="0" autoPict="0">
                <anchor moveWithCells="1">
                  <from>
                    <xdr:col>9</xdr:col>
                    <xdr:colOff>28575</xdr:colOff>
                    <xdr:row>90</xdr:row>
                    <xdr:rowOff>19050</xdr:rowOff>
                  </from>
                  <to>
                    <xdr:col>10</xdr:col>
                    <xdr:colOff>19050</xdr:colOff>
                    <xdr:row>91</xdr:row>
                    <xdr:rowOff>28575</xdr:rowOff>
                  </to>
                </anchor>
              </controlPr>
            </control>
          </mc:Choice>
        </mc:AlternateContent>
        <mc:AlternateContent xmlns:mc="http://schemas.openxmlformats.org/markup-compatibility/2006">
          <mc:Choice Requires="x14">
            <control shapeId="16414" r:id="rId20" name="Check Box 30">
              <controlPr defaultSize="0" autoFill="0" autoLine="0" autoPict="0">
                <anchor moveWithCells="1">
                  <from>
                    <xdr:col>9</xdr:col>
                    <xdr:colOff>28575</xdr:colOff>
                    <xdr:row>91</xdr:row>
                    <xdr:rowOff>0</xdr:rowOff>
                  </from>
                  <to>
                    <xdr:col>10</xdr:col>
                    <xdr:colOff>19050</xdr:colOff>
                    <xdr:row>92</xdr:row>
                    <xdr:rowOff>19050</xdr:rowOff>
                  </to>
                </anchor>
              </controlPr>
            </control>
          </mc:Choice>
        </mc:AlternateContent>
        <mc:AlternateContent xmlns:mc="http://schemas.openxmlformats.org/markup-compatibility/2006">
          <mc:Choice Requires="x14">
            <control shapeId="16415" r:id="rId21" name="Check Box 31">
              <controlPr defaultSize="0" autoFill="0" autoLine="0" autoPict="0">
                <anchor moveWithCells="1">
                  <from>
                    <xdr:col>0</xdr:col>
                    <xdr:colOff>104775</xdr:colOff>
                    <xdr:row>90</xdr:row>
                    <xdr:rowOff>19050</xdr:rowOff>
                  </from>
                  <to>
                    <xdr:col>2</xdr:col>
                    <xdr:colOff>19050</xdr:colOff>
                    <xdr:row>91</xdr:row>
                    <xdr:rowOff>28575</xdr:rowOff>
                  </to>
                </anchor>
              </controlPr>
            </control>
          </mc:Choice>
        </mc:AlternateContent>
        <mc:AlternateContent xmlns:mc="http://schemas.openxmlformats.org/markup-compatibility/2006">
          <mc:Choice Requires="x14">
            <control shapeId="16416" r:id="rId22" name="Check Box 32">
              <controlPr defaultSize="0" autoFill="0" autoLine="0" autoPict="0">
                <anchor moveWithCells="1">
                  <from>
                    <xdr:col>0</xdr:col>
                    <xdr:colOff>104775</xdr:colOff>
                    <xdr:row>91</xdr:row>
                    <xdr:rowOff>0</xdr:rowOff>
                  </from>
                  <to>
                    <xdr:col>2</xdr:col>
                    <xdr:colOff>19050</xdr:colOff>
                    <xdr:row>92</xdr:row>
                    <xdr:rowOff>19050</xdr:rowOff>
                  </to>
                </anchor>
              </controlPr>
            </control>
          </mc:Choice>
        </mc:AlternateContent>
      </controls>
    </mc:Choice>
  </mc:AlternateConten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6"/>
  <dimension ref="A1:AD74"/>
  <sheetViews>
    <sheetView showGridLines="0" showZeros="0" showRuler="0" view="pageLayout" zoomScale="90" zoomScaleNormal="90" zoomScaleSheetLayoutView="85" zoomScalePageLayoutView="90" workbookViewId="0">
      <selection activeCell="F17" sqref="F17:J17"/>
    </sheetView>
  </sheetViews>
  <sheetFormatPr defaultColWidth="9.28515625" defaultRowHeight="15" x14ac:dyDescent="0.25"/>
  <cols>
    <col min="1" max="1" width="0.7109375" customWidth="1"/>
    <col min="2" max="2" width="13" customWidth="1"/>
    <col min="3" max="3" width="19.7109375" customWidth="1"/>
    <col min="4" max="4" width="16" style="150" customWidth="1"/>
    <col min="5" max="5" width="18" customWidth="1"/>
    <col min="6" max="6" width="14.28515625" customWidth="1"/>
    <col min="7" max="7" width="7.28515625" customWidth="1"/>
    <col min="8" max="8" width="5.42578125" customWidth="1"/>
    <col min="9" max="9" width="6.7109375" customWidth="1"/>
    <col min="10" max="10" width="8.7109375" customWidth="1"/>
    <col min="11" max="11" width="5.5703125" hidden="1" customWidth="1"/>
    <col min="12" max="12" width="0.28515625" hidden="1" customWidth="1"/>
    <col min="13" max="13" width="13.7109375" customWidth="1"/>
    <col min="14" max="14" width="18.5703125" customWidth="1"/>
    <col min="15" max="15" width="21.7109375" style="151" customWidth="1"/>
    <col min="17" max="17" width="14.7109375" customWidth="1"/>
    <col min="18" max="18" width="17.5703125" customWidth="1"/>
    <col min="19" max="19" width="15.7109375" customWidth="1"/>
    <col min="20" max="20" width="8.28515625" customWidth="1"/>
    <col min="22" max="22" width="9.28515625" style="152"/>
    <col min="23" max="23" width="9.28515625" style="152" customWidth="1"/>
    <col min="24" max="25" width="9.28515625" style="152" hidden="1" customWidth="1"/>
    <col min="26" max="29" width="9.28515625" style="152" customWidth="1"/>
    <col min="30" max="30" width="9.28515625" style="152"/>
  </cols>
  <sheetData>
    <row r="1" spans="2:30" ht="3" customHeight="1" x14ac:dyDescent="0.25">
      <c r="U1" s="298">
        <f>EDATE(O18,'STANDARD COMP.'!E29)</f>
        <v>46082</v>
      </c>
    </row>
    <row r="2" spans="2:30" s="172" customFormat="1" ht="14.25" x14ac:dyDescent="0.3">
      <c r="B2" s="565" t="s">
        <v>681</v>
      </c>
      <c r="C2" s="577">
        <f>FORM!G22</f>
        <v>45870</v>
      </c>
      <c r="D2" s="108"/>
      <c r="E2" s="108"/>
      <c r="F2" s="565" t="s">
        <v>873</v>
      </c>
      <c r="G2" s="1380" t="s">
        <v>683</v>
      </c>
      <c r="H2" s="1381"/>
      <c r="I2" s="1381"/>
      <c r="J2" s="1382"/>
      <c r="K2" s="21"/>
      <c r="L2" s="21"/>
      <c r="M2" s="566" t="s">
        <v>681</v>
      </c>
      <c r="N2" s="577">
        <f>C2</f>
        <v>45870</v>
      </c>
      <c r="O2" s="108"/>
      <c r="Q2" s="567" t="str">
        <f>F2</f>
        <v>PAGE:</v>
      </c>
      <c r="R2" s="1302" t="s">
        <v>685</v>
      </c>
      <c r="S2" s="1303"/>
      <c r="V2" s="170"/>
      <c r="W2" s="170"/>
      <c r="X2" s="170"/>
      <c r="Y2" s="170"/>
      <c r="Z2" s="170"/>
      <c r="AA2" s="170"/>
      <c r="AB2" s="170"/>
      <c r="AC2" s="170"/>
      <c r="AD2" s="170"/>
    </row>
    <row r="3" spans="2:30" s="154" customFormat="1" ht="12.75" x14ac:dyDescent="0.2">
      <c r="C3" s="155"/>
      <c r="D3" s="155"/>
      <c r="G3" s="156"/>
      <c r="H3" s="156"/>
      <c r="I3" s="156"/>
      <c r="J3" s="157"/>
      <c r="K3" s="156"/>
      <c r="L3" s="156"/>
      <c r="N3" s="155"/>
      <c r="O3" s="155"/>
      <c r="R3" s="1386"/>
      <c r="S3" s="1386"/>
      <c r="V3" s="158"/>
      <c r="W3" s="158"/>
      <c r="X3" s="158"/>
      <c r="Y3" s="158"/>
      <c r="Z3" s="158"/>
      <c r="AA3" s="158"/>
      <c r="AB3" s="158"/>
      <c r="AC3" s="158"/>
      <c r="AD3" s="158"/>
    </row>
    <row r="4" spans="2:30" s="160" customFormat="1" ht="12" customHeight="1" x14ac:dyDescent="0.2">
      <c r="B4" s="1159" t="s">
        <v>903</v>
      </c>
      <c r="C4" s="1159"/>
      <c r="D4" s="1159"/>
      <c r="E4" s="1159"/>
      <c r="F4" s="1159"/>
      <c r="G4" s="1159"/>
      <c r="H4" s="1159"/>
      <c r="I4" s="1159"/>
      <c r="J4" s="1159"/>
      <c r="K4" s="159"/>
      <c r="L4" s="159"/>
      <c r="M4" s="1319" t="s">
        <v>687</v>
      </c>
      <c r="N4" s="1319"/>
      <c r="O4" s="1319"/>
      <c r="P4" s="1319"/>
      <c r="Q4" s="1319"/>
      <c r="R4" s="1319"/>
      <c r="S4" s="1319"/>
      <c r="V4" s="161"/>
      <c r="W4" s="161"/>
      <c r="X4" s="161"/>
      <c r="Y4" s="161"/>
      <c r="Z4" s="161"/>
      <c r="AA4" s="161"/>
      <c r="AB4" s="161"/>
      <c r="AC4" s="161"/>
      <c r="AD4" s="161"/>
    </row>
    <row r="5" spans="2:30" s="160" customFormat="1" ht="12" customHeight="1" x14ac:dyDescent="0.2">
      <c r="B5" s="1159"/>
      <c r="C5" s="1159"/>
      <c r="D5" s="1159"/>
      <c r="E5" s="1159"/>
      <c r="F5" s="1159"/>
      <c r="G5" s="1159"/>
      <c r="H5" s="1159"/>
      <c r="I5" s="1159"/>
      <c r="J5" s="1159"/>
      <c r="K5" s="159"/>
      <c r="L5" s="159"/>
      <c r="M5" s="1319"/>
      <c r="N5" s="1319"/>
      <c r="O5" s="1319"/>
      <c r="P5" s="1319"/>
      <c r="Q5" s="1319"/>
      <c r="R5" s="1319"/>
      <c r="S5" s="1319"/>
      <c r="V5" s="161"/>
      <c r="W5" s="161"/>
      <c r="X5" s="161"/>
      <c r="Y5" s="161"/>
      <c r="Z5" s="161"/>
      <c r="AA5" s="161"/>
      <c r="AB5" s="161"/>
      <c r="AC5" s="161"/>
      <c r="AD5" s="161"/>
    </row>
    <row r="6" spans="2:30" s="160" customFormat="1" ht="12" customHeight="1" x14ac:dyDescent="0.2">
      <c r="B6" s="162"/>
      <c r="C6" s="162"/>
      <c r="D6" s="163"/>
      <c r="E6" s="162"/>
      <c r="F6" s="162"/>
      <c r="G6" s="162"/>
      <c r="H6" s="162"/>
      <c r="I6" s="162"/>
      <c r="J6" s="162"/>
      <c r="K6" s="162"/>
      <c r="L6" s="162"/>
      <c r="M6" s="164"/>
      <c r="N6" s="165"/>
      <c r="O6" s="166"/>
      <c r="P6" s="165"/>
      <c r="Q6" s="165"/>
      <c r="R6" s="165"/>
      <c r="S6" s="166"/>
      <c r="V6" s="161"/>
      <c r="W6" s="161"/>
      <c r="X6" s="161"/>
      <c r="Y6" s="161"/>
      <c r="Z6" s="161"/>
      <c r="AA6" s="161"/>
      <c r="AB6" s="161"/>
      <c r="AC6" s="161"/>
      <c r="AD6" s="161"/>
    </row>
    <row r="7" spans="2:30" s="169" customFormat="1" ht="13.5" x14ac:dyDescent="0.2">
      <c r="B7" s="454" t="s">
        <v>688</v>
      </c>
      <c r="C7" s="455"/>
      <c r="D7" s="217" t="s">
        <v>647</v>
      </c>
      <c r="E7" s="1152">
        <f>FORM!G30</f>
        <v>0</v>
      </c>
      <c r="F7" s="1153"/>
      <c r="G7" s="1153"/>
      <c r="H7" s="1153"/>
      <c r="I7" s="1153"/>
      <c r="J7" s="1154"/>
      <c r="K7" s="168"/>
      <c r="L7" s="168"/>
      <c r="M7" s="454" t="s">
        <v>688</v>
      </c>
      <c r="N7" s="455"/>
      <c r="O7" s="217" t="s">
        <v>647</v>
      </c>
      <c r="P7" s="1152">
        <f>E7</f>
        <v>0</v>
      </c>
      <c r="Q7" s="1153"/>
      <c r="R7" s="1153"/>
      <c r="S7" s="1154"/>
      <c r="V7" s="170"/>
      <c r="W7" s="170"/>
      <c r="X7" s="170"/>
      <c r="Y7" s="170"/>
      <c r="Z7" s="170"/>
      <c r="AA7" s="170"/>
      <c r="AB7" s="170"/>
      <c r="AC7" s="170"/>
      <c r="AD7" s="170"/>
    </row>
    <row r="8" spans="2:30" s="169" customFormat="1" ht="13.5" x14ac:dyDescent="0.2">
      <c r="B8" s="226" t="s">
        <v>646</v>
      </c>
      <c r="C8" s="456"/>
      <c r="D8" s="217" t="s">
        <v>647</v>
      </c>
      <c r="E8" s="1152" t="str">
        <f>FORM!G11</f>
        <v>WEECOMM CENTRE</v>
      </c>
      <c r="F8" s="1153"/>
      <c r="G8" s="1153"/>
      <c r="H8" s="1153"/>
      <c r="I8" s="1153"/>
      <c r="J8" s="1154"/>
      <c r="K8" s="168"/>
      <c r="L8" s="168"/>
      <c r="M8" s="226" t="s">
        <v>646</v>
      </c>
      <c r="N8" s="456"/>
      <c r="O8" s="217" t="s">
        <v>647</v>
      </c>
      <c r="P8" s="1383" t="str">
        <f>E8</f>
        <v>WEECOMM CENTRE</v>
      </c>
      <c r="Q8" s="1133"/>
      <c r="R8" s="1133"/>
      <c r="S8" s="1384"/>
      <c r="V8" s="170"/>
      <c r="W8" s="170"/>
      <c r="X8" s="170"/>
      <c r="Y8" s="170"/>
      <c r="Z8" s="170"/>
      <c r="AA8" s="170"/>
      <c r="AB8" s="170"/>
      <c r="AC8" s="170"/>
      <c r="AD8" s="170"/>
    </row>
    <row r="9" spans="2:30" s="169" customFormat="1" ht="13.5" x14ac:dyDescent="0.2">
      <c r="B9" s="226" t="s">
        <v>689</v>
      </c>
      <c r="C9" s="456"/>
      <c r="D9" s="217" t="s">
        <v>647</v>
      </c>
      <c r="E9" s="1152" t="str">
        <f>'STANDARD COMP.'!E8</f>
        <v>9G</v>
      </c>
      <c r="F9" s="1153"/>
      <c r="G9" s="1153"/>
      <c r="H9" s="1153"/>
      <c r="I9" s="1153"/>
      <c r="J9" s="1154"/>
      <c r="K9" s="168"/>
      <c r="L9" s="168"/>
      <c r="M9" s="226" t="s">
        <v>689</v>
      </c>
      <c r="N9" s="456"/>
      <c r="O9" s="217" t="s">
        <v>647</v>
      </c>
      <c r="P9" s="1152" t="str">
        <f>B9</f>
        <v>UNIT NUMBER</v>
      </c>
      <c r="Q9" s="1153"/>
      <c r="R9" s="1153"/>
      <c r="S9" s="1154"/>
      <c r="V9" s="170"/>
      <c r="W9" s="170"/>
      <c r="X9" s="170"/>
      <c r="Y9" s="170"/>
      <c r="Z9" s="170"/>
      <c r="AA9" s="170"/>
      <c r="AB9" s="170"/>
      <c r="AC9" s="170"/>
      <c r="AD9" s="170"/>
    </row>
    <row r="10" spans="2:30" s="172" customFormat="1" ht="13.5" hidden="1" x14ac:dyDescent="0.2">
      <c r="B10" s="226" t="s">
        <v>690</v>
      </c>
      <c r="C10" s="456"/>
      <c r="D10" s="217" t="s">
        <v>647</v>
      </c>
      <c r="E10" s="1152">
        <f>FORM!G14</f>
        <v>1</v>
      </c>
      <c r="F10" s="1153"/>
      <c r="G10" s="1153"/>
      <c r="H10" s="1153"/>
      <c r="I10" s="1153"/>
      <c r="J10" s="1154"/>
      <c r="K10" s="171"/>
      <c r="L10" s="171"/>
      <c r="M10" s="226" t="s">
        <v>690</v>
      </c>
      <c r="N10" s="456"/>
      <c r="O10" s="217" t="s">
        <v>647</v>
      </c>
      <c r="P10" s="1383">
        <f t="shared" ref="P10:P14" si="0">E10</f>
        <v>1</v>
      </c>
      <c r="Q10" s="1133"/>
      <c r="R10" s="1133"/>
      <c r="S10" s="1384"/>
      <c r="V10" s="170"/>
      <c r="W10" s="170"/>
      <c r="X10" s="170"/>
      <c r="Y10" s="170"/>
      <c r="Z10" s="170"/>
      <c r="AA10" s="170"/>
      <c r="AB10" s="170"/>
      <c r="AC10" s="170"/>
      <c r="AD10" s="170"/>
    </row>
    <row r="11" spans="2:30" s="172" customFormat="1" ht="13.5" x14ac:dyDescent="0.2">
      <c r="B11" s="226" t="s">
        <v>612</v>
      </c>
      <c r="C11" s="456"/>
      <c r="D11" s="217" t="s">
        <v>647</v>
      </c>
      <c r="E11" s="1152" t="str">
        <f>'SPOT EQUITY_7DAYS'!E10:F10</f>
        <v>2-BR</v>
      </c>
      <c r="F11" s="1153"/>
      <c r="G11" s="1139" t="str">
        <f>'STANDARD COMP.'!G10:I10</f>
        <v>BARE</v>
      </c>
      <c r="H11" s="1139"/>
      <c r="I11" s="1139"/>
      <c r="J11" s="1385"/>
      <c r="K11" s="171"/>
      <c r="L11" s="171"/>
      <c r="M11" s="226" t="s">
        <v>612</v>
      </c>
      <c r="N11" s="456"/>
      <c r="O11" s="217" t="s">
        <v>647</v>
      </c>
      <c r="P11" s="1152" t="str">
        <f t="shared" si="0"/>
        <v>2-BR</v>
      </c>
      <c r="Q11" s="1153"/>
      <c r="R11" s="603" t="str">
        <f>G11</f>
        <v>BARE</v>
      </c>
      <c r="S11" s="604"/>
      <c r="T11" s="173"/>
      <c r="V11" s="170"/>
      <c r="W11" s="170"/>
      <c r="X11" s="170"/>
      <c r="Y11" s="170"/>
      <c r="Z11" s="170"/>
      <c r="AA11" s="170"/>
      <c r="AB11" s="170"/>
      <c r="AC11" s="170"/>
      <c r="AD11" s="170"/>
    </row>
    <row r="12" spans="2:30" s="172" customFormat="1" ht="13.5" x14ac:dyDescent="0.2">
      <c r="B12" s="551" t="s">
        <v>692</v>
      </c>
      <c r="C12" s="552"/>
      <c r="D12" s="217" t="s">
        <v>647</v>
      </c>
      <c r="E12" s="1387">
        <f>'STANDARD COMP.'!E11:F11</f>
        <v>95.44</v>
      </c>
      <c r="F12" s="1388"/>
      <c r="G12" s="458" t="s">
        <v>693</v>
      </c>
      <c r="H12" s="553"/>
      <c r="I12" s="458"/>
      <c r="J12" s="236"/>
      <c r="K12" s="171"/>
      <c r="L12" s="171"/>
      <c r="M12" s="226" t="s">
        <v>692</v>
      </c>
      <c r="N12" s="456"/>
      <c r="O12" s="217" t="s">
        <v>647</v>
      </c>
      <c r="P12" s="1387">
        <f t="shared" si="0"/>
        <v>95.44</v>
      </c>
      <c r="Q12" s="1389"/>
      <c r="R12" s="458" t="s">
        <v>693</v>
      </c>
      <c r="S12" s="529"/>
      <c r="V12" s="170"/>
      <c r="W12" s="170"/>
      <c r="X12" s="170"/>
      <c r="Y12" s="170"/>
      <c r="Z12" s="170"/>
      <c r="AA12" s="170"/>
      <c r="AB12" s="170"/>
      <c r="AC12" s="170"/>
      <c r="AD12" s="170"/>
    </row>
    <row r="13" spans="2:30" s="172" customFormat="1" ht="13.5" x14ac:dyDescent="0.2">
      <c r="B13" s="234" t="s">
        <v>694</v>
      </c>
      <c r="C13" s="552"/>
      <c r="D13" s="217" t="s">
        <v>647</v>
      </c>
      <c r="E13" s="1147">
        <f>'STANDARD COMP.'!E12:F12</f>
        <v>13.34</v>
      </c>
      <c r="F13" s="1390"/>
      <c r="G13" s="458" t="s">
        <v>693</v>
      </c>
      <c r="H13" s="458"/>
      <c r="I13" s="458"/>
      <c r="J13" s="236" t="s">
        <v>660</v>
      </c>
      <c r="K13" s="171"/>
      <c r="L13" s="171"/>
      <c r="M13" s="234" t="s">
        <v>694</v>
      </c>
      <c r="N13" s="456"/>
      <c r="O13" s="217" t="s">
        <v>647</v>
      </c>
      <c r="P13" s="1147">
        <f t="shared" si="0"/>
        <v>13.34</v>
      </c>
      <c r="Q13" s="1148"/>
      <c r="R13" s="458" t="s">
        <v>693</v>
      </c>
      <c r="S13" s="236"/>
      <c r="V13" s="170"/>
      <c r="W13" s="170"/>
      <c r="X13" s="170"/>
      <c r="Y13" s="170"/>
      <c r="Z13" s="170"/>
      <c r="AA13" s="170"/>
      <c r="AB13" s="170"/>
      <c r="AC13" s="170"/>
      <c r="AD13" s="170"/>
    </row>
    <row r="14" spans="2:30" s="172" customFormat="1" ht="13.5" x14ac:dyDescent="0.2">
      <c r="B14" s="475" t="s">
        <v>695</v>
      </c>
      <c r="C14" s="142"/>
      <c r="D14" s="217" t="s">
        <v>647</v>
      </c>
      <c r="E14" s="1147">
        <f>'STANDARD COMP.'!E13:F13</f>
        <v>108.78</v>
      </c>
      <c r="F14" s="1390"/>
      <c r="G14" s="458" t="s">
        <v>693</v>
      </c>
      <c r="H14" s="458"/>
      <c r="I14" s="458"/>
      <c r="J14" s="236"/>
      <c r="K14" s="171"/>
      <c r="L14" s="171"/>
      <c r="M14" s="475" t="s">
        <v>695</v>
      </c>
      <c r="N14" s="142"/>
      <c r="O14" s="217" t="s">
        <v>647</v>
      </c>
      <c r="P14" s="1394">
        <f t="shared" si="0"/>
        <v>108.78</v>
      </c>
      <c r="Q14" s="1395"/>
      <c r="R14" s="555" t="s">
        <v>693</v>
      </c>
      <c r="S14" s="561"/>
      <c r="V14" s="170"/>
      <c r="W14" s="170"/>
      <c r="X14" s="170"/>
      <c r="Y14" s="170"/>
      <c r="Z14" s="170"/>
      <c r="AA14" s="170"/>
      <c r="AB14" s="170"/>
      <c r="AC14" s="170"/>
      <c r="AD14" s="170"/>
    </row>
    <row r="15" spans="2:30" s="175" customFormat="1" ht="13.5" x14ac:dyDescent="0.2">
      <c r="B15" s="131"/>
      <c r="C15" s="131"/>
      <c r="D15" s="217"/>
      <c r="E15" s="131"/>
      <c r="F15" s="131"/>
      <c r="G15" s="131"/>
      <c r="H15" s="131"/>
      <c r="I15" s="131"/>
      <c r="J15" s="131"/>
      <c r="K15" s="174"/>
      <c r="L15" s="174"/>
      <c r="M15" s="131"/>
      <c r="N15" s="131"/>
      <c r="O15" s="315"/>
      <c r="P15" s="131"/>
      <c r="Q15" s="131"/>
      <c r="R15" s="131"/>
      <c r="S15" s="131"/>
      <c r="V15" s="161"/>
      <c r="W15" s="161"/>
      <c r="X15" s="161"/>
      <c r="Y15" s="161"/>
      <c r="Z15" s="161"/>
      <c r="AA15" s="161"/>
      <c r="AB15" s="161"/>
      <c r="AC15" s="161"/>
      <c r="AD15" s="161"/>
    </row>
    <row r="16" spans="2:30" s="175" customFormat="1" ht="15" customHeight="1" x14ac:dyDescent="0.2">
      <c r="B16" s="221" t="s">
        <v>696</v>
      </c>
      <c r="C16" s="459"/>
      <c r="D16" s="223" t="s">
        <v>647</v>
      </c>
      <c r="E16" s="235"/>
      <c r="F16" s="1374">
        <f>'STANDARD COMP.'!F15</f>
        <v>20466686.730335645</v>
      </c>
      <c r="G16" s="1375"/>
      <c r="H16" s="1375"/>
      <c r="I16" s="1375"/>
      <c r="J16" s="1398"/>
      <c r="K16" s="176"/>
      <c r="L16" s="176"/>
      <c r="M16" s="1116" t="s">
        <v>697</v>
      </c>
      <c r="N16" s="1116"/>
      <c r="O16" s="1168" t="s">
        <v>698</v>
      </c>
      <c r="P16" s="1116" t="s">
        <v>699</v>
      </c>
      <c r="Q16" s="1116"/>
      <c r="R16" s="1108" t="s">
        <v>639</v>
      </c>
      <c r="S16" s="1109"/>
      <c r="V16" s="161"/>
      <c r="W16" s="161"/>
      <c r="X16" s="161"/>
      <c r="Y16" s="161"/>
      <c r="Z16" s="161"/>
      <c r="AA16" s="161"/>
      <c r="AB16" s="161"/>
      <c r="AC16" s="161"/>
      <c r="AD16" s="161"/>
    </row>
    <row r="17" spans="1:30" s="177" customFormat="1" ht="13.5" x14ac:dyDescent="0.2">
      <c r="B17" s="454" t="s">
        <v>898</v>
      </c>
      <c r="C17" s="459"/>
      <c r="D17" s="223"/>
      <c r="E17" s="235">
        <v>0.03</v>
      </c>
      <c r="F17" s="1391">
        <f>(F16*E27)*E17</f>
        <v>153500.15047751734</v>
      </c>
      <c r="G17" s="1392"/>
      <c r="H17" s="1392"/>
      <c r="I17" s="1392"/>
      <c r="J17" s="1396"/>
      <c r="K17" s="174"/>
      <c r="L17" s="174"/>
      <c r="M17" s="1116"/>
      <c r="N17" s="1116"/>
      <c r="O17" s="1168"/>
      <c r="P17" s="1116"/>
      <c r="Q17" s="1116"/>
      <c r="R17" s="1110"/>
      <c r="S17" s="1111"/>
      <c r="V17" s="178"/>
      <c r="W17" s="178"/>
      <c r="X17" s="178"/>
      <c r="Y17" s="178"/>
      <c r="Z17" s="178"/>
      <c r="AA17" s="178"/>
      <c r="AB17" s="178"/>
      <c r="AC17" s="178"/>
      <c r="AD17" s="178"/>
    </row>
    <row r="18" spans="1:30" s="175" customFormat="1" ht="13.5" x14ac:dyDescent="0.2">
      <c r="B18" s="226" t="s">
        <v>700</v>
      </c>
      <c r="C18" s="234"/>
      <c r="D18" s="217" t="s">
        <v>647</v>
      </c>
      <c r="E18" s="235"/>
      <c r="F18" s="1391">
        <f>SUM(FORM!T20:T22)</f>
        <v>0</v>
      </c>
      <c r="G18" s="1392"/>
      <c r="H18" s="1392"/>
      <c r="I18" s="1392"/>
      <c r="J18" s="1396"/>
      <c r="K18" s="176"/>
      <c r="L18" s="176"/>
      <c r="M18" s="1132" t="s">
        <v>624</v>
      </c>
      <c r="N18" s="1132"/>
      <c r="O18" s="530">
        <f>C2</f>
        <v>45870</v>
      </c>
      <c r="P18" s="1114">
        <f>FORM!G24</f>
        <v>50000</v>
      </c>
      <c r="Q18" s="1114"/>
      <c r="R18" s="1101"/>
      <c r="S18" s="1102"/>
      <c r="V18" s="161"/>
      <c r="W18" s="161"/>
      <c r="X18" s="161"/>
      <c r="Y18" s="161"/>
      <c r="Z18" s="161"/>
      <c r="AA18" s="161"/>
      <c r="AB18" s="161"/>
      <c r="AC18" s="161"/>
      <c r="AD18" s="161"/>
    </row>
    <row r="19" spans="1:30" s="177" customFormat="1" ht="13.5" x14ac:dyDescent="0.2">
      <c r="B19" s="187" t="s">
        <v>701</v>
      </c>
      <c r="C19" s="142"/>
      <c r="D19" s="223" t="s">
        <v>647</v>
      </c>
      <c r="E19" s="235"/>
      <c r="F19" s="1374">
        <f>F16-(F17+F18)</f>
        <v>20313186.579858128</v>
      </c>
      <c r="G19" s="1375"/>
      <c r="H19" s="1375"/>
      <c r="I19" s="1375"/>
      <c r="J19" s="1398"/>
      <c r="K19" s="174"/>
      <c r="L19" s="174"/>
      <c r="M19" s="1132" t="s">
        <v>899</v>
      </c>
      <c r="N19" s="1132"/>
      <c r="O19" s="530">
        <f>O18+30</f>
        <v>45900</v>
      </c>
      <c r="P19" s="1114">
        <f>F30</f>
        <v>6149359.4106186666</v>
      </c>
      <c r="Q19" s="1114"/>
      <c r="R19" s="1101"/>
      <c r="S19" s="1102"/>
      <c r="V19" s="178"/>
      <c r="W19" s="178"/>
      <c r="X19" s="178"/>
      <c r="Y19" s="178"/>
      <c r="Z19" s="178"/>
      <c r="AA19" s="178"/>
      <c r="AB19" s="178"/>
      <c r="AC19" s="178"/>
      <c r="AD19" s="178"/>
    </row>
    <row r="20" spans="1:30" s="175" customFormat="1" ht="13.5" x14ac:dyDescent="0.2">
      <c r="B20" s="231"/>
      <c r="C20" s="131"/>
      <c r="D20" s="217"/>
      <c r="E20" s="131"/>
      <c r="F20" s="233"/>
      <c r="G20" s="233"/>
      <c r="H20" s="233"/>
      <c r="I20" s="131"/>
      <c r="J20" s="131"/>
      <c r="K20" s="174"/>
      <c r="L20" s="174"/>
      <c r="M20" s="1142" t="s">
        <v>773</v>
      </c>
      <c r="N20" s="1142"/>
      <c r="O20" s="531">
        <f>IF(AND(DAY(U1)&gt;=6,DAY(U1)&lt;=20),DATE(YEAR(U1),MONTH(U1)+1,DAY(20)),IF(AND(DAY(U1)&gt;=21,DAY(U1)&lt;=30),DATE(YEAR(U1),MONTH(U1)+1,IF(DAY(EOMONTH(U1,1))&lt;30,DAY(EOMONTH(U1,1)),DAY(30))),DATE(YEAR(U1),MONTH(U1)+1,DAY(5))))</f>
        <v>46117</v>
      </c>
      <c r="P20" s="1347">
        <f>F32</f>
        <v>18598078.231856</v>
      </c>
      <c r="Q20" s="1347"/>
      <c r="R20" s="1348"/>
      <c r="S20" s="1349"/>
      <c r="V20" s="161"/>
      <c r="W20" s="161"/>
      <c r="X20" s="1399" t="s">
        <v>702</v>
      </c>
      <c r="Y20" s="1399"/>
      <c r="Z20" s="161"/>
      <c r="AA20" s="161"/>
      <c r="AB20" s="161"/>
      <c r="AC20" s="161"/>
      <c r="AD20" s="161"/>
    </row>
    <row r="21" spans="1:30" s="175" customFormat="1" ht="13.5" x14ac:dyDescent="0.2">
      <c r="B21" s="182" t="s">
        <v>704</v>
      </c>
      <c r="C21" s="182"/>
      <c r="D21" s="217" t="s">
        <v>647</v>
      </c>
      <c r="E21" s="235">
        <f>'STANDARD COMP.'!E19</f>
        <v>0.1</v>
      </c>
      <c r="F21" s="1391">
        <f>F16*E21</f>
        <v>2046668.6730335646</v>
      </c>
      <c r="G21" s="1392"/>
      <c r="H21" s="1393"/>
      <c r="I21" s="458"/>
      <c r="J21" s="236"/>
      <c r="K21" s="174"/>
      <c r="L21" s="174"/>
      <c r="M21" s="1129"/>
      <c r="N21" s="1129"/>
      <c r="O21" s="562"/>
      <c r="P21" s="1397"/>
      <c r="Q21" s="1397"/>
      <c r="R21" s="131"/>
      <c r="S21" s="131"/>
      <c r="T21" s="161"/>
      <c r="U21" s="161"/>
      <c r="V21" s="161"/>
      <c r="W21" s="161"/>
    </row>
    <row r="22" spans="1:30" s="175" customFormat="1" ht="13.5" x14ac:dyDescent="0.2">
      <c r="B22" s="234" t="s">
        <v>619</v>
      </c>
      <c r="C22" s="234"/>
      <c r="D22" s="217" t="s">
        <v>647</v>
      </c>
      <c r="E22" s="235">
        <v>0.12</v>
      </c>
      <c r="F22" s="1391">
        <f>IF(F19&lt;=PriceLink_Fitted!P11,"",E22*F19)</f>
        <v>2437582.3895829753</v>
      </c>
      <c r="G22" s="1392"/>
      <c r="H22" s="1393"/>
      <c r="I22" s="458"/>
      <c r="J22" s="236"/>
      <c r="K22" s="174"/>
      <c r="L22" s="174"/>
      <c r="M22" s="223"/>
      <c r="N22" s="223"/>
      <c r="O22" s="563"/>
      <c r="P22" s="564"/>
      <c r="Q22" s="564"/>
      <c r="R22" s="133"/>
      <c r="S22" s="133"/>
      <c r="T22" s="161"/>
      <c r="U22" s="161"/>
      <c r="V22" s="161"/>
      <c r="W22" s="161"/>
    </row>
    <row r="23" spans="1:30" s="175" customFormat="1" ht="13.5" x14ac:dyDescent="0.25">
      <c r="B23" s="231"/>
      <c r="C23" s="131"/>
      <c r="D23" s="217"/>
      <c r="E23" s="131"/>
      <c r="F23" s="233"/>
      <c r="G23" s="233"/>
      <c r="H23" s="554"/>
      <c r="I23" s="131"/>
      <c r="J23" s="131"/>
      <c r="K23" s="174"/>
      <c r="L23" s="174"/>
      <c r="M23" s="130"/>
      <c r="N23" s="130"/>
      <c r="O23" s="130"/>
      <c r="P23" s="130"/>
      <c r="Q23" s="130"/>
      <c r="R23" s="130"/>
      <c r="S23" s="130"/>
      <c r="T23" s="161"/>
      <c r="U23" s="161"/>
      <c r="V23" s="161"/>
      <c r="W23" s="161"/>
    </row>
    <row r="24" spans="1:30" s="175" customFormat="1" ht="13.5" x14ac:dyDescent="0.25">
      <c r="A24" s="177"/>
      <c r="B24" s="187" t="s">
        <v>621</v>
      </c>
      <c r="C24" s="142"/>
      <c r="D24" s="223" t="s">
        <v>647</v>
      </c>
      <c r="E24" s="1400">
        <f>SUM(F21:H22,F19)</f>
        <v>24797437.642474666</v>
      </c>
      <c r="F24" s="1401"/>
      <c r="G24" s="1401"/>
      <c r="H24" s="1401"/>
      <c r="I24" s="1401"/>
      <c r="J24" s="1402"/>
      <c r="K24" s="176"/>
      <c r="L24" s="176"/>
      <c r="M24" s="130"/>
      <c r="N24" s="130"/>
      <c r="O24" s="130"/>
      <c r="P24" s="130"/>
      <c r="Q24" s="130"/>
      <c r="R24" s="130"/>
      <c r="S24" s="130"/>
      <c r="T24" s="161"/>
      <c r="U24" s="161"/>
      <c r="V24" s="161"/>
      <c r="W24" s="161"/>
    </row>
    <row r="25" spans="1:30" s="177" customFormat="1" ht="13.5" x14ac:dyDescent="0.25">
      <c r="A25" s="175"/>
      <c r="B25" s="231"/>
      <c r="C25" s="131"/>
      <c r="D25" s="217"/>
      <c r="E25" s="131"/>
      <c r="F25" s="233"/>
      <c r="G25" s="233"/>
      <c r="H25" s="554"/>
      <c r="I25" s="131"/>
      <c r="J25" s="131"/>
      <c r="K25" s="174"/>
      <c r="L25" s="174"/>
      <c r="M25" s="130"/>
      <c r="N25" s="130"/>
      <c r="O25" s="130"/>
      <c r="P25" s="130"/>
      <c r="Q25" s="130"/>
      <c r="R25" s="130"/>
      <c r="S25" s="130"/>
      <c r="T25" s="178"/>
      <c r="U25" s="178"/>
      <c r="V25" s="178"/>
      <c r="W25" s="178"/>
    </row>
    <row r="26" spans="1:30" s="175" customFormat="1" ht="13.5" x14ac:dyDescent="0.25">
      <c r="B26" s="231"/>
      <c r="C26" s="131"/>
      <c r="D26" s="217"/>
      <c r="E26" s="555"/>
      <c r="F26" s="233"/>
      <c r="G26" s="233"/>
      <c r="H26" s="554"/>
      <c r="I26" s="131"/>
      <c r="J26" s="131"/>
      <c r="K26" s="174"/>
      <c r="L26" s="174"/>
      <c r="M26" s="133" t="s">
        <v>774</v>
      </c>
      <c r="N26" s="133"/>
      <c r="O26" s="133"/>
      <c r="P26" s="133"/>
      <c r="Q26" s="130"/>
      <c r="R26" s="133" t="s">
        <v>775</v>
      </c>
      <c r="S26" s="133"/>
      <c r="T26" s="161"/>
      <c r="U26" s="161"/>
      <c r="V26" s="161"/>
      <c r="W26" s="161"/>
    </row>
    <row r="27" spans="1:30" s="175" customFormat="1" ht="13.5" x14ac:dyDescent="0.2">
      <c r="A27" s="177"/>
      <c r="B27" s="221" t="s">
        <v>904</v>
      </c>
      <c r="C27" s="455"/>
      <c r="D27" s="223" t="s">
        <v>647</v>
      </c>
      <c r="E27" s="556">
        <f>'SPOT EQUITY_7DAYS'!E26</f>
        <v>0.25</v>
      </c>
      <c r="F27" s="1374">
        <f>E24*E27</f>
        <v>6199359.4106186666</v>
      </c>
      <c r="G27" s="1375"/>
      <c r="H27" s="1376"/>
      <c r="I27" s="557"/>
      <c r="J27" s="224"/>
      <c r="K27" s="176"/>
      <c r="L27" s="176"/>
      <c r="M27" s="131"/>
      <c r="N27" s="131"/>
      <c r="O27" s="217"/>
      <c r="P27" s="131"/>
      <c r="Q27" s="131"/>
      <c r="R27" s="131"/>
      <c r="S27" s="131"/>
      <c r="T27" s="161"/>
      <c r="U27" s="161"/>
      <c r="V27" s="161"/>
      <c r="W27" s="161"/>
    </row>
    <row r="28" spans="1:30" s="177" customFormat="1" ht="13.5" x14ac:dyDescent="0.2">
      <c r="B28" s="1113" t="s">
        <v>714</v>
      </c>
      <c r="C28" s="1113"/>
      <c r="D28" s="217" t="str">
        <f>D27</f>
        <v>:</v>
      </c>
      <c r="E28" s="235"/>
      <c r="F28" s="1391">
        <f>SUM(FORM!T26:T28)</f>
        <v>0</v>
      </c>
      <c r="G28" s="1392"/>
      <c r="H28" s="1393"/>
      <c r="I28" s="557"/>
      <c r="J28" s="224"/>
      <c r="K28" s="176"/>
      <c r="L28" s="176"/>
      <c r="M28" s="133"/>
      <c r="N28" s="133"/>
      <c r="O28" s="223"/>
      <c r="P28" s="133"/>
      <c r="Q28" s="133"/>
      <c r="R28" s="133"/>
      <c r="S28" s="133"/>
      <c r="T28" s="178"/>
      <c r="U28" s="178"/>
      <c r="V28" s="178"/>
      <c r="W28" s="178"/>
    </row>
    <row r="29" spans="1:30" s="177" customFormat="1" ht="13.5" x14ac:dyDescent="0.2">
      <c r="A29" s="175"/>
      <c r="B29" s="454" t="s">
        <v>716</v>
      </c>
      <c r="C29" s="459"/>
      <c r="D29" s="217" t="s">
        <v>647</v>
      </c>
      <c r="E29" s="558"/>
      <c r="F29" s="1391">
        <f>'STANDARD COMP.'!F26</f>
        <v>50000</v>
      </c>
      <c r="G29" s="1392"/>
      <c r="H29" s="1393"/>
      <c r="I29" s="557"/>
      <c r="J29" s="224"/>
      <c r="K29" s="174"/>
      <c r="L29" s="174"/>
      <c r="M29" s="1135" t="str">
        <f>FORM!G32</f>
        <v>Seller</v>
      </c>
      <c r="N29" s="1135"/>
      <c r="O29" s="294"/>
      <c r="P29" s="133"/>
      <c r="Q29" s="133"/>
      <c r="R29" s="1135">
        <f>FORM!G30</f>
        <v>0</v>
      </c>
      <c r="S29" s="1135"/>
      <c r="T29" s="178"/>
      <c r="U29" s="178"/>
      <c r="V29" s="178"/>
      <c r="W29" s="178"/>
    </row>
    <row r="30" spans="1:30" s="175" customFormat="1" ht="13.5" x14ac:dyDescent="0.2">
      <c r="A30" s="177"/>
      <c r="B30" s="187" t="s">
        <v>901</v>
      </c>
      <c r="C30" s="142"/>
      <c r="D30" s="223" t="s">
        <v>647</v>
      </c>
      <c r="E30" s="559"/>
      <c r="F30" s="1374">
        <f>F27-(F28+F29)</f>
        <v>6149359.4106186666</v>
      </c>
      <c r="G30" s="1375"/>
      <c r="H30" s="1376"/>
      <c r="I30" s="557"/>
      <c r="J30" s="224"/>
      <c r="K30" s="176"/>
      <c r="L30" s="176"/>
      <c r="M30" s="146" t="s">
        <v>776</v>
      </c>
      <c r="N30" s="146"/>
      <c r="O30" s="217"/>
      <c r="P30" s="131"/>
      <c r="Q30" s="131"/>
      <c r="R30" s="146" t="s">
        <v>777</v>
      </c>
      <c r="S30" s="295"/>
      <c r="T30" s="161"/>
      <c r="U30" s="161"/>
      <c r="V30" s="161"/>
      <c r="W30" s="161"/>
    </row>
    <row r="31" spans="1:30" s="177" customFormat="1" x14ac:dyDescent="0.2">
      <c r="A31" s="175"/>
      <c r="B31" s="231"/>
      <c r="C31" s="131"/>
      <c r="D31" s="217"/>
      <c r="E31" s="217"/>
      <c r="F31" s="1374"/>
      <c r="G31" s="1375"/>
      <c r="H31" s="1376"/>
      <c r="I31" s="557"/>
      <c r="J31" s="224"/>
      <c r="K31" s="174"/>
      <c r="L31" s="174"/>
      <c r="M31" s="184"/>
      <c r="N31" s="184"/>
      <c r="O31" s="184"/>
      <c r="P31" s="184"/>
      <c r="Q31" s="184"/>
      <c r="R31" s="184"/>
      <c r="S31" s="184"/>
      <c r="T31" s="178"/>
      <c r="U31" s="178"/>
      <c r="V31" s="178"/>
      <c r="W31" s="178"/>
    </row>
    <row r="32" spans="1:30" s="175" customFormat="1" x14ac:dyDescent="0.25">
      <c r="B32" s="187" t="s">
        <v>724</v>
      </c>
      <c r="C32" s="142"/>
      <c r="D32" s="223" t="s">
        <v>647</v>
      </c>
      <c r="E32" s="560">
        <f>100%-E27</f>
        <v>0.75</v>
      </c>
      <c r="F32" s="1374">
        <f>E24*E32</f>
        <v>18598078.231856</v>
      </c>
      <c r="G32" s="1375"/>
      <c r="H32" s="1376"/>
      <c r="I32" s="458"/>
      <c r="J32" s="236"/>
      <c r="K32" s="176"/>
      <c r="L32" s="176"/>
      <c r="M32"/>
      <c r="N32"/>
      <c r="O32" s="151"/>
      <c r="P32"/>
      <c r="Q32"/>
      <c r="R32"/>
      <c r="S32"/>
      <c r="T32" s="161"/>
      <c r="U32" s="161"/>
      <c r="V32" s="161"/>
      <c r="W32" s="161"/>
    </row>
    <row r="33" spans="1:23" s="177" customFormat="1" x14ac:dyDescent="0.25">
      <c r="A33" s="175"/>
      <c r="B33" s="179"/>
      <c r="C33" s="174"/>
      <c r="D33" s="180"/>
      <c r="E33" s="174"/>
      <c r="F33" s="181"/>
      <c r="G33" s="174"/>
      <c r="H33" s="174"/>
      <c r="I33" s="174"/>
      <c r="J33" s="174"/>
      <c r="K33" s="174"/>
      <c r="L33" s="174"/>
      <c r="M33"/>
      <c r="N33"/>
      <c r="O33" s="151"/>
      <c r="P33"/>
      <c r="Q33"/>
      <c r="R33"/>
      <c r="S33"/>
      <c r="T33" s="178"/>
      <c r="U33" s="178"/>
      <c r="V33" s="178"/>
      <c r="W33" s="178"/>
    </row>
    <row r="34" spans="1:23" s="175" customFormat="1" x14ac:dyDescent="0.25">
      <c r="B34" s="162"/>
      <c r="C34" s="174"/>
      <c r="D34" s="180"/>
      <c r="E34" s="174"/>
      <c r="F34" s="174"/>
      <c r="G34" s="174"/>
      <c r="H34" s="174"/>
      <c r="I34" s="174"/>
      <c r="J34" s="174"/>
      <c r="K34" s="174"/>
      <c r="L34" s="174"/>
      <c r="M34"/>
      <c r="N34"/>
      <c r="O34" s="151"/>
      <c r="P34"/>
      <c r="Q34"/>
      <c r="R34"/>
      <c r="S34"/>
      <c r="T34" s="161"/>
      <c r="U34" s="161"/>
      <c r="V34" s="161"/>
      <c r="W34" s="161"/>
    </row>
    <row r="35" spans="1:23" s="175" customFormat="1" x14ac:dyDescent="0.25">
      <c r="B35" s="142" t="s">
        <v>727</v>
      </c>
      <c r="C35" s="182"/>
      <c r="D35" s="183"/>
      <c r="E35" s="117"/>
      <c r="F35" s="117"/>
      <c r="G35" s="117"/>
      <c r="H35" s="117"/>
      <c r="I35" s="117"/>
      <c r="J35" s="117"/>
      <c r="K35" s="176"/>
      <c r="L35" s="176"/>
      <c r="M35"/>
      <c r="N35"/>
      <c r="O35" s="151"/>
      <c r="P35"/>
      <c r="Q35"/>
      <c r="R35"/>
      <c r="S35"/>
      <c r="T35" s="161"/>
      <c r="U35" s="161"/>
      <c r="V35" s="161"/>
      <c r="W35" s="161"/>
    </row>
    <row r="36" spans="1:23" s="177" customFormat="1" x14ac:dyDescent="0.25">
      <c r="A36" s="175"/>
      <c r="B36" s="162"/>
      <c r="C36" s="174"/>
      <c r="D36" s="180"/>
      <c r="E36" s="174"/>
      <c r="F36" s="174"/>
      <c r="G36" s="174"/>
      <c r="H36" s="174"/>
      <c r="I36" s="174"/>
      <c r="J36" s="174"/>
      <c r="K36" s="174"/>
      <c r="L36" s="174"/>
      <c r="M36"/>
      <c r="N36"/>
      <c r="O36" s="151"/>
      <c r="P36"/>
      <c r="Q36"/>
      <c r="R36"/>
      <c r="S36"/>
      <c r="T36" s="178"/>
      <c r="U36" s="178"/>
      <c r="V36" s="178"/>
      <c r="W36" s="178"/>
    </row>
    <row r="37" spans="1:23" s="175" customFormat="1" x14ac:dyDescent="0.25">
      <c r="B37" s="434" t="s">
        <v>730</v>
      </c>
      <c r="C37" s="434" t="s">
        <v>731</v>
      </c>
      <c r="D37" s="434" t="s">
        <v>732</v>
      </c>
      <c r="E37" s="434" t="s">
        <v>733</v>
      </c>
      <c r="F37" s="1116" t="s">
        <v>894</v>
      </c>
      <c r="G37" s="1116"/>
      <c r="H37" s="1116"/>
      <c r="I37" s="1116"/>
      <c r="J37" s="1116"/>
      <c r="K37" s="174"/>
      <c r="L37" s="174"/>
      <c r="M37"/>
      <c r="N37"/>
      <c r="O37" s="151"/>
      <c r="P37"/>
      <c r="Q37"/>
      <c r="R37"/>
      <c r="S37"/>
      <c r="T37" s="161"/>
      <c r="U37" s="161"/>
      <c r="V37" s="161"/>
      <c r="W37" s="161"/>
    </row>
    <row r="38" spans="1:23" s="175" customFormat="1" x14ac:dyDescent="0.25">
      <c r="B38" s="490">
        <v>5</v>
      </c>
      <c r="C38" s="491">
        <v>7.0000000000000007E-2</v>
      </c>
      <c r="D38" s="492">
        <f>PMT(C38/12,B38*12,-1)</f>
        <v>1.9801198540349535E-2</v>
      </c>
      <c r="E38" s="493">
        <f>F32*D38</f>
        <v>368264.23953793349</v>
      </c>
      <c r="F38" s="1114">
        <f>E38/0.33</f>
        <v>1115952.2410240408</v>
      </c>
      <c r="G38" s="1114"/>
      <c r="H38" s="1114"/>
      <c r="I38" s="1114"/>
      <c r="J38" s="1114"/>
      <c r="K38" s="174"/>
      <c r="L38" s="174"/>
      <c r="M38"/>
      <c r="N38"/>
      <c r="O38" s="151"/>
      <c r="P38"/>
      <c r="Q38"/>
      <c r="R38"/>
      <c r="S38"/>
      <c r="T38" s="161"/>
      <c r="U38" s="161"/>
      <c r="V38" s="161"/>
      <c r="W38" s="161"/>
    </row>
    <row r="39" spans="1:23" s="175" customFormat="1" x14ac:dyDescent="0.25">
      <c r="B39" s="490">
        <v>10</v>
      </c>
      <c r="C39" s="544">
        <v>7.0000000000000007E-2</v>
      </c>
      <c r="D39" s="492">
        <f>PMT(C39/12,B39*12,-1)</f>
        <v>1.1610847921862406E-2</v>
      </c>
      <c r="E39" s="493">
        <f>F32*D39</f>
        <v>215939.4579889797</v>
      </c>
      <c r="F39" s="1114">
        <f>E39/0.33</f>
        <v>654361.99390599912</v>
      </c>
      <c r="G39" s="1114"/>
      <c r="H39" s="1114"/>
      <c r="I39" s="1114"/>
      <c r="J39" s="1114"/>
      <c r="K39" s="174"/>
      <c r="L39" s="174"/>
      <c r="M39"/>
      <c r="N39"/>
      <c r="O39" s="151"/>
      <c r="P39"/>
      <c r="Q39"/>
      <c r="R39"/>
      <c r="S39"/>
      <c r="T39" s="161"/>
      <c r="U39" s="161"/>
      <c r="V39" s="161"/>
      <c r="W39" s="161"/>
    </row>
    <row r="40" spans="1:23" s="175" customFormat="1" x14ac:dyDescent="0.25">
      <c r="B40" s="490">
        <v>15</v>
      </c>
      <c r="C40" s="544">
        <v>7.0000000000000007E-2</v>
      </c>
      <c r="D40" s="492">
        <f t="shared" ref="D40:D41" si="1">PMT(C40/12,B40*12,-1)</f>
        <v>8.988282708524269E-3</v>
      </c>
      <c r="E40" s="493">
        <f>F32*D40</f>
        <v>167164.7849831729</v>
      </c>
      <c r="F40" s="1114">
        <f>E40/0.33</f>
        <v>506559.95449446328</v>
      </c>
      <c r="G40" s="1114"/>
      <c r="H40" s="1114"/>
      <c r="I40" s="1114"/>
      <c r="J40" s="1114"/>
      <c r="K40" s="174"/>
      <c r="L40" s="174"/>
      <c r="M40"/>
      <c r="N40"/>
      <c r="O40" s="151"/>
      <c r="P40"/>
      <c r="Q40"/>
      <c r="R40"/>
      <c r="S40"/>
      <c r="T40" s="161"/>
      <c r="U40" s="161"/>
      <c r="V40" s="161"/>
      <c r="W40" s="161"/>
    </row>
    <row r="41" spans="1:23" s="175" customFormat="1" x14ac:dyDescent="0.25">
      <c r="B41" s="490">
        <v>20</v>
      </c>
      <c r="C41" s="544">
        <v>7.0000000000000007E-2</v>
      </c>
      <c r="D41" s="492">
        <f t="shared" si="1"/>
        <v>7.7529893561887461E-3</v>
      </c>
      <c r="E41" s="493">
        <f>F32*D41</f>
        <v>144190.70257714519</v>
      </c>
      <c r="F41" s="1114">
        <f>E41/0.33</f>
        <v>436941.52296104602</v>
      </c>
      <c r="G41" s="1114"/>
      <c r="H41" s="1114"/>
      <c r="I41" s="1114"/>
      <c r="J41" s="1114"/>
      <c r="K41" s="174"/>
      <c r="L41" s="174"/>
      <c r="M41"/>
      <c r="N41"/>
      <c r="O41" s="151"/>
      <c r="P41"/>
      <c r="Q41"/>
      <c r="R41"/>
      <c r="S41"/>
      <c r="T41" s="161"/>
      <c r="U41" s="161"/>
      <c r="V41" s="161"/>
      <c r="W41" s="161"/>
    </row>
    <row r="42" spans="1:23" s="175" customFormat="1" x14ac:dyDescent="0.25">
      <c r="B42" s="140" t="s">
        <v>740</v>
      </c>
      <c r="C42" s="174"/>
      <c r="D42" s="174"/>
      <c r="E42" s="174"/>
      <c r="F42" s="174"/>
      <c r="G42" s="174"/>
      <c r="H42" s="174"/>
      <c r="I42" s="174"/>
      <c r="J42" s="174"/>
      <c r="K42" s="174"/>
      <c r="L42" s="174"/>
      <c r="M42"/>
      <c r="N42"/>
      <c r="O42" s="151"/>
      <c r="P42"/>
      <c r="Q42"/>
      <c r="R42"/>
      <c r="S42"/>
      <c r="T42" s="161"/>
      <c r="U42" s="161"/>
      <c r="V42" s="161"/>
      <c r="W42" s="161"/>
    </row>
    <row r="43" spans="1:23" s="175" customFormat="1" x14ac:dyDescent="0.25">
      <c r="B43" s="140" t="s">
        <v>742</v>
      </c>
      <c r="C43" s="184"/>
      <c r="D43" s="185"/>
      <c r="E43" s="184"/>
      <c r="F43" s="184"/>
      <c r="G43" s="174"/>
      <c r="H43" s="174"/>
      <c r="I43" s="174"/>
      <c r="J43" s="174"/>
      <c r="K43" s="174"/>
      <c r="L43" s="174"/>
      <c r="M43"/>
      <c r="N43"/>
      <c r="O43" s="151"/>
      <c r="P43"/>
      <c r="Q43"/>
      <c r="R43"/>
      <c r="S43"/>
      <c r="T43" s="161"/>
      <c r="U43" s="161"/>
      <c r="V43" s="161"/>
      <c r="W43" s="161"/>
    </row>
    <row r="44" spans="1:23" s="175" customFormat="1" x14ac:dyDescent="0.25">
      <c r="B44" s="141" t="s">
        <v>744</v>
      </c>
      <c r="C44" s="184"/>
      <c r="D44" s="185"/>
      <c r="E44" s="184"/>
      <c r="F44" s="184"/>
      <c r="G44" s="174"/>
      <c r="H44" s="174"/>
      <c r="I44" s="174"/>
      <c r="J44" s="174"/>
      <c r="K44" s="174"/>
      <c r="L44" s="174"/>
      <c r="M44"/>
      <c r="N44"/>
      <c r="O44" s="151"/>
      <c r="P44"/>
      <c r="Q44"/>
      <c r="R44"/>
      <c r="S44"/>
      <c r="T44" s="161"/>
      <c r="U44" s="161"/>
      <c r="V44" s="161"/>
      <c r="W44" s="161"/>
    </row>
    <row r="45" spans="1:23" s="175" customFormat="1" x14ac:dyDescent="0.25">
      <c r="B45" s="141" t="s">
        <v>746</v>
      </c>
      <c r="C45" s="186"/>
      <c r="D45" s="180"/>
      <c r="E45" s="174"/>
      <c r="F45" s="174"/>
      <c r="G45" s="174"/>
      <c r="H45" s="174"/>
      <c r="I45" s="174"/>
      <c r="J45" s="174"/>
      <c r="K45" s="174"/>
      <c r="L45" s="174"/>
      <c r="M45"/>
      <c r="N45"/>
      <c r="O45" s="151"/>
      <c r="P45"/>
      <c r="Q45"/>
      <c r="R45"/>
      <c r="S45"/>
      <c r="T45" s="161"/>
      <c r="U45" s="161"/>
      <c r="V45" s="161"/>
      <c r="W45" s="161"/>
    </row>
    <row r="46" spans="1:23" s="175" customFormat="1" x14ac:dyDescent="0.25">
      <c r="C46" s="174"/>
      <c r="D46" s="180"/>
      <c r="E46" s="174"/>
      <c r="F46" s="174"/>
      <c r="G46" s="174"/>
      <c r="H46" s="174"/>
      <c r="I46" s="174"/>
      <c r="J46" s="174"/>
      <c r="K46" s="174"/>
      <c r="L46" s="174"/>
      <c r="M46"/>
      <c r="N46"/>
      <c r="O46" s="151"/>
      <c r="P46"/>
      <c r="Q46"/>
      <c r="R46"/>
      <c r="S46"/>
      <c r="T46" s="161"/>
      <c r="U46" s="161"/>
      <c r="V46" s="161"/>
      <c r="W46" s="161"/>
    </row>
    <row r="47" spans="1:23" s="175" customFormat="1" x14ac:dyDescent="0.25">
      <c r="C47" s="186"/>
      <c r="D47" s="180"/>
      <c r="E47" s="174"/>
      <c r="F47" s="174"/>
      <c r="G47" s="184"/>
      <c r="H47" s="184"/>
      <c r="I47" s="184"/>
      <c r="J47" s="174"/>
      <c r="K47" s="174"/>
      <c r="L47" s="174"/>
      <c r="M47"/>
      <c r="N47"/>
      <c r="O47" s="151"/>
      <c r="P47"/>
      <c r="Q47"/>
      <c r="R47"/>
      <c r="S47"/>
      <c r="T47" s="161"/>
      <c r="U47" s="161"/>
      <c r="V47" s="161"/>
      <c r="W47" s="161"/>
    </row>
    <row r="48" spans="1:23" s="175" customFormat="1" x14ac:dyDescent="0.25">
      <c r="C48" s="174"/>
      <c r="D48" s="180"/>
      <c r="E48" s="174"/>
      <c r="F48" s="174"/>
      <c r="G48" s="184"/>
      <c r="H48" s="184"/>
      <c r="I48" s="184"/>
      <c r="J48" s="174"/>
      <c r="K48" s="174"/>
      <c r="L48" s="174"/>
      <c r="M48"/>
      <c r="N48"/>
      <c r="O48" s="151"/>
      <c r="P48"/>
      <c r="Q48"/>
      <c r="R48"/>
      <c r="S48"/>
      <c r="T48" s="161"/>
      <c r="U48" s="161"/>
      <c r="V48" s="161"/>
      <c r="W48" s="161"/>
    </row>
    <row r="49" spans="1:30" s="175" customFormat="1" x14ac:dyDescent="0.25">
      <c r="B49" s="187" t="s">
        <v>749</v>
      </c>
      <c r="C49" s="188"/>
      <c r="D49" s="189"/>
      <c r="E49" s="189"/>
      <c r="F49" s="189"/>
      <c r="G49" s="189"/>
      <c r="H49" s="189"/>
      <c r="I49" s="189"/>
      <c r="J49" s="189"/>
      <c r="K49" s="174"/>
      <c r="L49" s="174"/>
      <c r="M49"/>
      <c r="N49"/>
      <c r="O49" s="151"/>
      <c r="P49"/>
      <c r="Q49"/>
      <c r="R49"/>
      <c r="S49"/>
      <c r="T49" s="161"/>
      <c r="U49" s="161"/>
      <c r="V49" s="161"/>
      <c r="W49" s="161"/>
    </row>
    <row r="50" spans="1:30" s="175" customFormat="1" x14ac:dyDescent="0.25">
      <c r="A50"/>
      <c r="B50" s="189"/>
      <c r="C50" s="189"/>
      <c r="D50" s="189"/>
      <c r="E50" s="189"/>
      <c r="F50" s="189"/>
      <c r="G50" s="189"/>
      <c r="H50" s="189"/>
      <c r="I50" s="189"/>
      <c r="J50" s="189"/>
      <c r="K50" s="174"/>
      <c r="L50" s="174"/>
      <c r="M50"/>
      <c r="N50"/>
      <c r="O50" s="151"/>
      <c r="P50"/>
      <c r="Q50"/>
      <c r="R50"/>
      <c r="S50"/>
      <c r="T50" s="161"/>
      <c r="U50" s="161"/>
      <c r="V50" s="161"/>
      <c r="W50" s="161"/>
    </row>
    <row r="51" spans="1:30" s="175" customFormat="1" x14ac:dyDescent="0.25">
      <c r="A51"/>
      <c r="B51" s="1277" t="s">
        <v>655</v>
      </c>
      <c r="C51" s="1277"/>
      <c r="D51" s="1277" t="s">
        <v>753</v>
      </c>
      <c r="E51" s="1277"/>
      <c r="F51" s="1277"/>
      <c r="G51" s="1277" t="s">
        <v>754</v>
      </c>
      <c r="H51" s="1277"/>
      <c r="I51" s="1277"/>
      <c r="J51" s="1277"/>
      <c r="K51" s="174"/>
      <c r="L51" s="174"/>
      <c r="M51"/>
      <c r="N51"/>
      <c r="O51" s="151"/>
      <c r="P51"/>
      <c r="Q51"/>
      <c r="R51"/>
      <c r="S51"/>
      <c r="T51" s="161"/>
      <c r="U51" s="161"/>
      <c r="V51" s="161"/>
      <c r="W51" s="161"/>
    </row>
    <row r="52" spans="1:30" s="175" customFormat="1" x14ac:dyDescent="0.25">
      <c r="A52" s="190">
        <f>(F19-F28)*12%</f>
        <v>2437582.3895829753</v>
      </c>
      <c r="B52" s="1175">
        <f>'SPOT EQUITY_7DAYS'!B50</f>
        <v>0</v>
      </c>
      <c r="C52" s="1176"/>
      <c r="D52" s="1175">
        <f>'SPOT EQUITY_7DAYS'!D50:D50</f>
        <v>0</v>
      </c>
      <c r="E52" s="1180"/>
      <c r="F52" s="1176"/>
      <c r="G52" s="1169">
        <f>'SPOT EQUITY_7DAYS'!G50</f>
        <v>0</v>
      </c>
      <c r="H52" s="1170"/>
      <c r="I52" s="1170"/>
      <c r="J52" s="1171"/>
      <c r="K52" s="174"/>
      <c r="L52" s="174"/>
      <c r="M52"/>
      <c r="N52"/>
      <c r="O52" s="151"/>
      <c r="P52"/>
      <c r="Q52"/>
      <c r="R52"/>
      <c r="S52"/>
      <c r="T52" s="161"/>
      <c r="U52" s="161"/>
      <c r="V52" s="161"/>
      <c r="W52" s="161"/>
    </row>
    <row r="53" spans="1:30" s="175" customFormat="1" x14ac:dyDescent="0.25">
      <c r="A53"/>
      <c r="B53" s="1177"/>
      <c r="C53" s="1178"/>
      <c r="D53" s="1177"/>
      <c r="E53" s="1181"/>
      <c r="F53" s="1178"/>
      <c r="G53" s="1172"/>
      <c r="H53" s="1173"/>
      <c r="I53" s="1173"/>
      <c r="J53" s="1174"/>
      <c r="K53" s="174"/>
      <c r="L53" s="174"/>
      <c r="M53"/>
      <c r="N53"/>
      <c r="O53" s="151"/>
      <c r="P53"/>
      <c r="Q53"/>
      <c r="R53"/>
      <c r="S53"/>
      <c r="T53" s="161"/>
      <c r="U53" s="161"/>
      <c r="V53" s="161"/>
      <c r="W53" s="161"/>
    </row>
    <row r="54" spans="1:30" s="175" customFormat="1" x14ac:dyDescent="0.25">
      <c r="A54"/>
      <c r="B54" s="1175">
        <f>'SPOT EQUITY_7DAYS'!B52</f>
        <v>0</v>
      </c>
      <c r="C54" s="1176"/>
      <c r="D54" s="1175">
        <f>'SPOT EQUITY_7DAYS'!D52:D52</f>
        <v>0</v>
      </c>
      <c r="E54" s="1180"/>
      <c r="F54" s="1176"/>
      <c r="G54" s="1169">
        <f>'SPOT EQUITY_7DAYS'!G52</f>
        <v>0</v>
      </c>
      <c r="H54" s="1170"/>
      <c r="I54" s="1170"/>
      <c r="J54" s="1171"/>
      <c r="K54" s="174"/>
      <c r="L54" s="174"/>
      <c r="M54"/>
      <c r="N54"/>
      <c r="O54" s="151"/>
      <c r="P54"/>
      <c r="Q54"/>
      <c r="R54"/>
      <c r="S54"/>
      <c r="T54" s="161"/>
      <c r="U54" s="161"/>
      <c r="V54" s="161"/>
      <c r="W54" s="161"/>
    </row>
    <row r="55" spans="1:30" s="175" customFormat="1" ht="15" customHeight="1" x14ac:dyDescent="0.25">
      <c r="A55"/>
      <c r="B55" s="1177"/>
      <c r="C55" s="1178"/>
      <c r="D55" s="1177"/>
      <c r="E55" s="1181"/>
      <c r="F55" s="1178"/>
      <c r="G55" s="1172"/>
      <c r="H55" s="1173"/>
      <c r="I55" s="1173"/>
      <c r="J55" s="1174"/>
      <c r="K55" s="174"/>
      <c r="L55" s="174"/>
      <c r="M55"/>
      <c r="N55"/>
      <c r="O55" s="151"/>
      <c r="P55"/>
      <c r="Q55"/>
      <c r="R55"/>
      <c r="S55"/>
      <c r="T55" s="161"/>
      <c r="U55" s="161"/>
      <c r="V55" s="161"/>
      <c r="W55" s="161"/>
    </row>
    <row r="56" spans="1:30" s="175" customFormat="1" x14ac:dyDescent="0.25">
      <c r="A56"/>
      <c r="B56" s="1175">
        <f>'SPOT EQUITY_7DAYS'!B54</f>
        <v>0</v>
      </c>
      <c r="C56" s="1176"/>
      <c r="D56" s="1175">
        <f>'SPOT EQUITY_7DAYS'!D54:D54</f>
        <v>0</v>
      </c>
      <c r="E56" s="1180"/>
      <c r="F56" s="1176"/>
      <c r="G56" s="1169">
        <f>'SPOT EQUITY_7DAYS'!G54</f>
        <v>0</v>
      </c>
      <c r="H56" s="1170"/>
      <c r="I56" s="1170"/>
      <c r="J56" s="1171"/>
      <c r="K56" s="174"/>
      <c r="L56" s="174"/>
      <c r="M56"/>
      <c r="N56"/>
      <c r="O56" s="151"/>
      <c r="P56"/>
      <c r="Q56"/>
      <c r="R56"/>
      <c r="S56"/>
      <c r="T56" s="161"/>
      <c r="U56" s="161"/>
      <c r="V56" s="161"/>
      <c r="W56" s="161"/>
    </row>
    <row r="57" spans="1:30" s="175" customFormat="1" ht="15" customHeight="1" x14ac:dyDescent="0.25">
      <c r="A57"/>
      <c r="B57" s="1177"/>
      <c r="C57" s="1178"/>
      <c r="D57" s="1177"/>
      <c r="E57" s="1181"/>
      <c r="F57" s="1178"/>
      <c r="G57" s="1172"/>
      <c r="H57" s="1173"/>
      <c r="I57" s="1173"/>
      <c r="J57" s="1174"/>
      <c r="K57" s="174"/>
      <c r="L57" s="174"/>
      <c r="M57"/>
      <c r="N57"/>
      <c r="O57" s="151"/>
      <c r="P57"/>
      <c r="Q57"/>
      <c r="R57"/>
      <c r="S57"/>
      <c r="T57" s="161"/>
      <c r="U57" s="161"/>
      <c r="V57" s="161"/>
      <c r="W57" s="161"/>
    </row>
    <row r="58" spans="1:30" x14ac:dyDescent="0.25">
      <c r="B58" s="1175">
        <f>'SPOT EQUITY_7DAYS'!B56</f>
        <v>0</v>
      </c>
      <c r="C58" s="1176"/>
      <c r="D58" s="1175">
        <f>'SPOT EQUITY_7DAYS'!D56:D56</f>
        <v>0</v>
      </c>
      <c r="E58" s="1180"/>
      <c r="F58" s="1176"/>
      <c r="G58" s="1169">
        <f>'SPOT EQUITY_7DAYS'!G56</f>
        <v>0</v>
      </c>
      <c r="H58" s="1170"/>
      <c r="I58" s="1170"/>
      <c r="J58" s="1171"/>
      <c r="T58" s="152"/>
      <c r="U58" s="152"/>
      <c r="X58"/>
      <c r="Y58"/>
      <c r="Z58"/>
      <c r="AA58"/>
      <c r="AB58"/>
      <c r="AC58"/>
      <c r="AD58"/>
    </row>
    <row r="59" spans="1:30" ht="15" customHeight="1" x14ac:dyDescent="0.25">
      <c r="B59" s="1177"/>
      <c r="C59" s="1178"/>
      <c r="D59" s="1177"/>
      <c r="E59" s="1181"/>
      <c r="F59" s="1178"/>
      <c r="G59" s="1172"/>
      <c r="H59" s="1173"/>
      <c r="I59" s="1173"/>
      <c r="J59" s="1174"/>
      <c r="X59" s="1403" t="s">
        <v>768</v>
      </c>
      <c r="Y59" s="1403"/>
    </row>
    <row r="60" spans="1:30" x14ac:dyDescent="0.25">
      <c r="B60" s="1175">
        <f>'SPOT EQUITY_7DAYS'!B58</f>
        <v>0</v>
      </c>
      <c r="C60" s="1176"/>
      <c r="D60" s="1175">
        <f>'SPOT EQUITY_7DAYS'!D58:D58</f>
        <v>0</v>
      </c>
      <c r="E60" s="1180"/>
      <c r="F60" s="1176"/>
      <c r="G60" s="1169">
        <f>'SPOT EQUITY_7DAYS'!G58</f>
        <v>0</v>
      </c>
      <c r="H60" s="1170"/>
      <c r="I60" s="1170"/>
      <c r="J60" s="1171"/>
    </row>
    <row r="61" spans="1:30" ht="15" customHeight="1" x14ac:dyDescent="0.25">
      <c r="B61" s="1177"/>
      <c r="C61" s="1178"/>
      <c r="D61" s="1177"/>
      <c r="E61" s="1181"/>
      <c r="F61" s="1178"/>
      <c r="G61" s="1172"/>
      <c r="H61" s="1173"/>
      <c r="I61" s="1173"/>
      <c r="J61" s="1174"/>
    </row>
    <row r="62" spans="1:30" x14ac:dyDescent="0.25">
      <c r="B62" s="1175">
        <f>'SPOT EQUITY_7DAYS'!B60</f>
        <v>0</v>
      </c>
      <c r="C62" s="1176"/>
      <c r="D62" s="1175">
        <f>'SPOT EQUITY_7DAYS'!D60:D60</f>
        <v>0</v>
      </c>
      <c r="E62" s="1180"/>
      <c r="F62" s="1176"/>
      <c r="G62" s="1169">
        <f>'SPOT EQUITY_7DAYS'!G60</f>
        <v>0</v>
      </c>
      <c r="H62" s="1170"/>
      <c r="I62" s="1170"/>
      <c r="J62" s="1171"/>
    </row>
    <row r="63" spans="1:30" ht="15" customHeight="1" x14ac:dyDescent="0.25">
      <c r="B63" s="1177"/>
      <c r="C63" s="1178"/>
      <c r="D63" s="1177"/>
      <c r="E63" s="1181"/>
      <c r="F63" s="1178"/>
      <c r="G63" s="1172"/>
      <c r="H63" s="1173"/>
      <c r="I63" s="1173"/>
      <c r="J63" s="1174"/>
    </row>
    <row r="65" spans="2:9" x14ac:dyDescent="0.25">
      <c r="B65" s="145"/>
      <c r="C65" s="572" t="s">
        <v>895</v>
      </c>
      <c r="D65" s="1379"/>
      <c r="E65" s="1379"/>
      <c r="F65" s="1379"/>
    </row>
    <row r="71" spans="2:9" x14ac:dyDescent="0.25">
      <c r="B71" s="6" t="s">
        <v>905</v>
      </c>
      <c r="C71" s="130"/>
      <c r="D71" s="192"/>
      <c r="E71" s="130"/>
      <c r="F71" s="6" t="s">
        <v>775</v>
      </c>
      <c r="G71" s="130"/>
      <c r="H71" s="130"/>
      <c r="I71" s="130"/>
    </row>
    <row r="72" spans="2:9" x14ac:dyDescent="0.25">
      <c r="B72" s="130"/>
      <c r="C72" s="130"/>
      <c r="D72" s="192"/>
      <c r="E72" s="130"/>
      <c r="F72" s="130"/>
      <c r="G72" s="130"/>
      <c r="H72" s="130"/>
      <c r="I72" s="130"/>
    </row>
    <row r="73" spans="2:9" x14ac:dyDescent="0.25">
      <c r="B73" s="1377" t="str">
        <f>FORM!G32</f>
        <v>Seller</v>
      </c>
      <c r="C73" s="1377"/>
      <c r="D73" s="192"/>
      <c r="E73" s="130"/>
      <c r="F73" s="1378">
        <f>FORM!G30</f>
        <v>0</v>
      </c>
      <c r="G73" s="1378"/>
      <c r="H73" s="1378"/>
      <c r="I73" s="130"/>
    </row>
    <row r="74" spans="2:9" x14ac:dyDescent="0.25">
      <c r="B74" s="194" t="s">
        <v>778</v>
      </c>
      <c r="C74" s="194"/>
      <c r="D74" s="311"/>
      <c r="E74" s="130"/>
      <c r="F74" s="194" t="s">
        <v>778</v>
      </c>
      <c r="G74" s="1373"/>
      <c r="H74" s="1373"/>
      <c r="I74" s="299"/>
    </row>
  </sheetData>
  <sheetProtection selectLockedCells="1" selectUnlockedCells="1"/>
  <mergeCells count="85">
    <mergeCell ref="X20:Y20"/>
    <mergeCell ref="O16:O17"/>
    <mergeCell ref="P16:Q17"/>
    <mergeCell ref="E24:J24"/>
    <mergeCell ref="X59:Y59"/>
    <mergeCell ref="M29:N29"/>
    <mergeCell ref="F38:J38"/>
    <mergeCell ref="F39:J39"/>
    <mergeCell ref="F40:J40"/>
    <mergeCell ref="F27:H27"/>
    <mergeCell ref="F29:H29"/>
    <mergeCell ref="F30:H30"/>
    <mergeCell ref="R29:S29"/>
    <mergeCell ref="G51:J51"/>
    <mergeCell ref="G54:J55"/>
    <mergeCell ref="F31:H31"/>
    <mergeCell ref="B28:C28"/>
    <mergeCell ref="M18:N18"/>
    <mergeCell ref="P18:Q18"/>
    <mergeCell ref="M16:N17"/>
    <mergeCell ref="M19:N19"/>
    <mergeCell ref="P19:Q19"/>
    <mergeCell ref="M20:N20"/>
    <mergeCell ref="P20:Q20"/>
    <mergeCell ref="M21:N21"/>
    <mergeCell ref="P21:Q21"/>
    <mergeCell ref="F28:H28"/>
    <mergeCell ref="F22:H22"/>
    <mergeCell ref="F16:J16"/>
    <mergeCell ref="F17:J17"/>
    <mergeCell ref="F19:J19"/>
    <mergeCell ref="E12:F12"/>
    <mergeCell ref="P12:Q12"/>
    <mergeCell ref="E13:F13"/>
    <mergeCell ref="P13:Q13"/>
    <mergeCell ref="F21:H21"/>
    <mergeCell ref="E14:F14"/>
    <mergeCell ref="P14:Q14"/>
    <mergeCell ref="F18:J18"/>
    <mergeCell ref="E11:F11"/>
    <mergeCell ref="G11:J11"/>
    <mergeCell ref="P11:Q11"/>
    <mergeCell ref="R3:S3"/>
    <mergeCell ref="B4:J5"/>
    <mergeCell ref="M4:S5"/>
    <mergeCell ref="E7:J7"/>
    <mergeCell ref="P7:S7"/>
    <mergeCell ref="G2:J2"/>
    <mergeCell ref="R2:S2"/>
    <mergeCell ref="E9:J9"/>
    <mergeCell ref="P9:S9"/>
    <mergeCell ref="E10:J10"/>
    <mergeCell ref="P10:S10"/>
    <mergeCell ref="E8:J8"/>
    <mergeCell ref="P8:S8"/>
    <mergeCell ref="B51:C51"/>
    <mergeCell ref="B52:C53"/>
    <mergeCell ref="D52:F53"/>
    <mergeCell ref="B54:C55"/>
    <mergeCell ref="D54:F55"/>
    <mergeCell ref="B73:C73"/>
    <mergeCell ref="F73:H73"/>
    <mergeCell ref="B56:C57"/>
    <mergeCell ref="D56:F57"/>
    <mergeCell ref="B62:C63"/>
    <mergeCell ref="D62:F63"/>
    <mergeCell ref="G62:J63"/>
    <mergeCell ref="D65:F65"/>
    <mergeCell ref="B58:C59"/>
    <mergeCell ref="D58:F59"/>
    <mergeCell ref="G58:J59"/>
    <mergeCell ref="B60:C61"/>
    <mergeCell ref="D60:F61"/>
    <mergeCell ref="G60:J61"/>
    <mergeCell ref="G56:J57"/>
    <mergeCell ref="R16:S17"/>
    <mergeCell ref="R18:S18"/>
    <mergeCell ref="R19:S19"/>
    <mergeCell ref="R20:S20"/>
    <mergeCell ref="G74:H74"/>
    <mergeCell ref="G52:J53"/>
    <mergeCell ref="F37:J37"/>
    <mergeCell ref="F32:H32"/>
    <mergeCell ref="D51:F51"/>
    <mergeCell ref="F41:J41"/>
  </mergeCells>
  <phoneticPr fontId="28" type="noConversion"/>
  <pageMargins left="0.59055118110236227" right="0.59055118110236227" top="1.1811023622047245" bottom="0.74803149606299213" header="0.31496062992125984" footer="0.31496062992125984"/>
  <pageSetup paperSize="14" scale="82" orientation="portrait" r:id="rId1"/>
  <headerFooter>
    <oddHeader xml:space="preserve">&amp;R&amp;"Century Gothic,Bold"&amp;18ANNEX A: 
SAMPLE PACKAGE COMPUTATION
</oddHeader>
  </headerFooter>
  <colBreaks count="1" manualBreakCount="1">
    <brk id="11" min="1" max="68" man="1"/>
  </colBreaks>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84A1D7-55D9-4F3A-A83D-5B7419C05864}">
  <sheetPr codeName="Sheet30"/>
  <dimension ref="A1:U80"/>
  <sheetViews>
    <sheetView showGridLines="0" showZeros="0" view="pageBreakPreview" zoomScale="115" zoomScaleNormal="100" zoomScaleSheetLayoutView="115" workbookViewId="0">
      <selection activeCell="E34" sqref="E34"/>
    </sheetView>
  </sheetViews>
  <sheetFormatPr defaultColWidth="9.28515625" defaultRowHeight="16.5" x14ac:dyDescent="0.3"/>
  <cols>
    <col min="1" max="1" width="3.28515625" style="5" customWidth="1"/>
    <col min="2" max="2" width="1.28515625" style="5" customWidth="1"/>
    <col min="3" max="3" width="4.5703125" style="5" customWidth="1"/>
    <col min="4" max="4" width="2.7109375" style="5" customWidth="1"/>
    <col min="5" max="5" width="7" style="5" customWidth="1"/>
    <col min="6" max="6" width="4.28515625" style="5" customWidth="1"/>
    <col min="7" max="7" width="3.42578125" style="5" customWidth="1"/>
    <col min="8" max="8" width="3.28515625" style="5" customWidth="1"/>
    <col min="9" max="9" width="5.28515625" style="5" customWidth="1"/>
    <col min="10" max="10" width="3.28515625" style="5" customWidth="1"/>
    <col min="11" max="11" width="4.7109375" style="5" customWidth="1"/>
    <col min="12" max="12" width="5.7109375" style="5" customWidth="1"/>
    <col min="13" max="13" width="7" style="5" customWidth="1"/>
    <col min="14" max="14" width="3.28515625" style="5" customWidth="1"/>
    <col min="15" max="15" width="4.42578125" style="5" customWidth="1"/>
    <col min="16" max="16" width="7" style="5" customWidth="1"/>
    <col min="17" max="17" width="5.28515625" style="5" customWidth="1"/>
    <col min="18" max="18" width="15.7109375" style="5" customWidth="1"/>
    <col min="19" max="19" width="2.42578125" style="5" customWidth="1"/>
    <col min="20" max="20" width="12.7109375" style="5" customWidth="1"/>
    <col min="21" max="21" width="1.28515625" style="5" customWidth="1"/>
    <col min="22" max="16384" width="9.28515625" style="5"/>
  </cols>
  <sheetData>
    <row r="1" spans="1:21" ht="7.5" customHeight="1" x14ac:dyDescent="0.3">
      <c r="U1" s="58"/>
    </row>
    <row r="2" spans="1:21" s="18" customFormat="1" ht="14.25" x14ac:dyDescent="0.3">
      <c r="A2" s="18" t="s">
        <v>778</v>
      </c>
      <c r="C2" s="1227">
        <f>FORM!G22</f>
        <v>45870</v>
      </c>
      <c r="D2" s="1227"/>
      <c r="E2" s="1227"/>
      <c r="F2" s="1227"/>
    </row>
    <row r="3" spans="1:21" s="18" customFormat="1" ht="13.5" x14ac:dyDescent="0.3"/>
    <row r="4" spans="1:21" s="18" customFormat="1" ht="14.25" x14ac:dyDescent="0.3">
      <c r="A4" s="655" t="s">
        <v>779</v>
      </c>
    </row>
    <row r="5" spans="1:21" s="18" customFormat="1" ht="9" customHeight="1" x14ac:dyDescent="0.3"/>
    <row r="6" spans="1:21" s="18" customFormat="1" ht="16.5" customHeight="1" x14ac:dyDescent="0.3">
      <c r="A6" s="1228" t="s">
        <v>780</v>
      </c>
      <c r="B6" s="1228"/>
      <c r="C6" s="1228"/>
      <c r="D6" s="1228"/>
      <c r="E6" s="1228"/>
      <c r="F6" s="1228"/>
      <c r="G6" s="1228"/>
      <c r="H6" s="1228"/>
      <c r="I6" s="1228"/>
      <c r="J6" s="1228"/>
      <c r="K6" s="1228"/>
      <c r="L6" s="1228"/>
      <c r="M6" s="1228"/>
      <c r="N6" s="1228"/>
      <c r="O6" s="1228"/>
      <c r="P6" s="1228"/>
      <c r="Q6" s="1228"/>
      <c r="R6" s="1228"/>
      <c r="S6" s="1228"/>
      <c r="T6" s="1228"/>
      <c r="U6" s="1228"/>
    </row>
    <row r="7" spans="1:21" ht="8.25" customHeight="1" x14ac:dyDescent="0.3">
      <c r="A7" s="21"/>
      <c r="B7" s="21"/>
      <c r="C7" s="21"/>
      <c r="D7" s="21"/>
      <c r="E7" s="21"/>
      <c r="F7" s="21"/>
      <c r="G7" s="21"/>
      <c r="H7" s="21"/>
      <c r="I7" s="21"/>
      <c r="J7" s="21"/>
      <c r="K7" s="21"/>
      <c r="L7" s="21"/>
      <c r="M7" s="21"/>
      <c r="N7" s="21"/>
      <c r="O7" s="21"/>
      <c r="P7" s="21"/>
      <c r="Q7" s="21"/>
      <c r="R7" s="21"/>
      <c r="S7" s="21"/>
      <c r="T7" s="21"/>
      <c r="U7" s="21"/>
    </row>
    <row r="8" spans="1:21" x14ac:dyDescent="0.3">
      <c r="A8" s="25" t="s">
        <v>781</v>
      </c>
      <c r="B8" s="26"/>
      <c r="C8" s="26"/>
      <c r="D8" s="24"/>
      <c r="E8" s="1229" t="str">
        <f>FORM!G11</f>
        <v>WEECOMM CENTRE</v>
      </c>
      <c r="F8" s="1229"/>
      <c r="G8" s="1229"/>
      <c r="H8" s="1229"/>
      <c r="I8" s="1229"/>
      <c r="J8" s="1229"/>
      <c r="K8" s="1229"/>
      <c r="L8" s="1229"/>
      <c r="M8" s="1229"/>
      <c r="N8" s="1229"/>
      <c r="O8" s="1229"/>
      <c r="P8" s="1229"/>
      <c r="Q8" s="1229"/>
      <c r="R8" s="1229"/>
      <c r="S8" s="1229"/>
      <c r="T8" s="1229"/>
      <c r="U8" s="62"/>
    </row>
    <row r="9" spans="1:21" x14ac:dyDescent="0.3">
      <c r="A9" s="27" t="s">
        <v>782</v>
      </c>
      <c r="B9" s="28"/>
      <c r="C9" s="28"/>
      <c r="D9" s="29"/>
      <c r="E9" s="30" t="s">
        <v>783</v>
      </c>
      <c r="F9" s="29"/>
      <c r="G9" s="29"/>
      <c r="H9" s="29"/>
      <c r="I9" s="29"/>
      <c r="J9" s="29"/>
      <c r="K9" s="29"/>
      <c r="L9" s="60"/>
      <c r="M9" s="29"/>
      <c r="N9" s="29"/>
      <c r="O9" s="29"/>
      <c r="P9" s="29"/>
      <c r="Q9" s="29"/>
      <c r="R9" s="29"/>
      <c r="S9" s="29"/>
      <c r="T9" s="30"/>
      <c r="U9" s="59"/>
    </row>
    <row r="10" spans="1:21" x14ac:dyDescent="0.3">
      <c r="A10" s="31"/>
      <c r="B10" s="8"/>
      <c r="C10" s="8"/>
      <c r="D10" s="8"/>
      <c r="E10" s="32"/>
      <c r="F10" s="8"/>
      <c r="G10" s="8"/>
      <c r="H10" s="8"/>
      <c r="I10" s="8"/>
      <c r="J10" s="8"/>
      <c r="K10" s="8"/>
      <c r="L10" s="32"/>
      <c r="M10" s="8"/>
      <c r="N10" s="8"/>
      <c r="O10" s="8"/>
      <c r="P10" s="8"/>
      <c r="Q10" s="8"/>
      <c r="R10" s="8"/>
      <c r="S10" s="8"/>
      <c r="T10" s="32"/>
      <c r="U10" s="33"/>
    </row>
    <row r="11" spans="1:21" ht="7.5" customHeight="1" x14ac:dyDescent="0.3">
      <c r="T11" s="5" t="s">
        <v>660</v>
      </c>
    </row>
    <row r="12" spans="1:21" x14ac:dyDescent="0.3">
      <c r="A12" s="1230" t="s">
        <v>784</v>
      </c>
      <c r="B12" s="1231"/>
      <c r="C12" s="1231"/>
      <c r="D12" s="1231"/>
      <c r="E12" s="1231"/>
      <c r="F12" s="1232"/>
      <c r="G12" s="1230" t="s">
        <v>267</v>
      </c>
      <c r="H12" s="1231"/>
      <c r="I12" s="1231"/>
      <c r="J12" s="1231"/>
      <c r="K12" s="1231"/>
      <c r="L12" s="1232"/>
      <c r="M12" s="1230" t="s">
        <v>785</v>
      </c>
      <c r="N12" s="1231"/>
      <c r="O12" s="1231"/>
      <c r="P12" s="1231"/>
      <c r="Q12" s="1232"/>
      <c r="R12" s="1230" t="s">
        <v>786</v>
      </c>
      <c r="S12" s="1231"/>
      <c r="T12" s="1231"/>
      <c r="U12" s="1232"/>
    </row>
    <row r="13" spans="1:21" x14ac:dyDescent="0.3">
      <c r="A13" s="40" t="s">
        <v>787</v>
      </c>
      <c r="B13" s="41"/>
      <c r="C13" s="41"/>
      <c r="D13" s="1193">
        <f>RA_Standard!D21</f>
        <v>1</v>
      </c>
      <c r="E13" s="1194"/>
      <c r="F13" s="1195"/>
      <c r="G13" s="40" t="s">
        <v>787</v>
      </c>
      <c r="H13" s="41"/>
      <c r="I13" s="42"/>
      <c r="J13" s="1207"/>
      <c r="K13" s="1208"/>
      <c r="L13" s="1209"/>
      <c r="M13" s="40" t="s">
        <v>788</v>
      </c>
      <c r="N13" s="41"/>
      <c r="O13" s="42"/>
      <c r="P13" s="1210"/>
      <c r="Q13" s="1197"/>
      <c r="R13" s="1211" t="s">
        <v>787</v>
      </c>
      <c r="S13" s="1212"/>
      <c r="T13" s="1213"/>
      <c r="U13" s="1214"/>
    </row>
    <row r="14" spans="1:21" x14ac:dyDescent="0.3">
      <c r="A14" s="36" t="s">
        <v>789</v>
      </c>
      <c r="B14" s="37"/>
      <c r="C14" s="37"/>
      <c r="D14" s="1193" t="str">
        <f>RA_Standard!D22</f>
        <v>GF</v>
      </c>
      <c r="E14" s="1194"/>
      <c r="F14" s="1195"/>
      <c r="G14" s="40" t="s">
        <v>790</v>
      </c>
      <c r="H14" s="41"/>
      <c r="I14" s="42"/>
      <c r="J14" s="1207"/>
      <c r="K14" s="1208"/>
      <c r="L14" s="1209"/>
      <c r="M14" s="40" t="s">
        <v>791</v>
      </c>
      <c r="N14" s="41"/>
      <c r="O14" s="42"/>
      <c r="P14" s="1210"/>
      <c r="Q14" s="1197"/>
      <c r="R14" s="1211" t="s">
        <v>792</v>
      </c>
      <c r="S14" s="1212"/>
      <c r="T14" s="1213"/>
      <c r="U14" s="1214"/>
    </row>
    <row r="15" spans="1:21" x14ac:dyDescent="0.3">
      <c r="A15" s="40" t="s">
        <v>792</v>
      </c>
      <c r="B15" s="41"/>
      <c r="C15" s="42"/>
      <c r="D15" s="1193" t="str">
        <f>RA_Standard!D23</f>
        <v>9G</v>
      </c>
      <c r="E15" s="1194"/>
      <c r="F15" s="1195"/>
      <c r="G15" s="40" t="s">
        <v>793</v>
      </c>
      <c r="H15" s="41"/>
      <c r="I15" s="42"/>
      <c r="J15" s="1207"/>
      <c r="K15" s="1208"/>
      <c r="L15" s="1209"/>
      <c r="M15" s="40" t="s">
        <v>794</v>
      </c>
      <c r="N15" s="41"/>
      <c r="O15" s="42"/>
      <c r="P15" s="1210"/>
      <c r="Q15" s="1197"/>
      <c r="R15" s="1211" t="s">
        <v>795</v>
      </c>
      <c r="S15" s="1212"/>
      <c r="T15" s="1213"/>
      <c r="U15" s="1214"/>
    </row>
    <row r="16" spans="1:21" ht="16.5" customHeight="1" x14ac:dyDescent="0.3">
      <c r="A16" s="36" t="s">
        <v>80</v>
      </c>
      <c r="B16" s="40"/>
      <c r="C16" s="42"/>
      <c r="D16" s="1193">
        <f>RA_Standard!D24</f>
        <v>108.78</v>
      </c>
      <c r="E16" s="1194"/>
      <c r="F16" s="1195"/>
      <c r="G16" s="40" t="s">
        <v>795</v>
      </c>
      <c r="H16" s="41"/>
      <c r="I16" s="42"/>
      <c r="J16" s="1207"/>
      <c r="K16" s="1208"/>
      <c r="L16" s="1209"/>
      <c r="M16" s="36" t="s">
        <v>80</v>
      </c>
      <c r="N16" s="37"/>
      <c r="O16" s="37"/>
      <c r="P16" s="1196"/>
      <c r="Q16" s="1197"/>
      <c r="R16" s="1215" t="s">
        <v>796</v>
      </c>
      <c r="S16" s="1216"/>
      <c r="T16" s="1221"/>
      <c r="U16" s="1222"/>
    </row>
    <row r="17" spans="1:21" ht="16.5" customHeight="1" x14ac:dyDescent="0.3">
      <c r="A17" s="40" t="s">
        <v>797</v>
      </c>
      <c r="B17" s="37"/>
      <c r="C17" s="37"/>
      <c r="D17" s="1193" t="str">
        <f>RA_Standard!D25</f>
        <v>2-BR BARE</v>
      </c>
      <c r="E17" s="1194"/>
      <c r="F17" s="1195"/>
      <c r="G17" s="40" t="s">
        <v>798</v>
      </c>
      <c r="H17" s="41"/>
      <c r="I17" s="42"/>
      <c r="J17" s="698"/>
      <c r="K17" s="699"/>
      <c r="L17" s="700"/>
      <c r="M17" s="36" t="s">
        <v>799</v>
      </c>
      <c r="N17" s="37"/>
      <c r="O17" s="37"/>
      <c r="P17" s="1196"/>
      <c r="Q17" s="1197"/>
      <c r="R17" s="1217"/>
      <c r="S17" s="1218"/>
      <c r="T17" s="1223"/>
      <c r="U17" s="1224"/>
    </row>
    <row r="18" spans="1:21" x14ac:dyDescent="0.3">
      <c r="B18"/>
      <c r="C18"/>
      <c r="D18"/>
      <c r="E18"/>
      <c r="F18"/>
      <c r="G18"/>
      <c r="H18"/>
      <c r="I18"/>
      <c r="J18"/>
      <c r="K18"/>
      <c r="L18"/>
      <c r="M18" s="40" t="s">
        <v>800</v>
      </c>
      <c r="N18" s="41"/>
      <c r="O18" s="42"/>
      <c r="P18" s="1198"/>
      <c r="Q18" s="1195"/>
      <c r="R18" s="1219"/>
      <c r="S18" s="1220"/>
      <c r="T18" s="1225"/>
      <c r="U18" s="1226"/>
    </row>
    <row r="19" spans="1:21" ht="7.5" customHeight="1" x14ac:dyDescent="0.3"/>
    <row r="20" spans="1:21" x14ac:dyDescent="0.3">
      <c r="A20" s="40" t="s">
        <v>37</v>
      </c>
      <c r="B20" s="41"/>
      <c r="C20" s="41"/>
      <c r="D20" s="41"/>
      <c r="E20" s="41"/>
      <c r="F20" s="41"/>
      <c r="G20" s="41"/>
      <c r="H20" s="42"/>
      <c r="I20" s="1199">
        <f>RA_SE30D!I26</f>
        <v>20466686.730335645</v>
      </c>
      <c r="J20" s="1200"/>
      <c r="K20" s="1200"/>
      <c r="L20" s="1200"/>
      <c r="M20" s="1200"/>
      <c r="N20" s="1200"/>
      <c r="O20" s="1200"/>
      <c r="P20" s="1200"/>
      <c r="Q20" s="1200"/>
      <c r="R20" s="1200"/>
      <c r="S20" s="1200"/>
      <c r="T20" s="1200"/>
      <c r="U20" s="1201"/>
    </row>
    <row r="21" spans="1:21" x14ac:dyDescent="0.3">
      <c r="A21" s="40" t="s">
        <v>801</v>
      </c>
      <c r="B21" s="41"/>
      <c r="C21" s="43"/>
      <c r="D21" s="43"/>
      <c r="E21" s="43"/>
      <c r="F21" s="43"/>
      <c r="G21" s="43"/>
      <c r="H21" s="44"/>
      <c r="I21" s="1199">
        <f>RA_SE30D!I27</f>
        <v>0</v>
      </c>
      <c r="J21" s="1200"/>
      <c r="K21" s="1200"/>
      <c r="L21" s="1200"/>
      <c r="M21" s="1200"/>
      <c r="N21" s="1200"/>
      <c r="O21" s="1200"/>
      <c r="P21" s="1200"/>
      <c r="Q21" s="1200"/>
      <c r="R21" s="1200"/>
      <c r="S21" s="1200"/>
      <c r="T21" s="1200"/>
      <c r="U21" s="1201"/>
    </row>
    <row r="22" spans="1:21" x14ac:dyDescent="0.3">
      <c r="A22" s="52" t="s">
        <v>92</v>
      </c>
      <c r="B22" s="53"/>
      <c r="C22" s="54"/>
      <c r="D22" s="54"/>
      <c r="E22" s="54"/>
      <c r="F22" s="54"/>
      <c r="G22" s="54"/>
      <c r="H22" s="51"/>
      <c r="I22" s="1199">
        <f>RA_SE30D!I28</f>
        <v>20313186.579858128</v>
      </c>
      <c r="J22" s="1200"/>
      <c r="K22" s="1200"/>
      <c r="L22" s="1200"/>
      <c r="M22" s="1200"/>
      <c r="N22" s="1200"/>
      <c r="O22" s="1200"/>
      <c r="P22" s="1200"/>
      <c r="Q22" s="1200"/>
      <c r="R22" s="1200"/>
      <c r="S22" s="1200"/>
      <c r="T22" s="1200"/>
      <c r="U22" s="1201"/>
    </row>
    <row r="23" spans="1:21" x14ac:dyDescent="0.3">
      <c r="A23" s="40" t="s">
        <v>802</v>
      </c>
      <c r="B23" s="41"/>
      <c r="C23" s="43"/>
      <c r="D23" s="43"/>
      <c r="E23" s="43"/>
      <c r="F23" s="43"/>
      <c r="G23" s="43"/>
      <c r="H23" s="44"/>
      <c r="I23" s="1199">
        <f>RA_SE30D!I29</f>
        <v>2046668.6730335646</v>
      </c>
      <c r="J23" s="1200"/>
      <c r="K23" s="1200"/>
      <c r="L23" s="1200"/>
      <c r="M23" s="1200"/>
      <c r="N23" s="1200"/>
      <c r="O23" s="1200"/>
      <c r="P23" s="1200"/>
      <c r="Q23" s="1200"/>
      <c r="R23" s="1200"/>
      <c r="S23" s="1200"/>
      <c r="T23" s="1200"/>
      <c r="U23" s="1201"/>
    </row>
    <row r="24" spans="1:21" x14ac:dyDescent="0.3">
      <c r="A24" s="40" t="s">
        <v>803</v>
      </c>
      <c r="B24" s="41"/>
      <c r="C24" s="43"/>
      <c r="D24" s="43"/>
      <c r="E24" s="43"/>
      <c r="F24" s="43"/>
      <c r="G24" s="43"/>
      <c r="H24" s="44"/>
      <c r="I24" s="1199">
        <f>RA_SE30D!I30</f>
        <v>2437582.3895829753</v>
      </c>
      <c r="J24" s="1200"/>
      <c r="K24" s="1200"/>
      <c r="L24" s="1200"/>
      <c r="M24" s="1200"/>
      <c r="N24" s="1200"/>
      <c r="O24" s="1200"/>
      <c r="P24" s="1200"/>
      <c r="Q24" s="1200"/>
      <c r="R24" s="1200"/>
      <c r="S24" s="1200"/>
      <c r="T24" s="1200"/>
      <c r="U24" s="1201"/>
    </row>
    <row r="25" spans="1:21" x14ac:dyDescent="0.3">
      <c r="A25" s="40" t="s">
        <v>41</v>
      </c>
      <c r="B25" s="41"/>
      <c r="C25" s="43"/>
      <c r="D25" s="43"/>
      <c r="E25" s="43"/>
      <c r="F25" s="43"/>
      <c r="G25" s="43"/>
      <c r="H25" s="44"/>
      <c r="I25" s="1199">
        <f>RA_SE30D!I31</f>
        <v>24797437.642474666</v>
      </c>
      <c r="J25" s="1200"/>
      <c r="K25" s="1200"/>
      <c r="L25" s="1200"/>
      <c r="M25" s="1200"/>
      <c r="N25" s="1200"/>
      <c r="O25" s="1200"/>
      <c r="P25" s="1200"/>
      <c r="Q25" s="1200"/>
      <c r="R25" s="1200"/>
      <c r="S25" s="1200"/>
      <c r="T25" s="1200"/>
      <c r="U25" s="1201"/>
    </row>
    <row r="26" spans="1:21" ht="7.5" customHeight="1" x14ac:dyDescent="0.3"/>
    <row r="27" spans="1:21" x14ac:dyDescent="0.3">
      <c r="A27" s="18" t="s">
        <v>804</v>
      </c>
      <c r="B27" s="18"/>
      <c r="C27" s="18"/>
      <c r="D27" s="18"/>
      <c r="E27" s="18"/>
      <c r="F27" s="18"/>
      <c r="G27" s="1205" t="str">
        <f>IF(OR(LEN(FLOOR(P27,1))=13,FLOOR(P27,1)&lt;=0),"Out of range",PROPER(SUBSTITUTE(CONCATENATE(CHOOSE(MID(TEXT(INT(P27),REPT(0,12)),1,1)+1,"","one hundred ","two hundred ","three hundred ","four hundred ","five hundred ","six hundred ","seven hundred ","eight hundred ","nine hundred "),CHOOSE(MID(TEXT(INT(P27),REPT(0,12)),2,1)+1,"",CHOOSE(MID(TEXT(INT(P27),REPT(0,12)),3,1)+1,"ten","eleven","twelve","thirteen","fourteen","fifteen","sixteen","seventeen","eighteen","nineteen"),"twenty","thirty","forty","fifty","sixty","seventy","eighty","ninety"),IF(VALUE(MID(TEXT(INT(P27),REPT(0,12)),2,1))&gt;1,CHOOSE(MID(TEXT(INT(P27),REPT(0,12)),3,1)+1,"","-one","-two","-three","-four","-five","-six","-seven","-eight","-nine"),IF(VALUE(MID(TEXT(INT(P27),REPT(0,12)),2,1))=0,CHOOSE(MID(TEXT(INT(P27),REPT(0,12)),3,1)+1,"","one","two","three","four","five","six","seven","eight","nine"),"")),IF(P27&gt;=10^9," billion ",""),CHOOSE(MID(TEXT(INT(P27),REPT(0,12)),4,1)+1,"","one hundred ","two hundred ","three hundred ","four hundred ","five hundred ","six hundred ","seven hundred ","eight hundred ","nine hundred "),CHOOSE(MID(TEXT(INT(P27),REPT(0,12)),5,1)+1,"",CHOOSE(MID(TEXT(INT(P27),REPT(0,12)),6,1)+1,"ten","eleven","twelve","thirteen","fourteen","fifteen","sixteen","seventeen","eighteen","nineteen"),"twenty","thirty","forty","fifty","sixty","seventy","eighty","ninety"),IF(VALUE(MID(TEXT(INT(P27),REPT(0,12)),5,1))&gt;1,CHOOSE(MID(TEXT(INT(P27),REPT(0,12)),6,1)+1,"","-one","-two","-three","-four","-five","-six","-seven","-eight","-nine"),IF(VALUE(MID(TEXT(INT(P27),REPT(0,12)),5,1))=0,CHOOSE(MID(TEXT(INT(P27),REPT(0,12)),6,1)+1,"","one","two","three","four","five","six","seven","eight","nine"),"")),IF(VALUE(MID(TEXT(INT(P27),REPT(0,12)),4,3))&gt;0," million ",""),CHOOSE(MID(TEXT(INT(P27),REPT(0,12)),7,1)+1,"","one hundred ","two hundred ","three hundred ","four hundred ","five hundred ","six hundred ","seven hundred ","eight hundred ","nine hundred "),CHOOSE(MID(TEXT(INT(P27),REPT(0,12)),8,1)+1,"",CHOOSE(MID(TEXT(INT(P27),REPT(0,12)),9,1)+1,"ten","eleven","twelve","thirteen","fourteen","fifteen","sixteen","seventeen","eighteen","nineteen"),"twenty","thirty","forty","fifty","sixty","seventy","eighty","ninety"),IF(VALUE(MID(TEXT(INT(P27),REPT(0,12)),8,1))&gt;1,CHOOSE(MID(TEXT(INT(P27),REPT(0,12)),9,1)+1,"","-one","-two","-three","-four","-five","-six","-seven","-eight","-nine"),IF(VALUE(MID(TEXT(INT(P27),REPT(0,12)),8,1))=0,CHOOSE(MID(TEXT(INT(P27),REPT(0,12)),9,1)+1,"","one","two","three","four","five","six","seven","eight","nine"),"")),IF(VALUE(MID(TEXT(INT(P27),REPT(0,12)),7,3))," thousand ",""),CHOOSE(MID(TEXT(INT(P27),REPT(0,12)),10,1)+1,"","one hundred ","two hundred ","three hundred ","four hundred ","five hundred ","six hundred ","seven hundred ","eight hundred ","nine hundred "),CHOOSE(MID(TEXT(INT(P27),REPT(0,12)),11,1)+1,"",CHOOSE(MID(TEXT(INT(P27),REPT(0,12)),12,1)+1,"ten","eleven","twelve","thirteen","fourteen","fifteen","sixteen","seventeen","eighteen","nineteen"),"twenty","thirty","forty","fifty","sixty","seventy","eighty","ninety"),IF(VALUE(MID(TEXT(INT(P27),REPT(0,12)),11,1))&gt;1,CHOOSE(MID(TEXT(INT(P27),REPT(0,12)),12,1)+1,"","-one","-two","-three","-four","-five","-six","-seven","-eight","-nine"),IF(VALUE(MID(TEXT(INT(P27),REPT(0,12)),11,1))=0,CHOOSE(MID(TEXT(INT(P27),REPT(0,12)),12,1)+1,"","one","two","three","four","five","six","seven","eight","nine"),""))),"  "," ")&amp;IF(FLOOR(P27,1)&gt;1," PESOS"," dollar"))&amp;IF(ISERROR(FIND(".",P27,1)),""," and "&amp;PROPER(IF(LEN(LEFT(TRIM(MID(SUBSTITUTE([22]Sheet1!A2,".",REPT(" ",255)),255,200)),2))=1,CHOOSE(1*LEFT(TRIM(MID(SUBSTITUTE([22]Sheet1!A2,".",REPT(" ",255)),255,200)),2),"ten","twenty","thirty","forty","fifty","sixty","seventy","eighty","ninety")&amp;" cents","")&amp;CONCATENATE(CHOOSE(MID(TEXT(INT(LEFT(TRIM(MID(SUBSTITUTE([22]Sheet1!A2,".",REPT(" ",255)),255,200)),2)),REPT(0,12)),11,1)+1,"",CHOOSE(MID(TEXT(INT(LEFT(TRIM(MID(SUBSTITUTE([22]Sheet1!A2,".",REPT(" ",255)),255,200)),2)),REPT(0,12)),12,1)+1,"ten","eleven","twelve","thirteen","fourteen","fifteen","sixteen","seventeen","eighteen","nineteen")&amp;" cents","twenty","thirty","forty","fifty","sixty","seventy","eighty","ninety"),IF(VALUE(MID(TEXT(INT(LEFT(TRIM(MID(SUBSTITUTE([22]Sheet1!A2,".",REPT(" ",255)),255,200)),2)),REPT(0,12)),11,1))&gt;1,CHOOSE(MID(TEXT(INT(LEFT(TRIM(MID(SUBSTITUTE([22]Sheet1!A2,".",REPT(" ",255)),255,200)),2)),REPT(0,12)),12,1)+1,"","-one","-two","-three","-four","-five","-six","-seven","-eight","-nine")&amp;" cents",IF(LEFT(TRIM(MID(SUBSTITUTE([22]Sheet1!A2,".",REPT(" ",255)),255,200)),2)="01","one cent",IF(LEFT(TRIM(MID(SUBSTITUTE([22]Sheet1!A2,".",REPT(" ",255)),255,200)),1)="0",CHOOSE(MID(TEXT(INT(LEFT(TRIM(MID(SUBSTITUTE([22]Sheet1!A2,".",REPT(" ",255)),255,200)),2)),REPT(0,12)),12,1)+1,"","one","two","three","four","five","six","seven","eight","nine")&amp;" cents","")))))))</f>
        <v>Fifty Thousand  Pesos</v>
      </c>
      <c r="H27" s="1205"/>
      <c r="I27" s="1205"/>
      <c r="J27" s="1205"/>
      <c r="K27" s="1205"/>
      <c r="L27" s="1205"/>
      <c r="M27" s="1205"/>
      <c r="N27" s="18"/>
      <c r="O27" s="701" t="s">
        <v>805</v>
      </c>
      <c r="P27" s="1205">
        <f>FORM!G24</f>
        <v>50000</v>
      </c>
      <c r="Q27" s="1205"/>
      <c r="R27" s="1205"/>
      <c r="S27" s="18" t="s">
        <v>806</v>
      </c>
      <c r="T27" s="18"/>
      <c r="U27" s="18"/>
    </row>
    <row r="28" spans="1:21" ht="7.5" customHeight="1" x14ac:dyDescent="0.3">
      <c r="A28" s="77"/>
      <c r="B28" s="78"/>
      <c r="C28" s="78"/>
      <c r="D28" s="78"/>
      <c r="E28" s="78"/>
      <c r="F28" s="78"/>
      <c r="G28" s="78"/>
      <c r="H28" s="78"/>
      <c r="I28" s="78"/>
      <c r="J28" s="78"/>
      <c r="K28" s="78"/>
      <c r="L28" s="78"/>
      <c r="M28" s="78"/>
      <c r="N28" s="78"/>
      <c r="O28" s="84"/>
      <c r="P28" s="84"/>
      <c r="Q28" s="84"/>
      <c r="R28" s="84"/>
      <c r="S28" s="61"/>
      <c r="T28" s="85"/>
      <c r="U28" s="61"/>
    </row>
    <row r="29" spans="1:21" ht="13.5" customHeight="1" x14ac:dyDescent="0.3">
      <c r="A29" s="18" t="s">
        <v>807</v>
      </c>
      <c r="B29" s="78"/>
      <c r="C29" s="78"/>
      <c r="D29" s="78"/>
      <c r="E29" s="78"/>
      <c r="F29" s="78"/>
      <c r="G29" s="78"/>
      <c r="H29" s="78"/>
      <c r="I29" s="78"/>
      <c r="J29" s="78"/>
      <c r="K29" s="78"/>
      <c r="L29" s="78"/>
      <c r="M29" s="78"/>
      <c r="N29" s="78"/>
      <c r="O29" s="84"/>
      <c r="P29" s="84"/>
      <c r="Q29" s="84"/>
      <c r="R29" s="84"/>
      <c r="S29" s="61"/>
      <c r="T29" s="85"/>
      <c r="U29" s="61"/>
    </row>
    <row r="30" spans="1:21" ht="13.5" customHeight="1" x14ac:dyDescent="0.3">
      <c r="A30" s="702" t="s">
        <v>808</v>
      </c>
      <c r="B30" s="78"/>
      <c r="C30" s="78"/>
      <c r="D30" s="78"/>
      <c r="E30" s="78"/>
      <c r="F30" s="78"/>
      <c r="G30" s="78"/>
      <c r="H30" s="78"/>
      <c r="I30" s="78"/>
      <c r="J30" s="78"/>
      <c r="K30" s="78"/>
      <c r="L30" s="78"/>
      <c r="M30" s="78"/>
      <c r="N30" s="78"/>
      <c r="O30" s="84"/>
      <c r="P30" s="84"/>
      <c r="Q30" s="84"/>
      <c r="R30" s="84"/>
      <c r="S30" s="61"/>
      <c r="T30" s="85"/>
      <c r="U30" s="61"/>
    </row>
    <row r="31" spans="1:21" ht="13.5" customHeight="1" x14ac:dyDescent="0.3">
      <c r="A31" s="702" t="s">
        <v>809</v>
      </c>
      <c r="B31" s="78"/>
      <c r="C31" s="78"/>
      <c r="D31" s="78"/>
      <c r="E31" s="78"/>
      <c r="F31" s="78"/>
      <c r="G31" s="78"/>
      <c r="H31" s="78"/>
      <c r="I31" s="78"/>
      <c r="J31" s="78"/>
      <c r="K31" s="78"/>
      <c r="L31" s="78"/>
      <c r="M31" s="78"/>
      <c r="N31" s="78"/>
      <c r="O31" s="84"/>
      <c r="P31" s="84"/>
      <c r="Q31" s="84"/>
      <c r="R31" s="84"/>
      <c r="S31" s="61"/>
      <c r="T31" s="85"/>
      <c r="U31" s="61"/>
    </row>
    <row r="32" spans="1:21" ht="7.5" customHeight="1" x14ac:dyDescent="0.3">
      <c r="A32" s="77"/>
      <c r="B32" s="78"/>
      <c r="C32" s="78"/>
      <c r="D32" s="78"/>
      <c r="E32" s="78"/>
      <c r="F32" s="78"/>
      <c r="G32" s="78"/>
      <c r="H32" s="78"/>
      <c r="I32" s="78"/>
      <c r="J32" s="78"/>
      <c r="K32" s="78"/>
      <c r="L32" s="78"/>
      <c r="M32" s="78"/>
      <c r="N32" s="78"/>
      <c r="O32" s="84"/>
      <c r="P32" s="84"/>
      <c r="Q32" s="84"/>
      <c r="R32" s="84"/>
      <c r="S32" s="61"/>
      <c r="T32" s="85"/>
      <c r="U32" s="61"/>
    </row>
    <row r="33" spans="1:21" ht="13.5" customHeight="1" x14ac:dyDescent="0.3">
      <c r="A33" s="701" t="s">
        <v>810</v>
      </c>
      <c r="B33" s="78"/>
      <c r="C33" s="78"/>
      <c r="D33" s="78"/>
      <c r="E33" s="78"/>
      <c r="F33" s="78"/>
      <c r="G33" s="78"/>
      <c r="H33" s="78"/>
      <c r="I33" s="78"/>
      <c r="J33" s="78"/>
      <c r="K33" s="78"/>
      <c r="L33" s="78"/>
      <c r="M33" s="78"/>
      <c r="N33" s="78"/>
      <c r="O33" s="84"/>
      <c r="P33" s="84"/>
      <c r="Q33" s="84"/>
      <c r="R33" s="84"/>
      <c r="S33" s="61"/>
      <c r="T33" s="85"/>
      <c r="U33" s="61"/>
    </row>
    <row r="34" spans="1:21" ht="13.5" customHeight="1" x14ac:dyDescent="0.3">
      <c r="A34" s="701" t="s">
        <v>811</v>
      </c>
      <c r="B34" s="78"/>
      <c r="C34" s="78"/>
      <c r="D34" s="78"/>
      <c r="E34" s="78"/>
      <c r="F34" s="78"/>
      <c r="G34" s="78"/>
      <c r="H34" s="78"/>
      <c r="I34" s="78"/>
      <c r="J34" s="78"/>
      <c r="K34" s="78"/>
      <c r="L34" s="78"/>
      <c r="M34" s="78"/>
      <c r="N34" s="78"/>
      <c r="O34" s="84"/>
      <c r="P34" s="84"/>
      <c r="Q34" s="84"/>
      <c r="R34" s="84"/>
      <c r="S34" s="61"/>
      <c r="T34" s="85"/>
      <c r="U34" s="61"/>
    </row>
    <row r="35" spans="1:21" ht="7.5" customHeight="1" x14ac:dyDescent="0.3">
      <c r="A35" s="77"/>
      <c r="B35" s="78"/>
      <c r="C35" s="78"/>
      <c r="D35" s="78"/>
      <c r="E35" s="78"/>
      <c r="F35" s="78"/>
      <c r="G35" s="78"/>
      <c r="H35" s="78"/>
      <c r="I35" s="78"/>
      <c r="J35" s="78"/>
      <c r="K35" s="78"/>
      <c r="L35" s="78"/>
      <c r="M35" s="78"/>
      <c r="N35" s="78"/>
      <c r="O35" s="84"/>
      <c r="P35" s="84"/>
      <c r="Q35" s="84"/>
      <c r="R35" s="84"/>
      <c r="S35" s="61"/>
      <c r="T35" s="85"/>
      <c r="U35" s="61"/>
    </row>
    <row r="36" spans="1:21" ht="13.5" customHeight="1" x14ac:dyDescent="0.3">
      <c r="A36" s="702" t="s">
        <v>812</v>
      </c>
      <c r="B36" s="78"/>
      <c r="C36" s="78"/>
      <c r="D36" s="78"/>
      <c r="E36" s="78"/>
      <c r="F36" s="78"/>
      <c r="G36" s="78"/>
      <c r="H36" s="78"/>
      <c r="I36" s="78"/>
      <c r="J36" s="78"/>
      <c r="K36" s="78"/>
      <c r="L36" s="78"/>
      <c r="M36" s="78"/>
      <c r="N36" s="78"/>
      <c r="O36" s="84"/>
      <c r="P36" s="84"/>
      <c r="Q36" s="84"/>
      <c r="R36" s="84"/>
      <c r="S36" s="61"/>
      <c r="T36" s="85"/>
      <c r="U36" s="61"/>
    </row>
    <row r="37" spans="1:21" ht="7.5" customHeight="1" x14ac:dyDescent="0.3">
      <c r="A37" s="77"/>
      <c r="B37" s="78"/>
      <c r="C37" s="78"/>
      <c r="D37" s="78"/>
      <c r="E37" s="78"/>
      <c r="F37" s="78"/>
      <c r="G37" s="78"/>
      <c r="H37" s="78"/>
      <c r="I37" s="78"/>
      <c r="J37" s="78"/>
      <c r="K37" s="78"/>
      <c r="L37" s="78"/>
      <c r="M37" s="78"/>
      <c r="N37" s="78"/>
      <c r="O37" s="84"/>
      <c r="P37" s="84"/>
      <c r="Q37" s="84"/>
      <c r="R37" s="84"/>
      <c r="S37" s="61"/>
      <c r="T37" s="85"/>
      <c r="U37" s="61"/>
    </row>
    <row r="38" spans="1:21" ht="13.5" customHeight="1" x14ac:dyDescent="0.3">
      <c r="A38" s="701" t="s">
        <v>813</v>
      </c>
      <c r="B38" s="78"/>
      <c r="C38" s="78"/>
      <c r="D38" s="78"/>
      <c r="E38" s="78"/>
      <c r="F38" s="78"/>
      <c r="G38" s="78"/>
      <c r="H38" s="78"/>
      <c r="I38" s="78"/>
      <c r="J38" s="78"/>
      <c r="K38" s="78"/>
      <c r="L38" s="78"/>
      <c r="M38" s="78"/>
      <c r="N38" s="78"/>
      <c r="O38" s="84"/>
      <c r="P38" s="84"/>
      <c r="Q38" s="84"/>
      <c r="R38" s="84"/>
      <c r="S38" s="61"/>
      <c r="T38" s="85"/>
      <c r="U38" s="61"/>
    </row>
    <row r="39" spans="1:21" ht="13.5" customHeight="1" x14ac:dyDescent="0.3">
      <c r="A39" s="703" t="s">
        <v>814</v>
      </c>
      <c r="B39" s="78"/>
      <c r="C39" s="78"/>
      <c r="D39" s="78"/>
      <c r="E39" s="78"/>
      <c r="F39" s="78"/>
      <c r="G39" s="78"/>
      <c r="H39" s="78"/>
      <c r="I39" s="78"/>
      <c r="J39" s="78"/>
      <c r="K39" s="78"/>
      <c r="L39" s="78"/>
      <c r="M39" s="78"/>
      <c r="N39" s="78"/>
      <c r="O39" s="84"/>
      <c r="P39" s="84"/>
      <c r="Q39" s="84"/>
      <c r="R39" s="84"/>
      <c r="S39" s="61"/>
      <c r="T39" s="85"/>
      <c r="U39" s="61"/>
    </row>
    <row r="40" spans="1:21" ht="13.5" customHeight="1" x14ac:dyDescent="0.3">
      <c r="A40" s="703" t="s">
        <v>815</v>
      </c>
      <c r="B40" s="78"/>
      <c r="C40" s="78"/>
      <c r="D40" s="78"/>
      <c r="E40" s="78"/>
      <c r="F40" s="78"/>
      <c r="G40" s="78"/>
      <c r="H40" s="78"/>
      <c r="I40" s="78"/>
      <c r="J40" s="78"/>
      <c r="K40" s="78"/>
      <c r="L40" s="78"/>
      <c r="M40" s="78"/>
      <c r="N40" s="78"/>
      <c r="O40" s="84"/>
      <c r="P40" s="84"/>
      <c r="Q40" s="84"/>
      <c r="R40" s="84"/>
      <c r="S40" s="61"/>
      <c r="T40" s="85"/>
      <c r="U40" s="61"/>
    </row>
    <row r="41" spans="1:21" ht="13.5" customHeight="1" x14ac:dyDescent="0.3">
      <c r="A41" s="77"/>
      <c r="B41" s="78"/>
      <c r="C41" s="78"/>
      <c r="D41" s="78"/>
      <c r="E41" s="78"/>
      <c r="F41" s="78"/>
      <c r="G41" s="78"/>
      <c r="H41" s="78"/>
      <c r="I41" s="78"/>
      <c r="J41" s="78"/>
      <c r="K41" s="78"/>
      <c r="L41" s="78"/>
      <c r="M41" s="78"/>
      <c r="N41" s="78"/>
      <c r="O41" s="84"/>
      <c r="P41" s="84"/>
      <c r="Q41" s="84"/>
      <c r="R41" s="84"/>
      <c r="S41" s="61"/>
      <c r="T41" s="85"/>
      <c r="U41" s="61"/>
    </row>
    <row r="42" spans="1:21" ht="13.5" customHeight="1" x14ac:dyDescent="0.3">
      <c r="A42" s="702" t="s">
        <v>816</v>
      </c>
      <c r="B42" s="78"/>
      <c r="C42" s="78"/>
      <c r="D42" s="78"/>
      <c r="E42" s="78"/>
      <c r="F42" s="78"/>
      <c r="G42" s="78"/>
      <c r="H42" s="78"/>
      <c r="I42" s="78"/>
      <c r="J42" s="78"/>
      <c r="K42" s="78"/>
      <c r="L42" s="78"/>
      <c r="M42" s="78"/>
      <c r="N42" s="78"/>
      <c r="O42" s="84"/>
      <c r="P42" s="84"/>
      <c r="Q42" s="84"/>
      <c r="R42" s="84"/>
      <c r="S42" s="61"/>
      <c r="T42" s="85"/>
      <c r="U42" s="61"/>
    </row>
    <row r="43" spans="1:21" ht="13.5" customHeight="1" x14ac:dyDescent="0.3">
      <c r="A43" s="77"/>
      <c r="B43" s="78"/>
      <c r="C43" s="78"/>
      <c r="D43" s="78"/>
      <c r="E43" s="78"/>
      <c r="F43" s="78"/>
      <c r="G43" s="78"/>
      <c r="H43" s="78"/>
      <c r="I43" s="78"/>
      <c r="J43" s="78"/>
      <c r="K43" s="78"/>
      <c r="L43" s="78"/>
      <c r="M43" s="78"/>
      <c r="N43" s="78"/>
      <c r="O43" s="84"/>
      <c r="P43" s="84"/>
      <c r="Q43" s="84"/>
      <c r="R43" s="84"/>
      <c r="S43" s="61"/>
      <c r="T43" s="85"/>
      <c r="U43" s="61"/>
    </row>
    <row r="44" spans="1:21" ht="13.5" customHeight="1" x14ac:dyDescent="0.3">
      <c r="A44" s="704"/>
      <c r="B44" s="705"/>
      <c r="C44" s="705"/>
      <c r="D44" s="1191" t="s">
        <v>817</v>
      </c>
      <c r="E44" s="1191"/>
      <c r="F44" s="1191"/>
      <c r="G44" s="1191"/>
      <c r="H44" s="1191"/>
      <c r="I44" s="1191"/>
      <c r="J44" s="705"/>
      <c r="K44" s="705"/>
      <c r="L44" s="705"/>
      <c r="M44" s="705"/>
      <c r="N44" s="705"/>
      <c r="O44" s="706"/>
      <c r="P44" s="706"/>
      <c r="Q44" s="1192" t="s">
        <v>774</v>
      </c>
      <c r="R44" s="1192"/>
      <c r="S44" s="1192"/>
      <c r="T44" s="707"/>
      <c r="U44" s="61"/>
    </row>
    <row r="45" spans="1:21" ht="13.5" customHeight="1" x14ac:dyDescent="0.3">
      <c r="A45" s="704"/>
      <c r="B45" s="705"/>
      <c r="C45" s="705"/>
      <c r="D45" s="705"/>
      <c r="E45" s="705"/>
      <c r="F45" s="705"/>
      <c r="G45" s="705"/>
      <c r="H45" s="705"/>
      <c r="I45" s="705"/>
      <c r="J45" s="705"/>
      <c r="K45" s="705"/>
      <c r="L45" s="705"/>
      <c r="M45" s="705"/>
      <c r="N45" s="705"/>
      <c r="O45" s="706"/>
      <c r="P45" s="706"/>
      <c r="Q45" s="706"/>
      <c r="R45" s="706"/>
      <c r="S45" s="708"/>
      <c r="T45" s="707"/>
      <c r="U45" s="61"/>
    </row>
    <row r="46" spans="1:21" ht="13.5" customHeight="1" x14ac:dyDescent="0.3">
      <c r="A46" s="704"/>
      <c r="B46" s="705"/>
      <c r="C46" s="705"/>
      <c r="D46" s="705"/>
      <c r="E46" s="705"/>
      <c r="F46" s="705"/>
      <c r="G46" s="705"/>
      <c r="H46" s="705"/>
      <c r="I46" s="705"/>
      <c r="J46" s="705"/>
      <c r="K46" s="705"/>
      <c r="L46" s="705"/>
      <c r="M46" s="705"/>
      <c r="N46" s="705"/>
      <c r="O46" s="706"/>
      <c r="P46" s="706"/>
      <c r="Q46" s="706"/>
      <c r="R46" s="706"/>
      <c r="S46" s="708"/>
      <c r="T46" s="707"/>
      <c r="U46" s="61"/>
    </row>
    <row r="47" spans="1:21" ht="13.5" customHeight="1" x14ac:dyDescent="0.3">
      <c r="A47" s="704"/>
      <c r="B47" s="705"/>
      <c r="C47" s="705"/>
      <c r="D47" s="705"/>
      <c r="E47" s="705"/>
      <c r="F47" s="705"/>
      <c r="G47" s="705"/>
      <c r="H47" s="705"/>
      <c r="I47" s="705"/>
      <c r="J47" s="705"/>
      <c r="K47" s="705"/>
      <c r="L47" s="705"/>
      <c r="M47" s="705"/>
      <c r="N47" s="705"/>
      <c r="O47" s="706"/>
      <c r="P47" s="706"/>
      <c r="Q47" s="706"/>
      <c r="R47" s="706"/>
      <c r="S47" s="708"/>
      <c r="T47" s="707"/>
      <c r="U47" s="61"/>
    </row>
    <row r="48" spans="1:21" x14ac:dyDescent="0.3">
      <c r="A48" s="50"/>
      <c r="B48" s="50"/>
      <c r="C48" s="50"/>
      <c r="D48" s="1188">
        <f>FORM!G30</f>
        <v>0</v>
      </c>
      <c r="E48" s="1188"/>
      <c r="F48" s="1188"/>
      <c r="G48" s="1188"/>
      <c r="H48" s="1188"/>
      <c r="I48" s="1188"/>
      <c r="J48" s="50"/>
      <c r="K48" s="50"/>
      <c r="L48" s="50"/>
      <c r="M48" s="50"/>
      <c r="N48" s="50"/>
      <c r="O48" s="50"/>
      <c r="P48" s="50"/>
      <c r="Q48" s="1188" t="str">
        <f>FORM!G32</f>
        <v>Seller</v>
      </c>
      <c r="R48" s="1188"/>
      <c r="S48" s="1188"/>
      <c r="T48" s="50"/>
      <c r="U48" s="50"/>
    </row>
    <row r="49" spans="1:21" x14ac:dyDescent="0.3">
      <c r="A49" s="50"/>
      <c r="B49" s="50"/>
      <c r="C49" s="50"/>
      <c r="D49" s="1189" t="s">
        <v>818</v>
      </c>
      <c r="E49" s="1189"/>
      <c r="F49" s="1189"/>
      <c r="G49" s="1189"/>
      <c r="H49" s="1189"/>
      <c r="I49" s="1189"/>
      <c r="J49" s="50"/>
      <c r="K49" s="50"/>
      <c r="L49" s="50"/>
      <c r="M49" s="50"/>
      <c r="N49" s="50"/>
      <c r="O49" s="50"/>
      <c r="P49" s="50"/>
      <c r="Q49" s="1189" t="s">
        <v>818</v>
      </c>
      <c r="R49" s="1189"/>
      <c r="S49" s="1189"/>
      <c r="T49" s="50"/>
      <c r="U49" s="50"/>
    </row>
    <row r="50" spans="1:21" x14ac:dyDescent="0.3">
      <c r="A50" s="50"/>
      <c r="B50" s="50"/>
      <c r="C50" s="50"/>
      <c r="D50" s="1190" t="s">
        <v>819</v>
      </c>
      <c r="E50" s="1190"/>
      <c r="F50" s="1190"/>
      <c r="G50" s="1190"/>
      <c r="H50" s="1190"/>
      <c r="I50" s="1190"/>
      <c r="J50" s="50"/>
      <c r="K50" s="50"/>
      <c r="L50" s="50"/>
      <c r="M50" s="50"/>
      <c r="N50" s="50"/>
      <c r="O50" s="50"/>
      <c r="P50" s="50"/>
      <c r="Q50" s="1190" t="s">
        <v>820</v>
      </c>
      <c r="R50" s="1190"/>
      <c r="S50" s="1190"/>
      <c r="T50" s="50"/>
      <c r="U50" s="50"/>
    </row>
    <row r="51" spans="1:21" x14ac:dyDescent="0.3">
      <c r="A51" s="50"/>
      <c r="B51" s="50"/>
      <c r="C51" s="50"/>
      <c r="D51" s="50"/>
      <c r="E51" s="50"/>
      <c r="F51" s="50"/>
      <c r="G51" s="50"/>
      <c r="H51" s="50"/>
      <c r="I51" s="50"/>
      <c r="J51" s="50"/>
      <c r="K51" s="50"/>
      <c r="L51" s="50"/>
      <c r="M51" s="50"/>
      <c r="N51" s="50"/>
      <c r="O51" s="50"/>
      <c r="P51" s="50"/>
      <c r="Q51" s="50"/>
      <c r="R51" s="50"/>
      <c r="S51" s="50"/>
      <c r="T51" s="50"/>
      <c r="U51" s="50"/>
    </row>
    <row r="53" spans="1:21" x14ac:dyDescent="0.3">
      <c r="A53" s="1183" t="s">
        <v>821</v>
      </c>
      <c r="B53" s="1184"/>
      <c r="C53" s="1184"/>
      <c r="D53" s="1184"/>
      <c r="E53" s="1184"/>
      <c r="F53" s="1184"/>
      <c r="G53" s="1184"/>
      <c r="H53" s="1184"/>
      <c r="I53" s="1184"/>
      <c r="J53" s="1184"/>
      <c r="K53" s="1184"/>
      <c r="L53" s="1184"/>
      <c r="M53" s="1184"/>
      <c r="N53" s="1184"/>
      <c r="O53" s="1184"/>
      <c r="P53" s="1184"/>
      <c r="Q53" s="1184"/>
      <c r="R53" s="1184"/>
      <c r="S53" s="1184"/>
      <c r="T53" s="1184"/>
      <c r="U53" s="1185"/>
    </row>
    <row r="54" spans="1:21" x14ac:dyDescent="0.3">
      <c r="A54" s="1186" t="s">
        <v>822</v>
      </c>
      <c r="B54" s="1186"/>
      <c r="C54" s="1186"/>
      <c r="D54" s="1186"/>
      <c r="E54" s="1186"/>
      <c r="F54" s="1186"/>
      <c r="G54" s="1186"/>
      <c r="H54" s="1186"/>
      <c r="I54" s="1186" t="s">
        <v>823</v>
      </c>
      <c r="J54" s="1186"/>
      <c r="K54" s="1186"/>
      <c r="L54" s="1186"/>
      <c r="M54" s="1186"/>
      <c r="N54" s="1186"/>
      <c r="O54" s="1186"/>
      <c r="P54" s="1187" t="s">
        <v>824</v>
      </c>
      <c r="Q54" s="1187"/>
      <c r="R54" s="1187"/>
      <c r="S54" s="1187"/>
      <c r="T54" s="1187"/>
      <c r="U54" s="1187"/>
    </row>
    <row r="55" spans="1:21" x14ac:dyDescent="0.3">
      <c r="A55" s="1182" t="s">
        <v>825</v>
      </c>
      <c r="B55" s="1182"/>
      <c r="C55" s="1182"/>
      <c r="D55" s="1182"/>
      <c r="E55" s="1182"/>
      <c r="F55" s="1182"/>
      <c r="G55" s="1182"/>
      <c r="H55" s="1182"/>
      <c r="I55" s="1182">
        <f>FORM!J47</f>
        <v>0</v>
      </c>
      <c r="J55" s="1182"/>
      <c r="K55" s="1182"/>
      <c r="L55" s="1182"/>
      <c r="M55" s="1182"/>
      <c r="N55" s="1182"/>
      <c r="O55" s="1182"/>
      <c r="P55" s="1182">
        <f>FORM!Q47</f>
        <v>0</v>
      </c>
      <c r="Q55" s="1182"/>
      <c r="R55" s="1182"/>
      <c r="S55" s="1182"/>
      <c r="T55" s="1182"/>
      <c r="U55" s="1182"/>
    </row>
    <row r="56" spans="1:21" x14ac:dyDescent="0.3">
      <c r="A56" s="1182" t="s">
        <v>826</v>
      </c>
      <c r="B56" s="1182"/>
      <c r="C56" s="1182"/>
      <c r="D56" s="1182"/>
      <c r="E56" s="1182"/>
      <c r="F56" s="1182"/>
      <c r="G56" s="1182"/>
      <c r="H56" s="1182"/>
      <c r="I56" s="1182">
        <f>FORM!J48</f>
        <v>0</v>
      </c>
      <c r="J56" s="1182"/>
      <c r="K56" s="1182"/>
      <c r="L56" s="1182"/>
      <c r="M56" s="1182"/>
      <c r="N56" s="1182"/>
      <c r="O56" s="1182"/>
      <c r="P56" s="1182">
        <f>FORM!Q48</f>
        <v>0</v>
      </c>
      <c r="Q56" s="1182"/>
      <c r="R56" s="1182"/>
      <c r="S56" s="1182"/>
      <c r="T56" s="1182"/>
      <c r="U56" s="1182"/>
    </row>
    <row r="57" spans="1:21" x14ac:dyDescent="0.3">
      <c r="A57" s="1182" t="s">
        <v>827</v>
      </c>
      <c r="B57" s="1182"/>
      <c r="C57" s="1182"/>
      <c r="D57" s="1182"/>
      <c r="E57" s="1182"/>
      <c r="F57" s="1182"/>
      <c r="G57" s="1182"/>
      <c r="H57" s="1182"/>
      <c r="I57" s="1182">
        <f>FORM!J49</f>
        <v>0</v>
      </c>
      <c r="J57" s="1182"/>
      <c r="K57" s="1182"/>
      <c r="L57" s="1182"/>
      <c r="M57" s="1182"/>
      <c r="N57" s="1182"/>
      <c r="O57" s="1182"/>
      <c r="P57" s="1182">
        <f>FORM!Q49</f>
        <v>0</v>
      </c>
      <c r="Q57" s="1182"/>
      <c r="R57" s="1182"/>
      <c r="S57" s="1182"/>
      <c r="T57" s="1182"/>
      <c r="U57" s="1182"/>
    </row>
    <row r="58" spans="1:21" x14ac:dyDescent="0.3">
      <c r="A58" s="1182" t="s">
        <v>828</v>
      </c>
      <c r="B58" s="1182"/>
      <c r="C58" s="1182"/>
      <c r="D58" s="1182"/>
      <c r="E58" s="1182"/>
      <c r="F58" s="1182"/>
      <c r="G58" s="1182"/>
      <c r="H58" s="1182"/>
      <c r="I58" s="1182">
        <f>FORM!J50</f>
        <v>0</v>
      </c>
      <c r="J58" s="1182"/>
      <c r="K58" s="1182"/>
      <c r="L58" s="1182"/>
      <c r="M58" s="1182"/>
      <c r="N58" s="1182"/>
      <c r="O58" s="1182"/>
      <c r="P58" s="1182">
        <f>FORM!Q50</f>
        <v>0</v>
      </c>
      <c r="Q58" s="1182"/>
      <c r="R58" s="1182"/>
      <c r="S58" s="1182"/>
      <c r="T58" s="1182"/>
      <c r="U58" s="1182"/>
    </row>
    <row r="60" spans="1:21" x14ac:dyDescent="0.3">
      <c r="A60"/>
      <c r="B60"/>
      <c r="C60"/>
      <c r="D60"/>
      <c r="E60"/>
      <c r="F60"/>
      <c r="G60"/>
      <c r="H60"/>
      <c r="I60"/>
      <c r="J60"/>
      <c r="K60"/>
      <c r="L60"/>
      <c r="M60"/>
      <c r="N60"/>
      <c r="O60"/>
      <c r="P60"/>
      <c r="Q60"/>
      <c r="R60"/>
      <c r="S60"/>
      <c r="T60"/>
      <c r="U60"/>
    </row>
    <row r="68" spans="1:21" x14ac:dyDescent="0.3">
      <c r="A68"/>
      <c r="B68"/>
      <c r="C68"/>
      <c r="D68"/>
      <c r="E68"/>
      <c r="F68"/>
      <c r="G68"/>
      <c r="H68"/>
      <c r="I68"/>
      <c r="J68"/>
      <c r="K68"/>
      <c r="L68"/>
      <c r="M68"/>
      <c r="N68"/>
      <c r="O68"/>
      <c r="P68"/>
      <c r="Q68"/>
      <c r="R68"/>
      <c r="S68"/>
      <c r="T68"/>
      <c r="U68"/>
    </row>
    <row r="69" spans="1:21" x14ac:dyDescent="0.3">
      <c r="A69"/>
      <c r="B69"/>
      <c r="C69"/>
      <c r="D69"/>
      <c r="E69"/>
      <c r="F69"/>
      <c r="G69"/>
      <c r="H69"/>
      <c r="I69"/>
      <c r="J69"/>
      <c r="K69"/>
      <c r="L69"/>
      <c r="M69"/>
      <c r="N69"/>
      <c r="O69"/>
      <c r="P69"/>
      <c r="Q69"/>
      <c r="R69"/>
      <c r="S69"/>
      <c r="T69"/>
      <c r="U69"/>
    </row>
    <row r="70" spans="1:21" ht="25.5" customHeight="1" x14ac:dyDescent="0.3">
      <c r="A70"/>
      <c r="B70"/>
      <c r="C70"/>
      <c r="D70"/>
      <c r="E70"/>
      <c r="F70"/>
      <c r="G70"/>
      <c r="H70"/>
      <c r="I70"/>
      <c r="J70"/>
      <c r="K70"/>
      <c r="L70"/>
      <c r="M70"/>
      <c r="N70"/>
      <c r="O70"/>
      <c r="P70"/>
      <c r="Q70"/>
      <c r="R70"/>
      <c r="S70"/>
      <c r="T70"/>
      <c r="U70"/>
    </row>
    <row r="71" spans="1:21" x14ac:dyDescent="0.3">
      <c r="A71"/>
      <c r="B71"/>
      <c r="C71"/>
      <c r="D71"/>
      <c r="E71"/>
      <c r="F71"/>
      <c r="G71"/>
      <c r="H71"/>
      <c r="I71"/>
      <c r="J71"/>
      <c r="K71"/>
      <c r="L71"/>
      <c r="M71"/>
      <c r="N71"/>
      <c r="O71"/>
      <c r="P71"/>
      <c r="Q71"/>
      <c r="R71"/>
      <c r="S71"/>
      <c r="T71"/>
      <c r="U71"/>
    </row>
    <row r="72" spans="1:21" x14ac:dyDescent="0.3">
      <c r="A72"/>
      <c r="B72"/>
      <c r="C72"/>
      <c r="D72"/>
      <c r="E72"/>
      <c r="F72"/>
      <c r="G72"/>
      <c r="H72"/>
      <c r="I72"/>
      <c r="J72"/>
      <c r="K72"/>
      <c r="L72"/>
      <c r="M72"/>
      <c r="N72"/>
      <c r="O72"/>
      <c r="P72"/>
      <c r="Q72"/>
      <c r="R72"/>
      <c r="S72"/>
      <c r="T72"/>
      <c r="U72"/>
    </row>
    <row r="73" spans="1:21" x14ac:dyDescent="0.3">
      <c r="A73"/>
      <c r="B73"/>
      <c r="C73"/>
      <c r="D73"/>
      <c r="E73"/>
      <c r="F73"/>
      <c r="G73"/>
      <c r="H73"/>
      <c r="I73"/>
      <c r="J73"/>
      <c r="K73"/>
      <c r="L73"/>
      <c r="M73"/>
      <c r="N73"/>
      <c r="O73"/>
      <c r="P73"/>
      <c r="Q73"/>
      <c r="R73"/>
      <c r="S73"/>
      <c r="T73"/>
      <c r="U73"/>
    </row>
    <row r="74" spans="1:21" ht="21.75" customHeight="1" x14ac:dyDescent="0.3">
      <c r="A74"/>
      <c r="B74"/>
      <c r="C74"/>
      <c r="D74"/>
      <c r="E74"/>
      <c r="F74"/>
      <c r="G74"/>
      <c r="H74"/>
      <c r="I74"/>
      <c r="J74"/>
      <c r="K74"/>
      <c r="L74"/>
      <c r="M74"/>
      <c r="N74"/>
      <c r="O74"/>
      <c r="P74"/>
      <c r="Q74"/>
      <c r="R74"/>
      <c r="S74"/>
      <c r="T74"/>
      <c r="U74"/>
    </row>
    <row r="75" spans="1:21" x14ac:dyDescent="0.3">
      <c r="A75" s="21"/>
      <c r="B75" s="21"/>
      <c r="C75" s="21"/>
      <c r="D75" s="21"/>
      <c r="E75" s="21"/>
      <c r="F75" s="21"/>
      <c r="G75" s="21"/>
      <c r="H75" s="21"/>
      <c r="I75" s="21"/>
      <c r="J75" s="21"/>
      <c r="K75" s="21"/>
      <c r="L75" s="21"/>
      <c r="M75" s="21"/>
      <c r="N75" s="21"/>
      <c r="O75" s="21"/>
      <c r="P75" s="21"/>
      <c r="Q75" s="21"/>
      <c r="R75" s="21"/>
      <c r="S75" s="21"/>
      <c r="T75" s="21"/>
      <c r="U75" s="21"/>
    </row>
    <row r="76" spans="1:21" x14ac:dyDescent="0.3">
      <c r="A76" s="21"/>
      <c r="B76" s="21"/>
      <c r="C76" s="21"/>
      <c r="D76" s="21"/>
      <c r="E76" s="21"/>
      <c r="F76" s="21"/>
      <c r="G76" s="21"/>
      <c r="H76" s="21"/>
      <c r="I76" s="22"/>
      <c r="J76" s="22"/>
      <c r="K76" s="22"/>
      <c r="L76" s="22"/>
      <c r="M76" s="22"/>
      <c r="N76" s="22"/>
      <c r="O76" s="22"/>
      <c r="P76" s="22"/>
      <c r="Q76" s="22"/>
      <c r="R76" s="21"/>
      <c r="S76" s="21"/>
      <c r="T76" s="21"/>
      <c r="U76" s="21"/>
    </row>
    <row r="80" spans="1:21" x14ac:dyDescent="0.3">
      <c r="I80" s="56"/>
    </row>
  </sheetData>
  <sheetProtection formatCells="0" formatColumns="0" formatRows="0"/>
  <mergeCells count="62">
    <mergeCell ref="C2:F2"/>
    <mergeCell ref="A6:U6"/>
    <mergeCell ref="E8:T8"/>
    <mergeCell ref="A12:F12"/>
    <mergeCell ref="G12:L12"/>
    <mergeCell ref="M12:Q12"/>
    <mergeCell ref="R12:U12"/>
    <mergeCell ref="D14:F14"/>
    <mergeCell ref="J14:L14"/>
    <mergeCell ref="P14:Q14"/>
    <mergeCell ref="R14:S14"/>
    <mergeCell ref="T14:U14"/>
    <mergeCell ref="D13:F13"/>
    <mergeCell ref="J13:L13"/>
    <mergeCell ref="P13:Q13"/>
    <mergeCell ref="R13:S13"/>
    <mergeCell ref="T13:U13"/>
    <mergeCell ref="D16:F16"/>
    <mergeCell ref="J16:L16"/>
    <mergeCell ref="P16:Q16"/>
    <mergeCell ref="R16:S18"/>
    <mergeCell ref="T16:U18"/>
    <mergeCell ref="D15:F15"/>
    <mergeCell ref="J15:L15"/>
    <mergeCell ref="P15:Q15"/>
    <mergeCell ref="R15:S15"/>
    <mergeCell ref="T15:U15"/>
    <mergeCell ref="D44:I44"/>
    <mergeCell ref="Q44:S44"/>
    <mergeCell ref="D17:F17"/>
    <mergeCell ref="P17:Q17"/>
    <mergeCell ref="P18:Q18"/>
    <mergeCell ref="I20:U20"/>
    <mergeCell ref="I21:U21"/>
    <mergeCell ref="I22:U22"/>
    <mergeCell ref="I23:U23"/>
    <mergeCell ref="I24:U24"/>
    <mergeCell ref="I25:U25"/>
    <mergeCell ref="G27:M27"/>
    <mergeCell ref="P27:R27"/>
    <mergeCell ref="D48:I48"/>
    <mergeCell ref="Q48:S48"/>
    <mergeCell ref="D49:I49"/>
    <mergeCell ref="Q49:S49"/>
    <mergeCell ref="D50:I50"/>
    <mergeCell ref="Q50:S50"/>
    <mergeCell ref="A53:U53"/>
    <mergeCell ref="A54:H54"/>
    <mergeCell ref="I54:O54"/>
    <mergeCell ref="P54:U54"/>
    <mergeCell ref="A55:H55"/>
    <mergeCell ref="I55:O55"/>
    <mergeCell ref="P55:U55"/>
    <mergeCell ref="A58:H58"/>
    <mergeCell ref="I58:O58"/>
    <mergeCell ref="P58:U58"/>
    <mergeCell ref="A56:H56"/>
    <mergeCell ref="I56:O56"/>
    <mergeCell ref="P56:U56"/>
    <mergeCell ref="A57:H57"/>
    <mergeCell ref="I57:O57"/>
    <mergeCell ref="P57:U57"/>
  </mergeCells>
  <pageMargins left="0.51181102362204722" right="0.51181102362204722" top="0.87791666666666668" bottom="0.74803149606299213" header="0.31496062992125984" footer="0.31496062992125984"/>
  <pageSetup paperSize="305" scale="86" orientation="portrait" verticalDpi="360" r:id="rId1"/>
  <headerFooter>
    <oddHeader xml:space="preserve">&amp;R
&amp;"Century Gothic,Bold"&amp;18LETTER OF INTENT    
 &amp;"-,Regular"&amp;11
</oddHeader>
    <oddFooter>&amp;C&amp;"Century Gothic,Regular"&amp;8Page &amp;P of &amp;N</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92161" r:id="rId4" name="Check Box 1">
              <controlPr defaultSize="0" autoFill="0" autoLine="0" autoPict="0">
                <anchor moveWithCells="1">
                  <from>
                    <xdr:col>11</xdr:col>
                    <xdr:colOff>304800</xdr:colOff>
                    <xdr:row>7</xdr:row>
                    <xdr:rowOff>209550</xdr:rowOff>
                  </from>
                  <to>
                    <xdr:col>14</xdr:col>
                    <xdr:colOff>171450</xdr:colOff>
                    <xdr:row>9</xdr:row>
                    <xdr:rowOff>0</xdr:rowOff>
                  </to>
                </anchor>
              </controlPr>
            </control>
          </mc:Choice>
        </mc:AlternateContent>
        <mc:AlternateContent xmlns:mc="http://schemas.openxmlformats.org/markup-compatibility/2006">
          <mc:Choice Requires="x14">
            <control shapeId="92162" r:id="rId5" name="Check Box 2">
              <controlPr defaultSize="0" autoFill="0" autoLine="0" autoPict="0">
                <anchor moveWithCells="1">
                  <from>
                    <xdr:col>11</xdr:col>
                    <xdr:colOff>304800</xdr:colOff>
                    <xdr:row>9</xdr:row>
                    <xdr:rowOff>0</xdr:rowOff>
                  </from>
                  <to>
                    <xdr:col>14</xdr:col>
                    <xdr:colOff>171450</xdr:colOff>
                    <xdr:row>10</xdr:row>
                    <xdr:rowOff>0</xdr:rowOff>
                  </to>
                </anchor>
              </controlPr>
            </control>
          </mc:Choice>
        </mc:AlternateContent>
        <mc:AlternateContent xmlns:mc="http://schemas.openxmlformats.org/markup-compatibility/2006">
          <mc:Choice Requires="x14">
            <control shapeId="92163" r:id="rId6" name="Check Box 3">
              <controlPr defaultSize="0" autoFill="0" autoLine="0" autoPict="0">
                <anchor moveWithCells="1">
                  <from>
                    <xdr:col>4</xdr:col>
                    <xdr:colOff>57150</xdr:colOff>
                    <xdr:row>8</xdr:row>
                    <xdr:rowOff>19050</xdr:rowOff>
                  </from>
                  <to>
                    <xdr:col>8</xdr:col>
                    <xdr:colOff>285750</xdr:colOff>
                    <xdr:row>9</xdr:row>
                    <xdr:rowOff>19050</xdr:rowOff>
                  </to>
                </anchor>
              </controlPr>
            </control>
          </mc:Choice>
        </mc:AlternateContent>
        <mc:AlternateContent xmlns:mc="http://schemas.openxmlformats.org/markup-compatibility/2006">
          <mc:Choice Requires="x14">
            <control shapeId="92164" r:id="rId7" name="Check Box 4">
              <controlPr defaultSize="0" autoFill="0" autoLine="0" autoPict="0">
                <anchor moveWithCells="1">
                  <from>
                    <xdr:col>4</xdr:col>
                    <xdr:colOff>57150</xdr:colOff>
                    <xdr:row>8</xdr:row>
                    <xdr:rowOff>209550</xdr:rowOff>
                  </from>
                  <to>
                    <xdr:col>8</xdr:col>
                    <xdr:colOff>285750</xdr:colOff>
                    <xdr:row>10</xdr:row>
                    <xdr:rowOff>0</xdr:rowOff>
                  </to>
                </anchor>
              </controlPr>
            </control>
          </mc:Choice>
        </mc:AlternateContent>
        <mc:AlternateContent xmlns:mc="http://schemas.openxmlformats.org/markup-compatibility/2006">
          <mc:Choice Requires="x14">
            <control shapeId="92165" r:id="rId8" name="Check Box 5">
              <controlPr defaultSize="0" autoFill="0" autoLine="0" autoPict="0">
                <anchor moveWithCells="1">
                  <from>
                    <xdr:col>17</xdr:col>
                    <xdr:colOff>476250</xdr:colOff>
                    <xdr:row>8</xdr:row>
                    <xdr:rowOff>0</xdr:rowOff>
                  </from>
                  <to>
                    <xdr:col>19</xdr:col>
                    <xdr:colOff>180975</xdr:colOff>
                    <xdr:row>9</xdr:row>
                    <xdr:rowOff>0</xdr:rowOff>
                  </to>
                </anchor>
              </controlPr>
            </control>
          </mc:Choice>
        </mc:AlternateContent>
        <mc:AlternateContent xmlns:mc="http://schemas.openxmlformats.org/markup-compatibility/2006">
          <mc:Choice Requires="x14">
            <control shapeId="92166" r:id="rId9" name="Check Box 6">
              <controlPr defaultSize="0" autoFill="0" autoLine="0" autoPict="0">
                <anchor moveWithCells="1">
                  <from>
                    <xdr:col>17</xdr:col>
                    <xdr:colOff>476250</xdr:colOff>
                    <xdr:row>9</xdr:row>
                    <xdr:rowOff>0</xdr:rowOff>
                  </from>
                  <to>
                    <xdr:col>19</xdr:col>
                    <xdr:colOff>180975</xdr:colOff>
                    <xdr:row>10</xdr:row>
                    <xdr:rowOff>0</xdr:rowOff>
                  </to>
                </anchor>
              </controlPr>
            </control>
          </mc:Choice>
        </mc:AlternateContent>
      </controls>
    </mc:Choice>
  </mc:AlternateContent>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3"/>
  <dimension ref="A1:U123"/>
  <sheetViews>
    <sheetView showZeros="0" view="pageLayout" zoomScaleNormal="100" zoomScaleSheetLayoutView="85" workbookViewId="0">
      <selection activeCell="O39" sqref="O39:R39"/>
    </sheetView>
  </sheetViews>
  <sheetFormatPr defaultColWidth="9.28515625" defaultRowHeight="16.5" x14ac:dyDescent="0.3"/>
  <cols>
    <col min="1" max="1" width="2.7109375" style="5" customWidth="1"/>
    <col min="2" max="2" width="1.42578125" style="5" customWidth="1"/>
    <col min="3" max="3" width="4.5703125" style="5" customWidth="1"/>
    <col min="4" max="4" width="2.7109375" style="5" customWidth="1"/>
    <col min="5" max="5" width="7" style="5" customWidth="1"/>
    <col min="6" max="6" width="5.42578125" style="5" customWidth="1"/>
    <col min="7" max="7" width="3.42578125" style="5" customWidth="1"/>
    <col min="8" max="8" width="2.5703125" style="5" customWidth="1"/>
    <col min="9" max="9" width="7.42578125" style="5" customWidth="1"/>
    <col min="10" max="10" width="3.28515625" style="5" customWidth="1"/>
    <col min="11" max="11" width="4.7109375" style="5" customWidth="1"/>
    <col min="12" max="12" width="4.28515625" style="5" customWidth="1"/>
    <col min="13" max="13" width="7.42578125" style="5" customWidth="1"/>
    <col min="14" max="14" width="2.5703125" style="5" customWidth="1"/>
    <col min="15" max="15" width="4.42578125" style="5" customWidth="1"/>
    <col min="16" max="16" width="7" style="5" customWidth="1"/>
    <col min="17" max="17" width="5.28515625" style="5" customWidth="1"/>
    <col min="18" max="18" width="12.7109375" style="5" customWidth="1"/>
    <col min="19" max="19" width="3" style="5" customWidth="1"/>
    <col min="20" max="20" width="11.7109375" style="5" customWidth="1"/>
    <col min="21" max="21" width="2" style="5" customWidth="1"/>
    <col min="22" max="16384" width="9.28515625" style="5"/>
  </cols>
  <sheetData>
    <row r="1" spans="1:21" ht="14.25" customHeight="1" x14ac:dyDescent="0.3">
      <c r="U1" s="58"/>
    </row>
    <row r="2" spans="1:21" x14ac:dyDescent="0.3">
      <c r="A2" s="21" t="s">
        <v>829</v>
      </c>
      <c r="B2" s="21"/>
      <c r="C2" s="90"/>
      <c r="D2" s="1234">
        <f>FORM!G30</f>
        <v>0</v>
      </c>
      <c r="E2" s="1234"/>
      <c r="F2" s="1234"/>
      <c r="G2" s="1234"/>
      <c r="H2" s="1234"/>
      <c r="I2" s="1234"/>
      <c r="J2" s="1234"/>
      <c r="K2" s="1234"/>
      <c r="L2" s="1234"/>
      <c r="M2" s="1234"/>
      <c r="N2" s="1234"/>
      <c r="O2" s="1234"/>
      <c r="P2" s="1234"/>
      <c r="Q2" s="1234"/>
      <c r="R2" s="21"/>
      <c r="S2" s="21"/>
      <c r="T2" s="21"/>
      <c r="U2" s="23" t="s">
        <v>830</v>
      </c>
    </row>
    <row r="3" spans="1:21" x14ac:dyDescent="0.3">
      <c r="A3" s="1234">
        <f>FORM!G34</f>
        <v>0</v>
      </c>
      <c r="B3" s="1234"/>
      <c r="C3" s="1234"/>
      <c r="D3" s="1234"/>
      <c r="E3" s="1234"/>
      <c r="F3" s="1234"/>
      <c r="G3" s="1234"/>
      <c r="H3" s="1234"/>
      <c r="I3" s="1234"/>
      <c r="J3" s="1234"/>
      <c r="K3" s="1234"/>
      <c r="L3" s="1234"/>
      <c r="M3" s="1234"/>
      <c r="N3" s="1234"/>
      <c r="O3" s="1234"/>
      <c r="P3" s="1234"/>
      <c r="Q3" s="1234"/>
      <c r="R3" s="21"/>
      <c r="S3" s="21"/>
      <c r="T3" s="21"/>
      <c r="U3" s="23" t="s">
        <v>831</v>
      </c>
    </row>
    <row r="4" spans="1:21" ht="16.5" customHeight="1" x14ac:dyDescent="0.3">
      <c r="A4" s="1233" t="s">
        <v>832</v>
      </c>
      <c r="B4" s="1233"/>
      <c r="C4" s="1233"/>
      <c r="D4" s="1233"/>
      <c r="E4" s="1233"/>
      <c r="F4" s="1233"/>
      <c r="G4" s="1233"/>
      <c r="H4" s="1233"/>
      <c r="I4" s="1233"/>
      <c r="J4" s="1233"/>
      <c r="K4" s="1233"/>
      <c r="L4" s="1233"/>
      <c r="M4" s="1233"/>
      <c r="N4" s="1233"/>
      <c r="O4" s="1233"/>
      <c r="P4" s="1233"/>
      <c r="Q4" s="1233"/>
      <c r="R4" s="1233"/>
      <c r="S4" s="1233"/>
      <c r="T4" s="1233"/>
      <c r="U4" s="1233"/>
    </row>
    <row r="5" spans="1:21" x14ac:dyDescent="0.3">
      <c r="A5" s="1233"/>
      <c r="B5" s="1233"/>
      <c r="C5" s="1233"/>
      <c r="D5" s="1233"/>
      <c r="E5" s="1233"/>
      <c r="F5" s="1233"/>
      <c r="G5" s="1233"/>
      <c r="H5" s="1233"/>
      <c r="I5" s="1233"/>
      <c r="J5" s="1233"/>
      <c r="K5" s="1233"/>
      <c r="L5" s="1233"/>
      <c r="M5" s="1233"/>
      <c r="N5" s="1233"/>
      <c r="O5" s="1233"/>
      <c r="P5" s="1233"/>
      <c r="Q5" s="1233"/>
      <c r="R5" s="1233"/>
      <c r="S5" s="1233"/>
      <c r="T5" s="1233"/>
      <c r="U5" s="1233"/>
    </row>
    <row r="6" spans="1:21" ht="9" customHeight="1" x14ac:dyDescent="0.3">
      <c r="A6" s="21"/>
      <c r="B6" s="21"/>
      <c r="C6" s="21"/>
      <c r="D6" s="21"/>
      <c r="E6" s="21"/>
      <c r="F6" s="21"/>
      <c r="G6" s="21"/>
      <c r="H6" s="21"/>
      <c r="I6" s="21"/>
      <c r="J6" s="21"/>
      <c r="K6" s="21"/>
      <c r="L6" s="21"/>
      <c r="M6" s="21"/>
      <c r="N6" s="21"/>
      <c r="O6" s="21"/>
      <c r="P6" s="21"/>
      <c r="Q6" s="21"/>
      <c r="R6" s="21"/>
      <c r="S6" s="21"/>
      <c r="T6" s="21"/>
      <c r="U6" s="21"/>
    </row>
    <row r="7" spans="1:21" ht="16.5" customHeight="1" x14ac:dyDescent="0.3">
      <c r="A7" s="21" t="s">
        <v>833</v>
      </c>
      <c r="B7" s="21"/>
      <c r="C7" s="21"/>
      <c r="D7" s="21"/>
      <c r="E7" s="21"/>
      <c r="F7" s="21"/>
      <c r="G7" s="21"/>
      <c r="H7" s="1234" t="str">
        <f>FORM!Z13</f>
        <v>WEE COMMUNITY DEVELOPERS, INC.</v>
      </c>
      <c r="I7" s="1234"/>
      <c r="J7" s="1234"/>
      <c r="K7" s="1234"/>
      <c r="L7" s="1234"/>
      <c r="M7" s="1234"/>
      <c r="N7" s="98"/>
      <c r="O7" s="98"/>
      <c r="P7" s="21"/>
      <c r="Q7" s="21"/>
      <c r="R7" s="21"/>
      <c r="S7" s="21"/>
      <c r="T7" s="21"/>
      <c r="U7" s="23" t="s">
        <v>834</v>
      </c>
    </row>
    <row r="8" spans="1:21" x14ac:dyDescent="0.3">
      <c r="A8" s="1235" t="s">
        <v>835</v>
      </c>
      <c r="B8" s="1235"/>
      <c r="C8" s="1235"/>
      <c r="D8" s="1235"/>
      <c r="E8" s="1235"/>
      <c r="F8" s="1235"/>
      <c r="G8" s="1235"/>
      <c r="H8" s="1235"/>
      <c r="I8" s="1235"/>
      <c r="J8" s="1235"/>
      <c r="K8" s="1235"/>
      <c r="L8" s="1235"/>
      <c r="M8" s="1235"/>
      <c r="N8" s="1235"/>
      <c r="O8" s="1235"/>
      <c r="P8" s="1235"/>
      <c r="Q8" s="1235"/>
      <c r="R8" s="1235"/>
      <c r="S8" s="1235"/>
      <c r="T8" s="1235"/>
      <c r="U8" s="1235"/>
    </row>
    <row r="9" spans="1:21" x14ac:dyDescent="0.3">
      <c r="A9" s="1240" t="str">
        <f>FORM!Z14</f>
        <v>166 A. Mabini Street, Addition Hills, San Juan City</v>
      </c>
      <c r="B9" s="1240"/>
      <c r="C9" s="1240"/>
      <c r="D9" s="1240"/>
      <c r="E9" s="1240"/>
      <c r="F9" s="1240"/>
      <c r="G9" s="1240"/>
      <c r="H9" s="1240"/>
      <c r="I9" s="1240"/>
      <c r="J9" s="1240"/>
      <c r="K9" s="1240"/>
      <c r="L9" s="1240"/>
      <c r="M9" s="1240"/>
      <c r="N9" s="1240"/>
      <c r="O9" s="1240"/>
      <c r="P9" s="1240"/>
      <c r="Q9" s="21"/>
      <c r="R9" s="21"/>
      <c r="S9" s="21"/>
      <c r="T9" s="21"/>
      <c r="U9" s="23" t="s">
        <v>836</v>
      </c>
    </row>
    <row r="10" spans="1:21" x14ac:dyDescent="0.3">
      <c r="A10" s="21" t="s">
        <v>837</v>
      </c>
      <c r="B10" s="21"/>
      <c r="C10" s="21"/>
      <c r="D10" s="21"/>
      <c r="E10" s="21"/>
      <c r="F10" s="21"/>
      <c r="G10" s="21"/>
      <c r="H10" s="21"/>
      <c r="I10" s="1234" t="str">
        <f>FORM!G11</f>
        <v>WEECOMM CENTRE</v>
      </c>
      <c r="J10" s="1234"/>
      <c r="K10" s="1234"/>
      <c r="L10" s="1234"/>
      <c r="M10" s="1234"/>
      <c r="N10" s="1234"/>
      <c r="O10" s="1234"/>
      <c r="P10" s="1234"/>
      <c r="Q10" s="1234"/>
      <c r="R10" s="1234"/>
      <c r="S10" s="1234"/>
      <c r="T10" s="1234"/>
      <c r="U10" s="1234"/>
    </row>
    <row r="11" spans="1:21" x14ac:dyDescent="0.3">
      <c r="A11" s="21" t="s">
        <v>838</v>
      </c>
      <c r="B11" s="21"/>
      <c r="C11" s="21"/>
      <c r="D11" s="21"/>
      <c r="E11" s="21"/>
      <c r="F11" s="21"/>
      <c r="G11" s="21"/>
      <c r="H11" s="21"/>
      <c r="I11" s="21"/>
      <c r="J11" s="21"/>
      <c r="K11" s="21"/>
      <c r="L11" s="21"/>
      <c r="M11" s="1229" t="str">
        <f>'RA_Step up'!M12:U12</f>
        <v>#54 Tinio St. Barangay Addition Hills, Mandaluyong City</v>
      </c>
      <c r="N11" s="1229"/>
      <c r="O11" s="1229"/>
      <c r="P11" s="1229"/>
      <c r="Q11" s="1229"/>
      <c r="R11" s="1229"/>
      <c r="S11" s="1229"/>
      <c r="T11" s="1229"/>
      <c r="U11" s="1229"/>
    </row>
    <row r="12" spans="1:21" x14ac:dyDescent="0.3">
      <c r="A12" s="21" t="s">
        <v>839</v>
      </c>
      <c r="B12" s="21"/>
      <c r="C12" s="21"/>
      <c r="D12" s="21"/>
      <c r="E12" s="21"/>
      <c r="F12" s="21"/>
      <c r="G12" s="21"/>
      <c r="H12" s="21"/>
      <c r="I12" s="21"/>
      <c r="J12" s="21"/>
      <c r="K12" s="1241" t="str">
        <f>RA_SE7D!K13</f>
        <v>2-BR BARE</v>
      </c>
      <c r="L12" s="1234"/>
      <c r="M12" s="1234"/>
      <c r="N12" s="1234"/>
      <c r="O12" s="1234"/>
      <c r="P12" s="1234"/>
      <c r="Q12" s="1234"/>
      <c r="R12" s="1234"/>
      <c r="S12" s="1234"/>
      <c r="T12" s="1234"/>
      <c r="U12" s="1234"/>
    </row>
    <row r="13" spans="1:21" ht="13.5" customHeight="1" x14ac:dyDescent="0.3">
      <c r="A13" s="21" t="s">
        <v>840</v>
      </c>
      <c r="B13" s="21"/>
      <c r="C13" s="21"/>
      <c r="D13" s="21"/>
      <c r="E13" s="21"/>
      <c r="F13" s="21"/>
      <c r="G13" s="21"/>
      <c r="H13" s="21"/>
      <c r="I13" s="21"/>
      <c r="J13" s="21"/>
      <c r="K13" s="21"/>
      <c r="L13" s="21"/>
      <c r="M13" s="21"/>
      <c r="N13" s="21"/>
      <c r="O13" s="21"/>
      <c r="P13" s="21"/>
      <c r="Q13" s="21"/>
      <c r="R13" s="21"/>
      <c r="S13" s="21"/>
      <c r="T13" s="21"/>
      <c r="U13" s="21"/>
    </row>
    <row r="14" spans="1:21" x14ac:dyDescent="0.3">
      <c r="A14" s="21"/>
      <c r="B14" s="21"/>
      <c r="C14" s="21"/>
      <c r="D14" s="21"/>
      <c r="E14" s="21"/>
      <c r="F14" s="21"/>
      <c r="G14" s="21"/>
      <c r="H14" s="21"/>
      <c r="I14" s="21"/>
      <c r="J14" s="21"/>
      <c r="K14" s="21"/>
      <c r="L14" s="21"/>
      <c r="M14" s="21"/>
      <c r="N14" s="21"/>
      <c r="O14" s="21"/>
      <c r="P14" s="21"/>
      <c r="Q14" s="21"/>
      <c r="R14" s="21"/>
      <c r="S14" s="21"/>
      <c r="T14" s="21"/>
      <c r="U14" s="21"/>
    </row>
    <row r="15" spans="1:21" x14ac:dyDescent="0.3">
      <c r="A15" s="25" t="s">
        <v>781</v>
      </c>
      <c r="B15" s="26"/>
      <c r="C15" s="26"/>
      <c r="D15" s="24"/>
      <c r="E15" s="1229" t="str">
        <f>FORM!G11</f>
        <v>WEECOMM CENTRE</v>
      </c>
      <c r="F15" s="1229"/>
      <c r="G15" s="1229"/>
      <c r="H15" s="1229"/>
      <c r="I15" s="1229"/>
      <c r="J15" s="1229"/>
      <c r="K15" s="1229"/>
      <c r="L15" s="1229"/>
      <c r="M15" s="1229"/>
      <c r="N15" s="1229"/>
      <c r="O15" s="1229"/>
      <c r="P15" s="1229"/>
      <c r="Q15" s="1229"/>
      <c r="R15" s="1229"/>
      <c r="S15" s="1229"/>
      <c r="T15" s="1229"/>
      <c r="U15" s="62"/>
    </row>
    <row r="16" spans="1:21" x14ac:dyDescent="0.3">
      <c r="A16" s="27" t="s">
        <v>782</v>
      </c>
      <c r="B16" s="28"/>
      <c r="C16" s="28"/>
      <c r="D16" s="29"/>
      <c r="E16" s="30" t="s">
        <v>841</v>
      </c>
      <c r="F16" s="29"/>
      <c r="G16" s="29"/>
      <c r="H16" s="29"/>
      <c r="I16" s="29"/>
      <c r="J16" s="29"/>
      <c r="K16" s="29"/>
      <c r="L16" s="60" t="s">
        <v>842</v>
      </c>
      <c r="M16" s="29"/>
      <c r="N16" s="29"/>
      <c r="O16" s="29"/>
      <c r="P16" s="29"/>
      <c r="Q16" s="29"/>
      <c r="R16" s="29"/>
      <c r="S16" s="29"/>
      <c r="T16" s="30" t="s">
        <v>843</v>
      </c>
      <c r="U16" s="59"/>
    </row>
    <row r="17" spans="1:21" x14ac:dyDescent="0.3">
      <c r="A17" s="31"/>
      <c r="B17" s="8"/>
      <c r="C17" s="8"/>
      <c r="D17" s="8"/>
      <c r="E17" s="32" t="s">
        <v>844</v>
      </c>
      <c r="F17" s="8"/>
      <c r="G17" s="8"/>
      <c r="H17" s="8"/>
      <c r="I17" s="8"/>
      <c r="J17" s="8"/>
      <c r="K17" s="8"/>
      <c r="L17" s="32" t="s">
        <v>786</v>
      </c>
      <c r="M17" s="8"/>
      <c r="N17" s="8"/>
      <c r="O17" s="8"/>
      <c r="P17" s="8"/>
      <c r="Q17" s="8"/>
      <c r="R17" s="8"/>
      <c r="S17" s="8"/>
      <c r="T17" s="32" t="s">
        <v>845</v>
      </c>
      <c r="U17" s="33"/>
    </row>
    <row r="18" spans="1:21" x14ac:dyDescent="0.3">
      <c r="T18" s="5" t="s">
        <v>660</v>
      </c>
    </row>
    <row r="19" spans="1:21" x14ac:dyDescent="0.3">
      <c r="A19" s="1230" t="s">
        <v>784</v>
      </c>
      <c r="B19" s="1231"/>
      <c r="C19" s="1231"/>
      <c r="D19" s="1231"/>
      <c r="E19" s="1231"/>
      <c r="F19" s="1232"/>
      <c r="G19" s="1230" t="s">
        <v>267</v>
      </c>
      <c r="H19" s="1231"/>
      <c r="I19" s="1231"/>
      <c r="J19" s="1231"/>
      <c r="K19" s="1231"/>
      <c r="L19" s="1232"/>
      <c r="M19" s="1230" t="s">
        <v>785</v>
      </c>
      <c r="N19" s="1231"/>
      <c r="O19" s="1231"/>
      <c r="P19" s="1231"/>
      <c r="Q19" s="1232"/>
      <c r="R19" s="1230" t="s">
        <v>786</v>
      </c>
      <c r="S19" s="1231"/>
      <c r="T19" s="1231"/>
      <c r="U19" s="1232"/>
    </row>
    <row r="20" spans="1:21" x14ac:dyDescent="0.3">
      <c r="A20" s="40" t="s">
        <v>787</v>
      </c>
      <c r="B20" s="41"/>
      <c r="C20" s="41"/>
      <c r="D20" s="1193">
        <f>FORM!G14</f>
        <v>1</v>
      </c>
      <c r="E20" s="1194"/>
      <c r="F20" s="1195"/>
      <c r="G20" s="40" t="s">
        <v>787</v>
      </c>
      <c r="H20" s="41"/>
      <c r="I20" s="42"/>
      <c r="J20" s="1207"/>
      <c r="K20" s="1208"/>
      <c r="L20" s="1209"/>
      <c r="M20" s="40" t="s">
        <v>788</v>
      </c>
      <c r="N20" s="41"/>
      <c r="O20" s="42"/>
      <c r="P20" s="1210"/>
      <c r="Q20" s="1197"/>
      <c r="R20" s="1211" t="s">
        <v>787</v>
      </c>
      <c r="S20" s="1212"/>
      <c r="T20" s="1213"/>
      <c r="U20" s="1214"/>
    </row>
    <row r="21" spans="1:21" x14ac:dyDescent="0.3">
      <c r="A21" s="36" t="s">
        <v>789</v>
      </c>
      <c r="B21" s="37"/>
      <c r="C21" s="37"/>
      <c r="D21" s="1193" t="str">
        <f>'RA_Step up'!D22:E22</f>
        <v>GF</v>
      </c>
      <c r="E21" s="1194"/>
      <c r="F21" s="55"/>
      <c r="G21" s="40" t="s">
        <v>790</v>
      </c>
      <c r="H21" s="41"/>
      <c r="I21" s="42"/>
      <c r="J21" s="1207"/>
      <c r="K21" s="1208"/>
      <c r="L21" s="1209"/>
      <c r="M21" s="40" t="s">
        <v>791</v>
      </c>
      <c r="N21" s="41"/>
      <c r="O21" s="42"/>
      <c r="P21" s="1210"/>
      <c r="Q21" s="1197"/>
      <c r="R21" s="1211" t="s">
        <v>792</v>
      </c>
      <c r="S21" s="1212"/>
      <c r="T21" s="1213"/>
      <c r="U21" s="1214"/>
    </row>
    <row r="22" spans="1:21" x14ac:dyDescent="0.3">
      <c r="A22" s="40" t="s">
        <v>792</v>
      </c>
      <c r="B22" s="41"/>
      <c r="C22" s="42"/>
      <c r="D22" s="1193" t="str">
        <f>'RA_Step up'!D23:E23</f>
        <v>9G</v>
      </c>
      <c r="E22" s="1194"/>
      <c r="F22" s="55"/>
      <c r="G22" s="40" t="s">
        <v>793</v>
      </c>
      <c r="H22" s="41"/>
      <c r="I22" s="42"/>
      <c r="J22" s="1207"/>
      <c r="K22" s="1208"/>
      <c r="L22" s="1209"/>
      <c r="M22" s="40" t="s">
        <v>794</v>
      </c>
      <c r="N22" s="41"/>
      <c r="O22" s="42"/>
      <c r="P22" s="1210"/>
      <c r="Q22" s="1197"/>
      <c r="R22" s="1211" t="s">
        <v>795</v>
      </c>
      <c r="S22" s="1212"/>
      <c r="T22" s="1213"/>
      <c r="U22" s="1214"/>
    </row>
    <row r="23" spans="1:21" ht="16.5" customHeight="1" x14ac:dyDescent="0.3">
      <c r="A23" s="36" t="s">
        <v>80</v>
      </c>
      <c r="B23" s="37"/>
      <c r="C23" s="37"/>
      <c r="D23" s="1242">
        <f>'STANDARD COMP.'!E13</f>
        <v>108.78</v>
      </c>
      <c r="E23" s="1243"/>
      <c r="F23" s="55" t="s">
        <v>693</v>
      </c>
      <c r="G23" s="40" t="s">
        <v>795</v>
      </c>
      <c r="H23" s="41"/>
      <c r="I23" s="42"/>
      <c r="J23" s="1207"/>
      <c r="K23" s="1208"/>
      <c r="L23" s="1209"/>
      <c r="M23" s="36" t="s">
        <v>846</v>
      </c>
      <c r="N23" s="37"/>
      <c r="O23" s="37"/>
      <c r="P23" s="1210"/>
      <c r="Q23" s="1197"/>
      <c r="R23" s="1215" t="s">
        <v>796</v>
      </c>
      <c r="S23" s="1216"/>
      <c r="T23" s="1221"/>
      <c r="U23" s="1222"/>
    </row>
    <row r="24" spans="1:21" x14ac:dyDescent="0.3">
      <c r="A24" s="40" t="s">
        <v>797</v>
      </c>
      <c r="B24" s="41"/>
      <c r="C24" s="42"/>
      <c r="D24" s="1237" t="str">
        <f>K12</f>
        <v>2-BR BARE</v>
      </c>
      <c r="E24" s="1194"/>
      <c r="F24" s="1195"/>
      <c r="G24" s="40" t="s">
        <v>798</v>
      </c>
      <c r="H24" s="41"/>
      <c r="I24" s="42"/>
      <c r="J24" s="1207"/>
      <c r="K24" s="1208"/>
      <c r="L24" s="1209"/>
      <c r="M24" s="40" t="s">
        <v>800</v>
      </c>
      <c r="N24" s="41"/>
      <c r="O24" s="42"/>
      <c r="P24" s="1193"/>
      <c r="Q24" s="1195"/>
      <c r="R24" s="1219"/>
      <c r="S24" s="1220"/>
      <c r="T24" s="1225"/>
      <c r="U24" s="1226"/>
    </row>
    <row r="26" spans="1:21" x14ac:dyDescent="0.3">
      <c r="A26" s="40" t="s">
        <v>37</v>
      </c>
      <c r="B26" s="41"/>
      <c r="C26" s="41"/>
      <c r="D26" s="41"/>
      <c r="E26" s="41"/>
      <c r="F26" s="41"/>
      <c r="G26" s="41"/>
      <c r="H26" s="42"/>
      <c r="I26" s="1199">
        <f>'SPOT EQUITY_30DAYS'!F16</f>
        <v>20466686.730335645</v>
      </c>
      <c r="J26" s="1200"/>
      <c r="K26" s="1200"/>
      <c r="L26" s="1200"/>
      <c r="M26" s="1200"/>
      <c r="N26" s="1200"/>
      <c r="O26" s="1200"/>
      <c r="P26" s="1200"/>
      <c r="Q26" s="1200"/>
      <c r="R26" s="1200"/>
      <c r="S26" s="1200"/>
      <c r="T26" s="1200"/>
      <c r="U26" s="1201"/>
    </row>
    <row r="27" spans="1:21" x14ac:dyDescent="0.3">
      <c r="A27" s="40" t="s">
        <v>801</v>
      </c>
      <c r="B27" s="41"/>
      <c r="C27" s="43"/>
      <c r="D27" s="43"/>
      <c r="E27" s="43"/>
      <c r="F27" s="43"/>
      <c r="G27" s="43"/>
      <c r="H27" s="44"/>
      <c r="I27" s="1202">
        <f>'SPOT EQUITY_30DAYS'!F18</f>
        <v>0</v>
      </c>
      <c r="J27" s="1203"/>
      <c r="K27" s="1203"/>
      <c r="L27" s="1203"/>
      <c r="M27" s="1203"/>
      <c r="N27" s="1203"/>
      <c r="O27" s="1203"/>
      <c r="P27" s="1203"/>
      <c r="Q27" s="1203"/>
      <c r="R27" s="1203"/>
      <c r="S27" s="1203"/>
      <c r="T27" s="1203"/>
      <c r="U27" s="1204"/>
    </row>
    <row r="28" spans="1:21" x14ac:dyDescent="0.3">
      <c r="A28" s="52" t="s">
        <v>92</v>
      </c>
      <c r="B28" s="53"/>
      <c r="C28" s="54"/>
      <c r="D28" s="54"/>
      <c r="E28" s="54"/>
      <c r="F28" s="54"/>
      <c r="G28" s="54"/>
      <c r="H28" s="51"/>
      <c r="I28" s="1199">
        <f>'SPOT EQUITY_30DAYS'!F19</f>
        <v>20313186.579858128</v>
      </c>
      <c r="J28" s="1200"/>
      <c r="K28" s="1200"/>
      <c r="L28" s="1200"/>
      <c r="M28" s="1200"/>
      <c r="N28" s="1200"/>
      <c r="O28" s="1200"/>
      <c r="P28" s="1200"/>
      <c r="Q28" s="1200"/>
      <c r="R28" s="1200"/>
      <c r="S28" s="1200"/>
      <c r="T28" s="1200"/>
      <c r="U28" s="1201"/>
    </row>
    <row r="29" spans="1:21" x14ac:dyDescent="0.3">
      <c r="A29" s="40" t="s">
        <v>802</v>
      </c>
      <c r="B29" s="41"/>
      <c r="C29" s="43"/>
      <c r="D29" s="43"/>
      <c r="E29" s="43"/>
      <c r="F29" s="43"/>
      <c r="G29" s="43"/>
      <c r="H29" s="44"/>
      <c r="I29" s="1199">
        <f>'SPOT EQUITY_30DAYS'!F21</f>
        <v>2046668.6730335646</v>
      </c>
      <c r="J29" s="1200"/>
      <c r="K29" s="1200"/>
      <c r="L29" s="1200"/>
      <c r="M29" s="1200"/>
      <c r="N29" s="1200"/>
      <c r="O29" s="1200"/>
      <c r="P29" s="1200"/>
      <c r="Q29" s="1200"/>
      <c r="R29" s="1200"/>
      <c r="S29" s="1200"/>
      <c r="T29" s="1200"/>
      <c r="U29" s="1201"/>
    </row>
    <row r="30" spans="1:21" x14ac:dyDescent="0.3">
      <c r="A30" s="40" t="s">
        <v>803</v>
      </c>
      <c r="B30" s="41"/>
      <c r="C30" s="43"/>
      <c r="D30" s="43"/>
      <c r="E30" s="43"/>
      <c r="F30" s="43"/>
      <c r="G30" s="43"/>
      <c r="H30" s="44"/>
      <c r="I30" s="1199">
        <f>'SPOT EQUITY_30DAYS'!F22</f>
        <v>2437582.3895829753</v>
      </c>
      <c r="J30" s="1200"/>
      <c r="K30" s="1200"/>
      <c r="L30" s="1200"/>
      <c r="M30" s="1200"/>
      <c r="N30" s="1200"/>
      <c r="O30" s="1200"/>
      <c r="P30" s="1200"/>
      <c r="Q30" s="1200"/>
      <c r="R30" s="1200"/>
      <c r="S30" s="1200"/>
      <c r="T30" s="1200"/>
      <c r="U30" s="1201"/>
    </row>
    <row r="31" spans="1:21" x14ac:dyDescent="0.3">
      <c r="A31" s="40" t="s">
        <v>41</v>
      </c>
      <c r="B31" s="41"/>
      <c r="C31" s="43"/>
      <c r="D31" s="43"/>
      <c r="E31" s="43"/>
      <c r="F31" s="43"/>
      <c r="G31" s="43"/>
      <c r="H31" s="44"/>
      <c r="I31" s="1199">
        <f>'SPOT EQUITY_30DAYS'!E24</f>
        <v>24797437.642474666</v>
      </c>
      <c r="J31" s="1200"/>
      <c r="K31" s="1200"/>
      <c r="L31" s="1200"/>
      <c r="M31" s="1200"/>
      <c r="N31" s="1200"/>
      <c r="O31" s="1200"/>
      <c r="P31" s="1200"/>
      <c r="Q31" s="1200"/>
      <c r="R31" s="1200"/>
      <c r="S31" s="1200"/>
      <c r="T31" s="1200"/>
      <c r="U31" s="1201"/>
    </row>
    <row r="33" spans="1:21" x14ac:dyDescent="0.3">
      <c r="A33" s="74" t="s">
        <v>848</v>
      </c>
      <c r="B33" s="45"/>
      <c r="C33" s="45"/>
      <c r="D33" s="45"/>
      <c r="E33" s="45"/>
      <c r="F33" s="45"/>
      <c r="G33" s="46"/>
      <c r="H33" s="46"/>
      <c r="I33" s="46"/>
      <c r="J33" s="46"/>
      <c r="K33" s="46"/>
      <c r="L33" s="46"/>
      <c r="M33" s="46"/>
      <c r="N33" s="46"/>
      <c r="O33" s="46"/>
      <c r="P33" s="46"/>
      <c r="Q33" s="46"/>
      <c r="R33" s="46"/>
      <c r="S33" s="46"/>
      <c r="T33" s="46"/>
      <c r="U33" s="47"/>
    </row>
    <row r="34" spans="1:21" ht="4.5" customHeight="1" x14ac:dyDescent="0.3">
      <c r="A34" s="34"/>
      <c r="B34" s="18"/>
      <c r="C34" s="18"/>
      <c r="D34" s="18"/>
      <c r="E34" s="18"/>
      <c r="F34" s="18"/>
      <c r="G34" s="18"/>
      <c r="H34" s="18"/>
      <c r="I34" s="18"/>
      <c r="J34" s="18"/>
      <c r="K34" s="18"/>
      <c r="L34" s="18"/>
      <c r="M34" s="18"/>
      <c r="N34" s="18"/>
      <c r="O34" s="18"/>
      <c r="P34" s="18"/>
      <c r="Q34" s="18"/>
      <c r="R34" s="18"/>
      <c r="S34" s="18"/>
      <c r="T34" s="18"/>
      <c r="U34" s="35"/>
    </row>
    <row r="35" spans="1:21" x14ac:dyDescent="0.3">
      <c r="A35" s="34"/>
      <c r="B35" s="18"/>
      <c r="C35" s="18"/>
      <c r="D35" s="18" t="s">
        <v>849</v>
      </c>
      <c r="E35" s="18"/>
      <c r="F35" s="18"/>
      <c r="G35" s="18"/>
      <c r="H35" s="18"/>
      <c r="I35" s="18"/>
      <c r="J35" s="18"/>
      <c r="K35" s="18"/>
      <c r="L35" s="18"/>
      <c r="M35" s="18" t="s">
        <v>850</v>
      </c>
      <c r="O35" s="18"/>
      <c r="P35" s="18"/>
      <c r="Q35" s="18"/>
      <c r="R35" s="18"/>
      <c r="S35" s="18" t="s">
        <v>851</v>
      </c>
      <c r="T35" s="18"/>
      <c r="U35" s="35"/>
    </row>
    <row r="36" spans="1:21" ht="4.5" customHeight="1" x14ac:dyDescent="0.3">
      <c r="A36" s="75"/>
      <c r="B36" s="32"/>
      <c r="C36" s="32"/>
      <c r="D36" s="32"/>
      <c r="E36" s="32"/>
      <c r="F36" s="32"/>
      <c r="G36" s="32"/>
      <c r="H36" s="32"/>
      <c r="I36" s="32"/>
      <c r="J36" s="32"/>
      <c r="K36" s="32"/>
      <c r="L36" s="32"/>
      <c r="M36" s="32"/>
      <c r="N36" s="32"/>
      <c r="O36" s="32"/>
      <c r="P36" s="32"/>
      <c r="Q36" s="32"/>
      <c r="R36" s="32"/>
      <c r="S36" s="32"/>
      <c r="T36" s="32"/>
      <c r="U36" s="76"/>
    </row>
    <row r="37" spans="1:21" ht="11.25" customHeight="1" x14ac:dyDescent="0.3"/>
    <row r="38" spans="1:21" x14ac:dyDescent="0.3">
      <c r="A38" s="6" t="s">
        <v>852</v>
      </c>
    </row>
    <row r="39" spans="1:21" ht="13.5" customHeight="1" x14ac:dyDescent="0.3">
      <c r="A39" s="77" t="s">
        <v>853</v>
      </c>
      <c r="C39" s="1247" t="s">
        <v>854</v>
      </c>
      <c r="D39" s="1247"/>
      <c r="E39" s="1247"/>
      <c r="F39" s="1247"/>
      <c r="G39" s="1247"/>
      <c r="H39" s="1247"/>
      <c r="I39" s="1247"/>
      <c r="J39" s="1247"/>
      <c r="K39" s="1247"/>
      <c r="L39" s="1247"/>
      <c r="M39" s="1247"/>
      <c r="N39" s="1247"/>
      <c r="O39" s="1250" t="str">
        <f>IF(OR(LEN(FLOOR(T39,1))=13,FLOOR(T39,1)&lt;=0),"Out of range",PROPER(SUBSTITUTE(CONCATENATE(CHOOSE(MID(TEXT(INT(T39),REPT(0,12)),1,1)+1,"","one hundred ","two hundred ","three hundred ","four hundred ","five hundred ","six hundred ","seven hundred ","eight hundred ","nine hundred "),CHOOSE(MID(TEXT(INT(T39),REPT(0,12)),2,1)+1,"",CHOOSE(MID(TEXT(INT(T39),REPT(0,12)),3,1)+1,"ten","eleven","twelve","thirteen","fourteen","fifteen","sixteen","seventeen","eighteen","nineteen"),"twenty","thirty","forty","fifty","sixty","seventy","eighty","ninety"),IF(VALUE(MID(TEXT(INT(T39),REPT(0,12)),2,1))&gt;1,CHOOSE(MID(TEXT(INT(T39),REPT(0,12)),3,1)+1,"","-one","-two","-three","-four","-five","-six","-seven","-eight","-nine"),IF(VALUE(MID(TEXT(INT(T39),REPT(0,12)),2,1))=0,CHOOSE(MID(TEXT(INT(T39),REPT(0,12)),3,1)+1,"","one","two","three","four","five","six","seven","eight","nine"),"")),IF(T39&gt;=10^9," billion ",""),CHOOSE(MID(TEXT(INT(T39),REPT(0,12)),4,1)+1,"","one hundred ","two hundred ","three hundred ","four hundred ","five hundred ","six hundred ","seven hundred ","eight hundred ","nine hundred "),CHOOSE(MID(TEXT(INT(T39),REPT(0,12)),5,1)+1,"",CHOOSE(MID(TEXT(INT(T39),REPT(0,12)),6,1)+1,"ten","eleven","twelve","thirteen","fourteen","fifteen","sixteen","seventeen","eighteen","nineteen"),"twenty","thirty","forty","fifty","sixty","seventy","eighty","ninety"),IF(VALUE(MID(TEXT(INT(T39),REPT(0,12)),5,1))&gt;1,CHOOSE(MID(TEXT(INT(T39),REPT(0,12)),6,1)+1,"","-one","-two","-three","-four","-five","-six","-seven","-eight","-nine"),IF(VALUE(MID(TEXT(INT(T39),REPT(0,12)),5,1))=0,CHOOSE(MID(TEXT(INT(T39),REPT(0,12)),6,1)+1,"","one","two","three","four","five","six","seven","eight","nine"),"")),IF(VALUE(MID(TEXT(INT(T39),REPT(0,12)),4,3))&gt;0," million ",""),CHOOSE(MID(TEXT(INT(T39),REPT(0,12)),7,1)+1,"","one hundred ","two hundred ","three hundred ","four hundred ","five hundred ","six hundred ","seven hundred ","eight hundred ","nine hundred "),CHOOSE(MID(TEXT(INT(T39),REPT(0,12)),8,1)+1,"",CHOOSE(MID(TEXT(INT(T39),REPT(0,12)),9,1)+1,"ten","eleven","twelve","thirteen","fourteen","fifteen","sixteen","seventeen","eighteen","nineteen"),"twenty","thirty","forty","fifty","sixty","seventy","eighty","ninety"),IF(VALUE(MID(TEXT(INT(T39),REPT(0,12)),8,1))&gt;1,CHOOSE(MID(TEXT(INT(T39),REPT(0,12)),9,1)+1,"","-one","-two","-three","-four","-five","-six","-seven","-eight","-nine"),IF(VALUE(MID(TEXT(INT(T39),REPT(0,12)),8,1))=0,CHOOSE(MID(TEXT(INT(T39),REPT(0,12)),9,1)+1,"","one","two","three","four","five","six","seven","eight","nine"),"")),IF(VALUE(MID(TEXT(INT(T39),REPT(0,12)),7,3))," thousand ",""),CHOOSE(MID(TEXT(INT(T39),REPT(0,12)),10,1)+1,"","one hundred ","two hundred ","three hundred ","four hundred ","five hundred ","six hundred ","seven hundred ","eight hundred ","nine hundred "),CHOOSE(MID(TEXT(INT(T39),REPT(0,12)),11,1)+1,"",CHOOSE(MID(TEXT(INT(T39),REPT(0,12)),12,1)+1,"ten","eleven","twelve","thirteen","fourteen","fifteen","sixteen","seventeen","eighteen","nineteen"),"twenty","thirty","forty","fifty","sixty","seventy","eighty","ninety"),IF(VALUE(MID(TEXT(INT(T39),REPT(0,12)),11,1))&gt;1,CHOOSE(MID(TEXT(INT(T39),REPT(0,12)),12,1)+1,"","-one","-two","-three","-four","-five","-six","-seven","-eight","-nine"),IF(VALUE(MID(TEXT(INT(T39),REPT(0,12)),11,1))=0,CHOOSE(MID(TEXT(INT(T39),REPT(0,12)),12,1)+1,"","one","two","three","four","five","six","seven","eight","nine"),""))),"  "," ")&amp;IF(FLOOR(T39,1)&gt;1," PESOS"," dollar"))&amp;IF(ISERROR(FIND(".",T39,1)),""," and "&amp;PROPER(IF(LEN(LEFT(TRIM(MID(SUBSTITUTE([22]Sheet1!A2,".",REPT(" ",255)),255,200)),2))=1,CHOOSE(1*LEFT(TRIM(MID(SUBSTITUTE([22]Sheet1!A2,".",REPT(" ",255)),255,200)),2),"ten","twenty","thirty","forty","fifty","sixty","seventy","eighty","ninety")&amp;" cents","")&amp;CONCATENATE(CHOOSE(MID(TEXT(INT(LEFT(TRIM(MID(SUBSTITUTE([22]Sheet1!A2,".",REPT(" ",255)),255,200)),2)),REPT(0,12)),11,1)+1,"",CHOOSE(MID(TEXT(INT(LEFT(TRIM(MID(SUBSTITUTE([22]Sheet1!A2,".",REPT(" ",255)),255,200)),2)),REPT(0,12)),12,1)+1,"ten","eleven","twelve","thirteen","fourteen","fifteen","sixteen","seventeen","eighteen","nineteen")&amp;" cents","twenty","thirty","forty","fifty","sixty","seventy","eighty","ninety"),IF(VALUE(MID(TEXT(INT(LEFT(TRIM(MID(SUBSTITUTE([22]Sheet1!A2,".",REPT(" ",255)),255,200)),2)),REPT(0,12)),11,1))&gt;1,CHOOSE(MID(TEXT(INT(LEFT(TRIM(MID(SUBSTITUTE([22]Sheet1!A2,".",REPT(" ",255)),255,200)),2)),REPT(0,12)),12,1)+1,"","-one","-two","-three","-four","-five","-six","-seven","-eight","-nine")&amp;" cents",IF(LEFT(TRIM(MID(SUBSTITUTE([22]Sheet1!A2,".",REPT(" ",255)),255,200)),2)="01","one cent",IF(LEFT(TRIM(MID(SUBSTITUTE([22]Sheet1!A2,".",REPT(" ",255)),255,200)),1)="0",CHOOSE(MID(TEXT(INT(LEFT(TRIM(MID(SUBSTITUTE([22]Sheet1!A2,".",REPT(" ",255)),255,200)),2)),REPT(0,12)),12,1)+1,"","one","two","three","four","five","six","seven","eight","nine")&amp;" cents","")))))))</f>
        <v>Fifty Thousand  Pesos</v>
      </c>
      <c r="P39" s="1250"/>
      <c r="Q39" s="1250"/>
      <c r="R39" s="1250"/>
      <c r="S39" s="97" t="s">
        <v>855</v>
      </c>
      <c r="T39" s="719">
        <f>FORM!G24</f>
        <v>50000</v>
      </c>
      <c r="U39" s="99" t="s">
        <v>856</v>
      </c>
    </row>
    <row r="40" spans="1:21" ht="13.5" customHeight="1" x14ac:dyDescent="0.3">
      <c r="A40" s="77"/>
      <c r="C40" s="100"/>
      <c r="D40" s="100"/>
      <c r="E40" s="100"/>
      <c r="F40" s="100"/>
      <c r="G40" s="100"/>
      <c r="H40" s="100"/>
      <c r="I40" s="100"/>
      <c r="J40" s="100"/>
      <c r="K40" s="100"/>
      <c r="L40" s="100"/>
      <c r="M40" s="100"/>
      <c r="N40" s="100"/>
      <c r="O40" s="84"/>
      <c r="P40" s="84"/>
      <c r="Q40" s="84"/>
      <c r="R40" s="84"/>
      <c r="S40" s="97"/>
      <c r="T40" s="85"/>
      <c r="U40" s="97"/>
    </row>
    <row r="41" spans="1:21" ht="13.5" customHeight="1" x14ac:dyDescent="0.3">
      <c r="A41" s="77"/>
      <c r="C41" s="100"/>
      <c r="D41" s="100"/>
      <c r="E41" s="100"/>
      <c r="F41" s="100"/>
      <c r="G41" s="100"/>
      <c r="H41" s="100"/>
      <c r="I41" s="100"/>
      <c r="J41" s="100"/>
      <c r="K41" s="100"/>
      <c r="L41" s="100"/>
      <c r="M41" s="100"/>
      <c r="N41" s="100"/>
      <c r="O41" s="84"/>
      <c r="P41" s="84"/>
      <c r="Q41" s="84"/>
      <c r="R41" s="84"/>
      <c r="S41" s="97"/>
      <c r="U41" s="97"/>
    </row>
    <row r="42" spans="1:21" ht="13.5" customHeight="1" x14ac:dyDescent="0.3">
      <c r="A42" s="77"/>
      <c r="C42" s="100"/>
      <c r="D42" s="100"/>
      <c r="E42" s="100"/>
      <c r="F42" s="100"/>
      <c r="G42" s="100"/>
      <c r="H42" s="100"/>
      <c r="I42" s="100"/>
      <c r="J42" s="100"/>
      <c r="K42" s="100"/>
      <c r="L42" s="100"/>
      <c r="M42" s="100"/>
      <c r="N42" s="100"/>
      <c r="O42" s="84"/>
      <c r="P42" s="84"/>
      <c r="Q42" s="84"/>
      <c r="R42" s="84"/>
      <c r="S42" s="97"/>
      <c r="T42" s="85"/>
      <c r="U42" s="97"/>
    </row>
    <row r="43" spans="1:21" ht="13.5" customHeight="1" x14ac:dyDescent="0.3">
      <c r="A43" s="77"/>
      <c r="C43" s="100"/>
      <c r="D43" s="100"/>
      <c r="E43" s="100"/>
      <c r="F43" s="100"/>
      <c r="G43" s="100"/>
      <c r="H43" s="100"/>
      <c r="I43" s="100"/>
      <c r="J43" s="100"/>
      <c r="K43" s="100"/>
      <c r="L43" s="100"/>
      <c r="M43" s="100"/>
      <c r="N43" s="100"/>
      <c r="O43" s="84"/>
      <c r="P43" s="84"/>
      <c r="Q43" s="84"/>
      <c r="R43" s="84"/>
      <c r="S43" s="97"/>
      <c r="T43" s="85"/>
      <c r="U43" s="97"/>
    </row>
    <row r="44" spans="1:21" ht="13.5" customHeight="1" x14ac:dyDescent="0.3">
      <c r="A44" s="77"/>
      <c r="C44" s="100"/>
      <c r="D44" s="100"/>
      <c r="E44" s="100"/>
      <c r="F44" s="100"/>
      <c r="G44" s="100"/>
      <c r="H44" s="100"/>
      <c r="I44" s="100"/>
      <c r="J44" s="100"/>
      <c r="K44" s="100"/>
      <c r="L44" s="100"/>
      <c r="M44" s="100"/>
      <c r="N44" s="100"/>
      <c r="O44" s="84"/>
      <c r="P44" s="84"/>
      <c r="Q44" s="84"/>
      <c r="R44" s="84"/>
      <c r="S44" s="97"/>
      <c r="T44" s="85"/>
      <c r="U44" s="97"/>
    </row>
    <row r="45" spans="1:21" ht="13.5" customHeight="1" x14ac:dyDescent="0.3">
      <c r="A45" s="77"/>
      <c r="C45" s="100"/>
      <c r="D45" s="100"/>
      <c r="E45" s="100"/>
      <c r="F45" s="100"/>
      <c r="G45" s="100"/>
      <c r="H45" s="100"/>
      <c r="I45" s="100"/>
      <c r="J45" s="100"/>
      <c r="K45" s="100"/>
      <c r="L45" s="100"/>
      <c r="M45" s="100"/>
      <c r="N45" s="100"/>
      <c r="O45" s="84"/>
      <c r="P45" s="84"/>
      <c r="Q45" s="84"/>
      <c r="R45" s="84"/>
      <c r="S45" s="97"/>
      <c r="T45" s="85"/>
      <c r="U45" s="97"/>
    </row>
    <row r="46" spans="1:21" ht="13.5" customHeight="1" x14ac:dyDescent="0.3">
      <c r="A46" s="77"/>
      <c r="C46" s="100"/>
      <c r="D46" s="100"/>
      <c r="E46" s="100"/>
      <c r="F46" s="100"/>
      <c r="G46" s="100"/>
      <c r="H46" s="100"/>
      <c r="I46" s="100"/>
      <c r="J46" s="100"/>
      <c r="K46" s="100"/>
      <c r="L46" s="100"/>
      <c r="M46" s="100"/>
      <c r="N46" s="100"/>
      <c r="O46" s="84"/>
      <c r="P46" s="84"/>
      <c r="Q46" s="84"/>
      <c r="R46" s="84"/>
      <c r="S46" s="97"/>
      <c r="T46" s="85"/>
      <c r="U46" s="97"/>
    </row>
    <row r="47" spans="1:21" ht="13.5" customHeight="1" x14ac:dyDescent="0.3">
      <c r="A47" s="77"/>
      <c r="C47" s="100"/>
      <c r="D47" s="100"/>
      <c r="E47" s="100"/>
      <c r="F47" s="100"/>
      <c r="G47" s="100"/>
      <c r="H47" s="100"/>
      <c r="I47" s="100"/>
      <c r="J47" s="100"/>
      <c r="K47" s="100"/>
      <c r="L47" s="100"/>
      <c r="M47" s="100"/>
      <c r="N47" s="100"/>
      <c r="O47" s="84"/>
      <c r="P47" s="84"/>
      <c r="Q47" s="84"/>
      <c r="R47" s="84"/>
      <c r="S47" s="97"/>
      <c r="T47" s="85"/>
      <c r="U47" s="97"/>
    </row>
    <row r="48" spans="1:21" ht="13.5" customHeight="1" x14ac:dyDescent="0.3">
      <c r="A48" s="77"/>
      <c r="C48" s="100"/>
      <c r="D48" s="100"/>
      <c r="E48" s="100"/>
      <c r="F48" s="100"/>
      <c r="G48" s="100"/>
      <c r="H48" s="100"/>
      <c r="I48" s="100"/>
      <c r="J48" s="100"/>
      <c r="K48" s="100"/>
      <c r="L48" s="100"/>
      <c r="M48" s="100"/>
      <c r="N48" s="100"/>
      <c r="O48" s="84"/>
      <c r="P48" s="84"/>
      <c r="Q48" s="84"/>
      <c r="R48" s="84"/>
      <c r="S48" s="97"/>
      <c r="T48" s="85"/>
      <c r="U48" s="97"/>
    </row>
    <row r="49" spans="1:21" ht="13.5" customHeight="1" x14ac:dyDescent="0.3">
      <c r="A49" s="77"/>
      <c r="C49" s="100"/>
      <c r="D49" s="100"/>
      <c r="E49" s="100"/>
      <c r="F49" s="100"/>
      <c r="G49" s="100"/>
      <c r="H49" s="100"/>
      <c r="I49" s="100"/>
      <c r="J49" s="100"/>
      <c r="K49" s="100"/>
      <c r="L49" s="100"/>
      <c r="M49" s="100"/>
      <c r="N49" s="100"/>
      <c r="O49" s="84"/>
      <c r="P49" s="84"/>
      <c r="Q49" s="84"/>
      <c r="R49" s="84"/>
      <c r="S49" s="97"/>
      <c r="T49" s="85"/>
      <c r="U49" s="97"/>
    </row>
    <row r="50" spans="1:21" ht="13.5" customHeight="1" x14ac:dyDescent="0.3">
      <c r="A50" s="77"/>
      <c r="C50" s="100"/>
      <c r="D50" s="100"/>
      <c r="E50" s="100"/>
      <c r="F50" s="100"/>
      <c r="G50" s="100"/>
      <c r="H50" s="100"/>
      <c r="I50" s="100"/>
      <c r="J50" s="100"/>
      <c r="K50" s="100"/>
      <c r="L50" s="100"/>
      <c r="M50" s="100"/>
      <c r="N50" s="100"/>
      <c r="O50" s="84"/>
      <c r="P50" s="84"/>
      <c r="Q50" s="84"/>
      <c r="R50" s="84"/>
      <c r="S50" s="97"/>
      <c r="T50" s="85"/>
      <c r="U50" s="97"/>
    </row>
    <row r="51" spans="1:21" ht="13.5" customHeight="1" x14ac:dyDescent="0.3">
      <c r="A51" s="77"/>
      <c r="C51" s="100"/>
      <c r="D51" s="100"/>
      <c r="E51" s="100"/>
      <c r="F51" s="100"/>
      <c r="G51" s="100"/>
      <c r="H51" s="100"/>
      <c r="I51" s="100"/>
      <c r="J51" s="100"/>
      <c r="K51" s="100"/>
      <c r="L51" s="100"/>
      <c r="M51" s="100"/>
      <c r="N51" s="100"/>
      <c r="O51" s="84"/>
      <c r="P51" s="84"/>
      <c r="Q51" s="84"/>
      <c r="R51" s="84"/>
      <c r="S51" s="97"/>
      <c r="T51" s="85"/>
      <c r="U51" s="97"/>
    </row>
    <row r="52" spans="1:21" ht="13.5" customHeight="1" x14ac:dyDescent="0.3">
      <c r="A52" s="77"/>
      <c r="C52" s="100"/>
      <c r="D52" s="100"/>
      <c r="E52" s="100"/>
      <c r="F52" s="100"/>
      <c r="G52" s="100"/>
      <c r="H52" s="100"/>
      <c r="I52" s="100"/>
      <c r="J52" s="100"/>
      <c r="K52" s="100"/>
      <c r="L52" s="100"/>
      <c r="M52" s="100"/>
      <c r="N52" s="100"/>
      <c r="O52" s="84"/>
      <c r="P52" s="84"/>
      <c r="Q52" s="84"/>
      <c r="R52" s="84"/>
      <c r="S52" s="97"/>
      <c r="T52" s="85"/>
      <c r="U52" s="97"/>
    </row>
    <row r="53" spans="1:21" ht="13.5" customHeight="1" x14ac:dyDescent="0.3">
      <c r="A53" s="77"/>
      <c r="C53" s="100"/>
      <c r="D53" s="100"/>
      <c r="E53" s="100"/>
      <c r="F53" s="100"/>
      <c r="G53" s="100"/>
      <c r="H53" s="100"/>
      <c r="I53" s="100"/>
      <c r="J53" s="100"/>
      <c r="K53" s="100"/>
      <c r="L53" s="100"/>
      <c r="M53" s="100"/>
      <c r="N53" s="100"/>
      <c r="O53" s="84"/>
      <c r="P53" s="84"/>
      <c r="Q53" s="84"/>
      <c r="R53" s="84"/>
      <c r="S53" s="97"/>
      <c r="T53" s="85"/>
      <c r="U53" s="97"/>
    </row>
    <row r="54" spans="1:21" ht="13.5" customHeight="1" x14ac:dyDescent="0.3">
      <c r="A54" s="77"/>
      <c r="C54" s="100"/>
      <c r="D54" s="100"/>
      <c r="E54" s="100"/>
      <c r="F54" s="100"/>
      <c r="G54" s="100"/>
      <c r="H54" s="100"/>
      <c r="I54" s="100"/>
      <c r="J54" s="100"/>
      <c r="K54" s="100"/>
      <c r="L54" s="100"/>
      <c r="M54" s="100"/>
      <c r="N54" s="100"/>
      <c r="O54" s="84"/>
      <c r="P54" s="84"/>
      <c r="Q54" s="84"/>
      <c r="R54" s="84"/>
      <c r="S54" s="97"/>
      <c r="T54" s="85"/>
      <c r="U54" s="97"/>
    </row>
    <row r="55" spans="1:21" ht="13.5" customHeight="1" x14ac:dyDescent="0.3">
      <c r="A55" s="77"/>
      <c r="C55" s="100"/>
      <c r="D55" s="100"/>
      <c r="E55" s="100"/>
      <c r="F55" s="100"/>
      <c r="G55" s="100"/>
      <c r="H55" s="100"/>
      <c r="I55" s="100"/>
      <c r="J55" s="100"/>
      <c r="K55" s="100"/>
      <c r="L55" s="100"/>
      <c r="M55" s="100"/>
      <c r="N55" s="100"/>
      <c r="O55" s="84"/>
      <c r="P55" s="84"/>
      <c r="Q55" s="84"/>
      <c r="R55" s="84"/>
      <c r="S55" s="97"/>
      <c r="T55" s="85"/>
      <c r="U55" s="97"/>
    </row>
    <row r="56" spans="1:21" ht="13.5" customHeight="1" x14ac:dyDescent="0.3">
      <c r="A56" s="77"/>
      <c r="C56" s="100"/>
      <c r="D56" s="100"/>
      <c r="E56" s="100"/>
      <c r="F56" s="100"/>
      <c r="G56" s="100"/>
      <c r="H56" s="100"/>
      <c r="I56" s="100"/>
      <c r="J56" s="100"/>
      <c r="K56" s="100"/>
      <c r="L56" s="100"/>
      <c r="M56" s="100"/>
      <c r="N56" s="100"/>
      <c r="O56" s="84"/>
      <c r="P56" s="84"/>
      <c r="Q56" s="84"/>
      <c r="R56" s="84"/>
      <c r="S56" s="97"/>
      <c r="T56" s="85"/>
      <c r="U56" s="97"/>
    </row>
    <row r="57" spans="1:21" ht="13.5" customHeight="1" x14ac:dyDescent="0.3">
      <c r="A57" s="77"/>
      <c r="C57" s="100"/>
      <c r="D57" s="100"/>
      <c r="E57" s="100"/>
      <c r="F57" s="100"/>
      <c r="G57" s="100"/>
      <c r="H57" s="100"/>
      <c r="I57" s="100"/>
      <c r="J57" s="100"/>
      <c r="K57" s="100"/>
      <c r="L57" s="100"/>
      <c r="M57" s="100"/>
      <c r="N57" s="100"/>
      <c r="O57" s="84"/>
      <c r="P57" s="84"/>
      <c r="Q57" s="84"/>
      <c r="R57" s="84"/>
      <c r="S57" s="97"/>
      <c r="T57" s="85"/>
      <c r="U57" s="97"/>
    </row>
    <row r="58" spans="1:21" ht="13.5" customHeight="1" x14ac:dyDescent="0.3">
      <c r="A58" s="77"/>
      <c r="C58" s="100"/>
      <c r="D58" s="100"/>
      <c r="E58" s="100"/>
      <c r="F58" s="100"/>
      <c r="G58" s="100"/>
      <c r="H58" s="100"/>
      <c r="I58" s="100"/>
      <c r="J58" s="100"/>
      <c r="K58" s="100"/>
      <c r="L58" s="100"/>
      <c r="M58" s="100"/>
      <c r="N58" s="100"/>
      <c r="O58" s="84"/>
      <c r="P58" s="84"/>
      <c r="Q58" s="84"/>
      <c r="R58" s="84"/>
      <c r="S58" s="97"/>
      <c r="T58" s="85"/>
      <c r="U58" s="97"/>
    </row>
    <row r="59" spans="1:21" ht="13.5" customHeight="1" x14ac:dyDescent="0.3">
      <c r="A59" s="77"/>
      <c r="C59" s="100"/>
      <c r="D59" s="100"/>
      <c r="E59" s="100"/>
      <c r="F59" s="100"/>
      <c r="G59" s="100"/>
      <c r="H59" s="100"/>
      <c r="I59" s="100"/>
      <c r="J59" s="100"/>
      <c r="K59" s="100"/>
      <c r="L59" s="100"/>
      <c r="M59" s="100"/>
      <c r="N59" s="100"/>
      <c r="O59" s="84"/>
      <c r="P59" s="84"/>
      <c r="Q59" s="84"/>
      <c r="R59" s="84"/>
      <c r="S59" s="97"/>
      <c r="T59" s="85"/>
      <c r="U59" s="97"/>
    </row>
    <row r="60" spans="1:21" ht="13.5" customHeight="1" x14ac:dyDescent="0.3">
      <c r="A60" s="77"/>
      <c r="C60" s="100"/>
      <c r="D60" s="100"/>
      <c r="E60" s="100"/>
      <c r="F60" s="100"/>
      <c r="G60" s="100"/>
      <c r="H60" s="100"/>
      <c r="I60" s="100"/>
      <c r="J60" s="100"/>
      <c r="K60" s="100"/>
      <c r="L60" s="100"/>
      <c r="M60" s="100"/>
      <c r="N60" s="100"/>
      <c r="O60" s="84"/>
      <c r="P60" s="84"/>
      <c r="Q60" s="84"/>
      <c r="R60" s="84"/>
      <c r="S60" s="97"/>
      <c r="T60" s="85"/>
      <c r="U60" s="97"/>
    </row>
    <row r="61" spans="1:21" ht="13.5" customHeight="1" x14ac:dyDescent="0.3">
      <c r="A61" s="77"/>
      <c r="C61" s="100"/>
      <c r="D61" s="100"/>
      <c r="E61" s="100"/>
      <c r="F61" s="100"/>
      <c r="G61" s="100"/>
      <c r="H61" s="100"/>
      <c r="I61" s="100"/>
      <c r="J61" s="100"/>
      <c r="K61" s="100"/>
      <c r="L61" s="100"/>
      <c r="M61" s="100"/>
      <c r="N61" s="100"/>
      <c r="O61" s="84"/>
      <c r="P61" s="84"/>
      <c r="Q61" s="84"/>
      <c r="R61" s="84"/>
      <c r="S61" s="97"/>
      <c r="T61" s="85"/>
      <c r="U61" s="97"/>
    </row>
    <row r="62" spans="1:21" ht="13.5" customHeight="1" x14ac:dyDescent="0.3">
      <c r="A62" s="77"/>
      <c r="C62" s="100"/>
      <c r="D62" s="100"/>
      <c r="E62" s="100"/>
      <c r="F62" s="100"/>
      <c r="G62" s="100"/>
      <c r="H62" s="100"/>
      <c r="I62" s="100"/>
      <c r="J62" s="100"/>
      <c r="K62" s="100"/>
      <c r="L62" s="100"/>
      <c r="M62" s="100"/>
      <c r="N62" s="100"/>
      <c r="O62" s="84"/>
      <c r="P62" s="84"/>
      <c r="Q62" s="84"/>
      <c r="R62" s="84"/>
      <c r="S62" s="97"/>
      <c r="T62" s="85"/>
      <c r="U62" s="97"/>
    </row>
    <row r="63" spans="1:21" ht="13.5" customHeight="1" x14ac:dyDescent="0.3">
      <c r="A63" s="77"/>
      <c r="C63" s="100"/>
      <c r="D63" s="100"/>
      <c r="E63" s="100"/>
      <c r="F63" s="100"/>
      <c r="G63" s="100"/>
      <c r="H63" s="100"/>
      <c r="I63" s="100"/>
      <c r="J63" s="100"/>
      <c r="K63" s="100"/>
      <c r="L63" s="100"/>
      <c r="M63" s="100"/>
      <c r="N63" s="100"/>
      <c r="O63" s="84"/>
      <c r="P63" s="84"/>
      <c r="Q63" s="84"/>
      <c r="R63" s="84"/>
      <c r="S63" s="97"/>
      <c r="T63" s="85"/>
      <c r="U63" s="97"/>
    </row>
    <row r="64" spans="1:21" ht="13.5" customHeight="1" x14ac:dyDescent="0.3">
      <c r="A64" s="77"/>
      <c r="C64" s="100"/>
      <c r="D64" s="100"/>
      <c r="E64" s="100"/>
      <c r="F64" s="100"/>
      <c r="G64" s="100"/>
      <c r="H64" s="100"/>
      <c r="I64" s="100"/>
      <c r="J64" s="100"/>
      <c r="K64" s="100"/>
      <c r="L64" s="100"/>
      <c r="M64" s="100"/>
      <c r="N64" s="100"/>
      <c r="O64" s="84"/>
      <c r="P64" s="84"/>
      <c r="Q64" s="84"/>
      <c r="R64" s="84"/>
      <c r="S64" s="97"/>
      <c r="T64" s="85"/>
      <c r="U64" s="97"/>
    </row>
    <row r="65" spans="1:21" ht="13.5" customHeight="1" x14ac:dyDescent="0.3">
      <c r="A65" s="77"/>
      <c r="C65" s="100"/>
      <c r="D65" s="100"/>
      <c r="E65" s="100"/>
      <c r="F65" s="100"/>
      <c r="G65" s="100"/>
      <c r="H65" s="100"/>
      <c r="I65" s="100"/>
      <c r="J65" s="100"/>
      <c r="K65" s="100"/>
      <c r="L65" s="100"/>
      <c r="M65" s="100"/>
      <c r="N65" s="100"/>
      <c r="O65" s="84"/>
      <c r="P65" s="84"/>
      <c r="Q65" s="84"/>
      <c r="R65" s="84"/>
      <c r="S65" s="97"/>
      <c r="T65" s="85"/>
      <c r="U65" s="97"/>
    </row>
    <row r="66" spans="1:21" ht="13.5" customHeight="1" x14ac:dyDescent="0.3">
      <c r="A66" s="77"/>
      <c r="C66" s="100"/>
      <c r="D66" s="100"/>
      <c r="E66" s="100"/>
      <c r="F66" s="100"/>
      <c r="G66" s="100"/>
      <c r="H66" s="100"/>
      <c r="I66" s="100"/>
      <c r="J66" s="100"/>
      <c r="K66" s="100"/>
      <c r="L66" s="100"/>
      <c r="M66" s="100"/>
      <c r="N66" s="100"/>
      <c r="O66" s="84"/>
      <c r="P66" s="84"/>
      <c r="Q66" s="84"/>
      <c r="R66" s="84"/>
      <c r="S66" s="97"/>
      <c r="T66" s="85"/>
      <c r="U66" s="97"/>
    </row>
    <row r="67" spans="1:21" ht="13.5" customHeight="1" x14ac:dyDescent="0.3">
      <c r="A67" s="77"/>
      <c r="C67" s="100"/>
      <c r="D67" s="100"/>
      <c r="E67" s="100"/>
      <c r="F67" s="100"/>
      <c r="G67" s="100"/>
      <c r="H67" s="100"/>
      <c r="I67" s="100"/>
      <c r="J67" s="100"/>
      <c r="K67" s="100"/>
      <c r="L67" s="100"/>
      <c r="M67" s="100"/>
      <c r="N67" s="100"/>
      <c r="O67" s="84"/>
      <c r="P67" s="84"/>
      <c r="Q67" s="84"/>
      <c r="R67" s="84"/>
      <c r="S67" s="97"/>
      <c r="T67" s="85"/>
      <c r="U67" s="97"/>
    </row>
    <row r="68" spans="1:21" ht="13.5" customHeight="1" x14ac:dyDescent="0.3">
      <c r="A68" s="77"/>
      <c r="C68" s="100"/>
      <c r="D68" s="100"/>
      <c r="E68" s="100"/>
      <c r="F68" s="100"/>
      <c r="G68" s="100"/>
      <c r="H68" s="100"/>
      <c r="I68" s="100"/>
      <c r="J68" s="100"/>
      <c r="K68" s="100"/>
      <c r="L68" s="100"/>
      <c r="M68" s="100"/>
      <c r="N68" s="100"/>
      <c r="O68" s="84"/>
      <c r="P68" s="84"/>
      <c r="Q68" s="84"/>
      <c r="R68" s="84"/>
      <c r="S68" s="97"/>
      <c r="T68" s="85"/>
      <c r="U68" s="97"/>
    </row>
    <row r="69" spans="1:21" ht="13.5" customHeight="1" x14ac:dyDescent="0.3">
      <c r="A69" s="77"/>
      <c r="C69" s="100"/>
      <c r="D69" s="100"/>
      <c r="E69" s="100"/>
      <c r="F69" s="100"/>
      <c r="G69" s="100"/>
      <c r="H69" s="100"/>
      <c r="I69" s="100"/>
      <c r="J69" s="100"/>
      <c r="K69" s="100"/>
      <c r="L69" s="100"/>
      <c r="M69" s="100"/>
      <c r="N69" s="100"/>
      <c r="O69" s="84"/>
      <c r="P69" s="84"/>
      <c r="Q69" s="84"/>
      <c r="R69" s="84"/>
      <c r="S69" s="97"/>
      <c r="T69" s="85"/>
      <c r="U69" s="97"/>
    </row>
    <row r="70" spans="1:21" ht="13.5" customHeight="1" x14ac:dyDescent="0.3">
      <c r="A70" s="77"/>
      <c r="C70" s="100"/>
      <c r="D70" s="100"/>
      <c r="E70" s="100"/>
      <c r="F70" s="100"/>
      <c r="G70" s="100"/>
      <c r="H70" s="100"/>
      <c r="I70" s="100"/>
      <c r="J70" s="100"/>
      <c r="K70" s="100"/>
      <c r="L70" s="100"/>
      <c r="M70" s="100"/>
      <c r="N70" s="100"/>
      <c r="O70" s="84"/>
      <c r="P70" s="84"/>
      <c r="Q70" s="84"/>
      <c r="R70" s="84"/>
      <c r="S70" s="97"/>
      <c r="T70" s="85"/>
      <c r="U70" s="97"/>
    </row>
    <row r="71" spans="1:21" ht="13.5" customHeight="1" x14ac:dyDescent="0.3">
      <c r="A71" s="77"/>
      <c r="C71" s="100"/>
      <c r="D71" s="100"/>
      <c r="E71" s="100"/>
      <c r="F71" s="100"/>
      <c r="G71" s="100"/>
      <c r="H71" s="100"/>
      <c r="I71" s="100"/>
      <c r="J71" s="100"/>
      <c r="K71" s="100"/>
      <c r="L71" s="100"/>
      <c r="M71" s="100"/>
      <c r="N71" s="100"/>
      <c r="O71" s="84"/>
      <c r="P71" s="84"/>
      <c r="Q71" s="84"/>
      <c r="R71" s="84"/>
      <c r="S71" s="97"/>
      <c r="T71" s="85"/>
      <c r="U71" s="97"/>
    </row>
    <row r="72" spans="1:21" ht="13.5" customHeight="1" x14ac:dyDescent="0.3">
      <c r="A72" s="77"/>
      <c r="C72" s="100"/>
      <c r="D72" s="100"/>
      <c r="E72" s="100"/>
      <c r="F72" s="100"/>
      <c r="G72" s="100"/>
      <c r="H72" s="100"/>
      <c r="I72" s="100"/>
      <c r="J72" s="100"/>
      <c r="K72" s="100"/>
      <c r="L72" s="100"/>
      <c r="M72" s="100"/>
      <c r="N72" s="100"/>
      <c r="O72" s="84"/>
      <c r="P72" s="84"/>
      <c r="Q72" s="84"/>
      <c r="R72" s="84"/>
      <c r="S72" s="97"/>
      <c r="T72" s="85"/>
      <c r="U72" s="97"/>
    </row>
    <row r="73" spans="1:21" ht="13.5" customHeight="1" x14ac:dyDescent="0.3">
      <c r="A73" s="77"/>
      <c r="C73" s="100"/>
      <c r="D73" s="100"/>
      <c r="E73" s="100"/>
      <c r="F73" s="100"/>
      <c r="G73" s="100"/>
      <c r="H73" s="100"/>
      <c r="I73" s="100"/>
      <c r="J73" s="100"/>
      <c r="K73" s="100"/>
      <c r="L73" s="100"/>
      <c r="M73" s="100"/>
      <c r="N73" s="100"/>
      <c r="O73" s="84"/>
      <c r="P73" s="84"/>
      <c r="Q73" s="84"/>
      <c r="R73" s="84"/>
      <c r="S73" s="97"/>
      <c r="T73" s="85"/>
      <c r="U73" s="97"/>
    </row>
    <row r="74" spans="1:21" ht="13.5" customHeight="1" x14ac:dyDescent="0.3">
      <c r="A74" s="77"/>
      <c r="C74" s="100"/>
      <c r="D74" s="100"/>
      <c r="E74" s="100"/>
      <c r="F74" s="100"/>
      <c r="G74" s="100"/>
      <c r="H74" s="100"/>
      <c r="I74" s="100"/>
      <c r="J74" s="100"/>
      <c r="K74" s="100"/>
      <c r="L74" s="100"/>
      <c r="M74" s="100"/>
      <c r="N74" s="100"/>
      <c r="O74" s="84"/>
      <c r="P74" s="84"/>
      <c r="Q74" s="84"/>
      <c r="R74" s="84"/>
      <c r="S74" s="97"/>
      <c r="T74" s="85"/>
      <c r="U74" s="97"/>
    </row>
    <row r="75" spans="1:21" ht="13.5" customHeight="1" x14ac:dyDescent="0.3">
      <c r="A75" s="77"/>
      <c r="C75" s="100"/>
      <c r="D75" s="100"/>
      <c r="E75" s="100"/>
      <c r="F75" s="100"/>
      <c r="G75" s="100"/>
      <c r="H75" s="100"/>
      <c r="I75" s="100"/>
      <c r="J75" s="100"/>
      <c r="K75" s="100"/>
      <c r="L75" s="100"/>
      <c r="M75" s="100"/>
      <c r="N75" s="100"/>
      <c r="O75" s="84"/>
      <c r="P75" s="84"/>
      <c r="Q75" s="84"/>
      <c r="R75" s="84"/>
      <c r="S75" s="97"/>
      <c r="T75" s="85"/>
      <c r="U75" s="97"/>
    </row>
    <row r="76" spans="1:21" ht="13.5" customHeight="1" x14ac:dyDescent="0.3">
      <c r="A76" s="77"/>
      <c r="C76" s="100"/>
      <c r="D76" s="100"/>
      <c r="E76" s="100"/>
      <c r="F76" s="100"/>
      <c r="G76" s="100"/>
      <c r="H76" s="100"/>
      <c r="I76" s="100"/>
      <c r="J76" s="100"/>
      <c r="K76" s="100"/>
      <c r="L76" s="100"/>
      <c r="M76" s="100"/>
      <c r="N76" s="100"/>
      <c r="O76" s="84"/>
      <c r="P76" s="84"/>
      <c r="Q76" s="84"/>
      <c r="R76" s="84"/>
      <c r="S76" s="97"/>
      <c r="T76" s="85"/>
      <c r="U76" s="97"/>
    </row>
    <row r="77" spans="1:21" ht="13.5" customHeight="1" x14ac:dyDescent="0.3">
      <c r="A77" s="77"/>
      <c r="C77" s="100"/>
      <c r="D77" s="100"/>
      <c r="E77" s="100"/>
      <c r="F77" s="100"/>
      <c r="G77" s="100"/>
      <c r="H77" s="100"/>
      <c r="I77" s="100"/>
      <c r="J77" s="100"/>
      <c r="K77" s="100"/>
      <c r="L77" s="100"/>
      <c r="M77" s="100"/>
      <c r="N77" s="100"/>
      <c r="O77" s="84"/>
      <c r="P77" s="84"/>
      <c r="Q77" s="84"/>
      <c r="R77" s="84"/>
      <c r="S77" s="97"/>
      <c r="T77" s="85"/>
      <c r="U77" s="97"/>
    </row>
    <row r="78" spans="1:21" ht="13.5" customHeight="1" x14ac:dyDescent="0.3">
      <c r="A78" s="77"/>
      <c r="C78" s="100"/>
      <c r="D78" s="100"/>
      <c r="E78" s="100"/>
      <c r="F78" s="100"/>
      <c r="G78" s="100"/>
      <c r="H78" s="100"/>
      <c r="I78" s="100"/>
      <c r="J78" s="100"/>
      <c r="K78" s="100"/>
      <c r="L78" s="100"/>
      <c r="M78" s="100"/>
      <c r="N78" s="100"/>
      <c r="O78" s="84"/>
      <c r="P78" s="84"/>
      <c r="Q78" s="84"/>
      <c r="R78" s="84"/>
      <c r="S78" s="97"/>
      <c r="T78" s="85"/>
      <c r="U78" s="97"/>
    </row>
    <row r="79" spans="1:21" ht="13.5" customHeight="1" x14ac:dyDescent="0.3">
      <c r="A79" s="77"/>
      <c r="C79" s="100"/>
      <c r="D79" s="100"/>
      <c r="E79" s="100"/>
      <c r="F79" s="100"/>
      <c r="G79" s="100"/>
      <c r="H79" s="100"/>
      <c r="I79" s="100"/>
      <c r="J79" s="100"/>
      <c r="K79" s="100"/>
      <c r="L79" s="100"/>
      <c r="M79" s="100"/>
      <c r="N79" s="100"/>
      <c r="O79" s="84"/>
      <c r="P79" s="84"/>
      <c r="Q79" s="84"/>
      <c r="R79" s="84"/>
      <c r="S79" s="97"/>
      <c r="T79" s="85"/>
      <c r="U79" s="97"/>
    </row>
    <row r="80" spans="1:21" ht="13.5" customHeight="1" x14ac:dyDescent="0.3">
      <c r="A80" s="77"/>
      <c r="C80" s="100"/>
      <c r="D80" s="100"/>
      <c r="E80" s="100"/>
      <c r="F80" s="100"/>
      <c r="G80" s="100"/>
      <c r="H80" s="100"/>
      <c r="I80" s="100"/>
      <c r="J80" s="100"/>
      <c r="K80" s="100"/>
      <c r="L80" s="100"/>
      <c r="M80" s="100"/>
      <c r="N80" s="100"/>
      <c r="O80" s="84"/>
      <c r="P80" s="84"/>
      <c r="Q80" s="84"/>
      <c r="R80" s="84"/>
      <c r="S80" s="97"/>
      <c r="T80" s="85"/>
      <c r="U80" s="97"/>
    </row>
    <row r="81" spans="1:21" ht="13.5" customHeight="1" x14ac:dyDescent="0.3">
      <c r="A81" s="77"/>
      <c r="C81" s="100"/>
      <c r="D81" s="100"/>
      <c r="E81" s="100"/>
      <c r="F81" s="100"/>
      <c r="G81" s="100"/>
      <c r="H81" s="100"/>
      <c r="I81" s="100"/>
      <c r="J81" s="100"/>
      <c r="K81" s="100"/>
      <c r="L81" s="100"/>
      <c r="M81" s="100"/>
      <c r="N81" s="100"/>
      <c r="O81" s="84"/>
      <c r="P81" s="84"/>
      <c r="Q81" s="84"/>
      <c r="R81" s="84"/>
      <c r="S81" s="97"/>
      <c r="T81" s="85"/>
      <c r="U81" s="97"/>
    </row>
    <row r="82" spans="1:21" ht="13.5" customHeight="1" x14ac:dyDescent="0.3">
      <c r="A82" s="77"/>
      <c r="C82" s="100"/>
      <c r="D82" s="100"/>
      <c r="E82" s="100"/>
      <c r="F82" s="100"/>
      <c r="G82" s="100"/>
      <c r="H82" s="100"/>
      <c r="I82" s="100"/>
      <c r="J82" s="100"/>
      <c r="K82" s="100"/>
      <c r="L82" s="100"/>
      <c r="M82" s="100"/>
      <c r="N82" s="100"/>
      <c r="O82" s="84"/>
      <c r="P82" s="84"/>
      <c r="Q82" s="84"/>
      <c r="R82" s="84"/>
      <c r="S82" s="97"/>
      <c r="T82" s="85"/>
      <c r="U82" s="97"/>
    </row>
    <row r="83" spans="1:21" ht="13.5" customHeight="1" x14ac:dyDescent="0.3">
      <c r="A83" s="77"/>
      <c r="C83" s="100"/>
      <c r="D83" s="100"/>
      <c r="E83" s="100"/>
      <c r="F83" s="100"/>
      <c r="G83" s="100"/>
      <c r="H83" s="100"/>
      <c r="I83" s="100"/>
      <c r="J83" s="100"/>
      <c r="K83" s="100"/>
      <c r="L83" s="100"/>
      <c r="M83" s="100"/>
      <c r="N83" s="100"/>
      <c r="O83" s="84"/>
      <c r="P83" s="84"/>
      <c r="Q83" s="84"/>
      <c r="R83" s="84"/>
      <c r="S83" s="97"/>
      <c r="T83" s="85"/>
      <c r="U83" s="97"/>
    </row>
    <row r="84" spans="1:21" ht="6.75" customHeight="1" x14ac:dyDescent="0.3">
      <c r="A84" s="50"/>
      <c r="B84" s="50"/>
      <c r="C84" s="50"/>
      <c r="D84" s="50"/>
      <c r="E84" s="50"/>
      <c r="F84" s="50"/>
      <c r="G84" s="50"/>
      <c r="H84" s="50"/>
      <c r="I84" s="50"/>
      <c r="J84" s="50"/>
      <c r="K84" s="50"/>
      <c r="L84" s="50"/>
      <c r="M84" s="50"/>
      <c r="N84" s="50"/>
      <c r="O84" s="50"/>
      <c r="P84" s="50"/>
      <c r="Q84" s="50"/>
      <c r="R84" s="50"/>
      <c r="S84" s="50"/>
      <c r="T84" s="50"/>
      <c r="U84" s="50"/>
    </row>
    <row r="85" spans="1:21" x14ac:dyDescent="0.3">
      <c r="A85" s="64"/>
      <c r="B85" s="65" t="s">
        <v>857</v>
      </c>
      <c r="C85" s="66"/>
      <c r="D85" s="66"/>
      <c r="E85" s="66"/>
      <c r="F85" s="66"/>
      <c r="G85" s="66"/>
      <c r="H85" s="66"/>
      <c r="I85" s="66"/>
      <c r="J85" s="66"/>
      <c r="K85" s="66"/>
      <c r="L85" s="66"/>
      <c r="M85" s="66"/>
      <c r="N85" s="66"/>
      <c r="O85" s="66"/>
      <c r="P85" s="66"/>
      <c r="Q85" s="66"/>
      <c r="R85" s="66"/>
      <c r="S85" s="66"/>
      <c r="T85" s="66"/>
      <c r="U85" s="67"/>
    </row>
    <row r="86" spans="1:21" ht="6.75" customHeight="1" x14ac:dyDescent="0.3">
      <c r="A86" s="68"/>
      <c r="B86" s="63"/>
      <c r="C86" s="63"/>
      <c r="D86" s="63"/>
      <c r="E86" s="63"/>
      <c r="F86" s="63"/>
      <c r="G86" s="63"/>
      <c r="H86" s="63"/>
      <c r="I86" s="63"/>
      <c r="J86" s="63"/>
      <c r="K86" s="63"/>
      <c r="L86" s="63"/>
      <c r="M86" s="63"/>
      <c r="N86" s="63"/>
      <c r="O86" s="63"/>
      <c r="P86" s="63"/>
      <c r="Q86" s="63"/>
      <c r="R86" s="63"/>
      <c r="S86" s="63"/>
      <c r="T86" s="63"/>
      <c r="U86" s="69"/>
    </row>
    <row r="87" spans="1:21" x14ac:dyDescent="0.3">
      <c r="A87" s="68"/>
      <c r="B87" s="63"/>
      <c r="C87" s="70" t="s">
        <v>858</v>
      </c>
      <c r="D87" s="63"/>
      <c r="E87" s="63"/>
      <c r="F87" s="63"/>
      <c r="G87" s="63"/>
      <c r="H87" s="63"/>
      <c r="I87" s="63"/>
      <c r="J87" s="63"/>
      <c r="K87" s="70" t="s">
        <v>859</v>
      </c>
      <c r="L87" s="63"/>
      <c r="M87" s="63"/>
      <c r="N87" s="63"/>
      <c r="O87" s="63"/>
      <c r="P87" s="63"/>
      <c r="Q87" s="63"/>
      <c r="R87" s="70" t="s">
        <v>860</v>
      </c>
      <c r="S87" s="70"/>
      <c r="T87" s="70"/>
      <c r="U87" s="69"/>
    </row>
    <row r="88" spans="1:21" x14ac:dyDescent="0.3">
      <c r="A88" s="338"/>
      <c r="B88" s="339"/>
      <c r="C88" s="63" t="s">
        <v>861</v>
      </c>
      <c r="D88" s="63"/>
      <c r="E88" s="1248"/>
      <c r="F88" s="1248"/>
      <c r="G88" s="1248"/>
      <c r="H88" s="340"/>
      <c r="I88" s="340"/>
      <c r="J88" s="339"/>
      <c r="K88" s="63" t="s">
        <v>862</v>
      </c>
      <c r="L88" s="63"/>
      <c r="M88" s="1248"/>
      <c r="N88" s="1248"/>
      <c r="O88" s="1248"/>
      <c r="P88" s="340"/>
      <c r="Q88" s="339"/>
      <c r="R88" s="63" t="s">
        <v>863</v>
      </c>
      <c r="S88" s="1248"/>
      <c r="T88" s="1248"/>
      <c r="U88" s="69"/>
    </row>
    <row r="89" spans="1:21" x14ac:dyDescent="0.3">
      <c r="A89" s="338"/>
      <c r="B89" s="339"/>
      <c r="C89" s="63" t="s">
        <v>864</v>
      </c>
      <c r="D89" s="63"/>
      <c r="E89" s="1248"/>
      <c r="F89" s="1248"/>
      <c r="G89" s="1248"/>
      <c r="H89" s="340"/>
      <c r="I89" s="340"/>
      <c r="J89" s="339"/>
      <c r="K89" s="63" t="s">
        <v>865</v>
      </c>
      <c r="L89" s="63"/>
      <c r="M89" s="1248"/>
      <c r="N89" s="1248"/>
      <c r="O89" s="1248"/>
      <c r="P89" s="340"/>
      <c r="Q89" s="339"/>
      <c r="R89" s="63" t="s">
        <v>866</v>
      </c>
      <c r="S89" s="1248"/>
      <c r="T89" s="1248"/>
      <c r="U89" s="69"/>
    </row>
    <row r="90" spans="1:21" x14ac:dyDescent="0.3">
      <c r="A90" s="338"/>
      <c r="B90" s="340"/>
      <c r="C90" s="340"/>
      <c r="D90" s="340"/>
      <c r="E90" s="340"/>
      <c r="F90" s="340"/>
      <c r="G90" s="340"/>
      <c r="H90" s="340"/>
      <c r="I90" s="340"/>
      <c r="J90" s="340"/>
      <c r="K90" s="340"/>
      <c r="L90" s="340"/>
      <c r="M90" s="340"/>
      <c r="N90" s="340"/>
      <c r="O90" s="340"/>
      <c r="P90" s="340"/>
      <c r="Q90" s="339"/>
      <c r="R90" s="63" t="s">
        <v>867</v>
      </c>
      <c r="S90" s="1248"/>
      <c r="T90" s="1248"/>
      <c r="U90" s="69"/>
    </row>
    <row r="91" spans="1:21" ht="6" customHeight="1" x14ac:dyDescent="0.3">
      <c r="A91" s="71"/>
      <c r="B91" s="72"/>
      <c r="C91" s="72"/>
      <c r="D91" s="72"/>
      <c r="E91" s="72"/>
      <c r="F91" s="72"/>
      <c r="G91" s="72"/>
      <c r="H91" s="72"/>
      <c r="I91" s="72"/>
      <c r="J91" s="72"/>
      <c r="K91" s="72"/>
      <c r="L91" s="72"/>
      <c r="M91" s="72"/>
      <c r="N91" s="72"/>
      <c r="O91" s="72"/>
      <c r="P91" s="72"/>
      <c r="Q91" s="72"/>
      <c r="R91" s="72"/>
      <c r="S91" s="72"/>
      <c r="T91" s="72"/>
      <c r="U91" s="73"/>
    </row>
    <row r="93" spans="1:21" x14ac:dyDescent="0.3">
      <c r="A93" s="1183" t="s">
        <v>821</v>
      </c>
      <c r="B93" s="1184"/>
      <c r="C93" s="1184"/>
      <c r="D93" s="1184"/>
      <c r="E93" s="1184"/>
      <c r="F93" s="1184"/>
      <c r="G93" s="1184"/>
      <c r="H93" s="1184"/>
      <c r="I93" s="1184"/>
      <c r="J93" s="1184"/>
      <c r="K93" s="1184"/>
      <c r="L93" s="1184"/>
      <c r="M93" s="1184"/>
      <c r="N93" s="1184"/>
      <c r="O93" s="1184"/>
      <c r="P93" s="1184"/>
      <c r="Q93" s="1184"/>
      <c r="R93" s="1184"/>
      <c r="S93" s="1184"/>
      <c r="T93" s="1184"/>
      <c r="U93" s="1185"/>
    </row>
    <row r="94" spans="1:21" x14ac:dyDescent="0.3">
      <c r="A94" s="1186" t="s">
        <v>822</v>
      </c>
      <c r="B94" s="1186"/>
      <c r="C94" s="1186"/>
      <c r="D94" s="1186"/>
      <c r="E94" s="1186"/>
      <c r="F94" s="1186"/>
      <c r="G94" s="1186"/>
      <c r="H94" s="1186"/>
      <c r="I94" s="1186" t="s">
        <v>823</v>
      </c>
      <c r="J94" s="1186"/>
      <c r="K94" s="1186"/>
      <c r="L94" s="1186"/>
      <c r="M94" s="1186"/>
      <c r="N94" s="1186"/>
      <c r="O94" s="1186"/>
      <c r="P94" s="1187" t="s">
        <v>824</v>
      </c>
      <c r="Q94" s="1187"/>
      <c r="R94" s="1187"/>
      <c r="S94" s="1187"/>
      <c r="T94" s="1187"/>
      <c r="U94" s="1187"/>
    </row>
    <row r="95" spans="1:21" x14ac:dyDescent="0.3">
      <c r="A95" s="1182" t="str">
        <f>RA_Standard!A97</f>
        <v>Brokerage/Realty</v>
      </c>
      <c r="B95" s="1182"/>
      <c r="C95" s="1182"/>
      <c r="D95" s="1182"/>
      <c r="E95" s="1182"/>
      <c r="F95" s="1182"/>
      <c r="G95" s="1182"/>
      <c r="H95" s="1182"/>
      <c r="I95" s="1244"/>
      <c r="J95" s="1244"/>
      <c r="K95" s="1244"/>
      <c r="L95" s="1244"/>
      <c r="M95" s="1244"/>
      <c r="N95" s="1244"/>
      <c r="O95" s="1244"/>
      <c r="P95" s="1244"/>
      <c r="Q95" s="1244"/>
      <c r="R95" s="1244"/>
      <c r="S95" s="1244"/>
      <c r="T95" s="1244"/>
      <c r="U95" s="1244"/>
    </row>
    <row r="96" spans="1:21" x14ac:dyDescent="0.3">
      <c r="A96" s="1182" t="str">
        <f>RA_Standard!A98</f>
        <v xml:space="preserve">Broker Head / AVP </v>
      </c>
      <c r="B96" s="1182"/>
      <c r="C96" s="1182"/>
      <c r="D96" s="1182"/>
      <c r="E96" s="1182"/>
      <c r="F96" s="1182"/>
      <c r="G96" s="1182"/>
      <c r="H96" s="1182"/>
      <c r="I96" s="1244"/>
      <c r="J96" s="1244"/>
      <c r="K96" s="1244"/>
      <c r="L96" s="1244"/>
      <c r="M96" s="1244"/>
      <c r="N96" s="1244"/>
      <c r="O96" s="1244"/>
      <c r="P96" s="1244"/>
      <c r="Q96" s="1244"/>
      <c r="R96" s="1244"/>
      <c r="S96" s="1244"/>
      <c r="T96" s="1244"/>
      <c r="U96" s="1244"/>
    </row>
    <row r="97" spans="1:21" x14ac:dyDescent="0.3">
      <c r="A97" s="1182" t="str">
        <f>RA_Standard!A99</f>
        <v>Sales Manager</v>
      </c>
      <c r="B97" s="1182"/>
      <c r="C97" s="1182"/>
      <c r="D97" s="1182"/>
      <c r="E97" s="1182"/>
      <c r="F97" s="1182"/>
      <c r="G97" s="1182"/>
      <c r="H97" s="1182"/>
      <c r="I97" s="1244"/>
      <c r="J97" s="1244"/>
      <c r="K97" s="1244"/>
      <c r="L97" s="1244"/>
      <c r="M97" s="1244"/>
      <c r="N97" s="1244"/>
      <c r="O97" s="1244"/>
      <c r="P97" s="1244"/>
      <c r="Q97" s="1244"/>
      <c r="R97" s="1244"/>
      <c r="S97" s="1244"/>
      <c r="T97" s="1244"/>
      <c r="U97" s="1244"/>
    </row>
    <row r="98" spans="1:21" x14ac:dyDescent="0.3">
      <c r="A98" s="1182" t="str">
        <f>RA_Standard!A100</f>
        <v>Sales Agent / Property Consultant</v>
      </c>
      <c r="B98" s="1182"/>
      <c r="C98" s="1182"/>
      <c r="D98" s="1182"/>
      <c r="E98" s="1182"/>
      <c r="F98" s="1182"/>
      <c r="G98" s="1182"/>
      <c r="H98" s="1182"/>
      <c r="I98" s="1244"/>
      <c r="J98" s="1244"/>
      <c r="K98" s="1244"/>
      <c r="L98" s="1244"/>
      <c r="M98" s="1244"/>
      <c r="N98" s="1244"/>
      <c r="O98" s="1244"/>
      <c r="P98" s="1244"/>
      <c r="Q98" s="1244"/>
      <c r="R98" s="1244"/>
      <c r="S98" s="1244"/>
      <c r="T98" s="1244"/>
      <c r="U98" s="1244"/>
    </row>
    <row r="101" spans="1:21" x14ac:dyDescent="0.3">
      <c r="A101" s="1251" t="s">
        <v>868</v>
      </c>
      <c r="B101" s="1251"/>
      <c r="C101" s="1251"/>
      <c r="D101" s="1251"/>
      <c r="E101" s="1251"/>
      <c r="F101" s="1251"/>
      <c r="G101" s="1251"/>
      <c r="H101" s="1251"/>
      <c r="I101" s="1251"/>
      <c r="J101" s="1251"/>
      <c r="K101" s="1251"/>
      <c r="L101" s="1251"/>
      <c r="M101" s="1251"/>
      <c r="N101" s="1251"/>
      <c r="O101" s="1251"/>
      <c r="P101" s="1251"/>
      <c r="Q101" s="1251"/>
      <c r="R101" s="1251"/>
      <c r="S101" s="1251"/>
      <c r="T101" s="1251"/>
      <c r="U101" s="1251"/>
    </row>
    <row r="102" spans="1:21" x14ac:dyDescent="0.3">
      <c r="A102" s="629"/>
      <c r="B102" s="629"/>
      <c r="C102" s="629"/>
      <c r="D102" s="629"/>
      <c r="E102" s="629"/>
      <c r="F102" s="629"/>
      <c r="G102" s="629"/>
      <c r="H102" s="629"/>
      <c r="I102" s="629"/>
      <c r="J102" s="629"/>
      <c r="K102" s="629"/>
      <c r="L102" s="629"/>
      <c r="M102" s="629"/>
      <c r="N102" s="629"/>
      <c r="O102" s="629"/>
      <c r="P102" s="629"/>
      <c r="Q102" s="629"/>
      <c r="R102" s="629"/>
      <c r="S102" s="629"/>
      <c r="T102" s="629"/>
      <c r="U102" s="629"/>
    </row>
    <row r="112" spans="1:21" x14ac:dyDescent="0.3">
      <c r="G112" s="21">
        <f>D2</f>
        <v>0</v>
      </c>
      <c r="H112" s="21"/>
      <c r="I112" s="22"/>
      <c r="J112" s="22"/>
      <c r="K112" s="22"/>
      <c r="L112" s="22"/>
      <c r="M112" s="22"/>
      <c r="N112" s="22"/>
      <c r="O112" s="22"/>
      <c r="P112" s="22"/>
      <c r="Q112" s="22"/>
    </row>
    <row r="113" spans="1:21" ht="25.5" customHeight="1" x14ac:dyDescent="0.3">
      <c r="A113" s="1245" t="s">
        <v>869</v>
      </c>
      <c r="B113" s="1245"/>
      <c r="C113" s="1245"/>
      <c r="D113" s="1245"/>
      <c r="E113" s="1245"/>
      <c r="F113" s="1245"/>
      <c r="G113" s="1245"/>
      <c r="H113" s="1245"/>
      <c r="I113" s="1245"/>
      <c r="J113" s="1245"/>
      <c r="K113" s="1245"/>
      <c r="L113" s="1245"/>
      <c r="M113" s="1245"/>
      <c r="N113" s="1245"/>
      <c r="O113" s="1245"/>
      <c r="P113" s="1245"/>
      <c r="Q113" s="1245"/>
      <c r="R113" s="1245"/>
      <c r="S113" s="1245"/>
      <c r="T113" s="1245"/>
      <c r="U113" s="1245"/>
    </row>
    <row r="114" spans="1:21" x14ac:dyDescent="0.3">
      <c r="A114" s="21"/>
      <c r="B114" s="21"/>
      <c r="C114" s="21"/>
      <c r="D114" s="21"/>
      <c r="E114" s="21"/>
      <c r="F114" s="21"/>
      <c r="G114" s="21"/>
      <c r="H114" s="21"/>
      <c r="I114" s="21"/>
      <c r="J114" s="21"/>
      <c r="K114" s="21"/>
      <c r="L114" s="21"/>
      <c r="M114" s="21"/>
      <c r="N114" s="21"/>
      <c r="O114" s="21"/>
      <c r="P114" s="21"/>
      <c r="Q114" s="21"/>
      <c r="R114" s="21"/>
      <c r="S114" s="21"/>
      <c r="T114" s="21"/>
      <c r="U114" s="21"/>
    </row>
    <row r="115" spans="1:21" x14ac:dyDescent="0.3">
      <c r="A115" s="21"/>
      <c r="B115" s="21"/>
      <c r="C115" s="21"/>
      <c r="D115" s="21"/>
      <c r="E115" s="21"/>
      <c r="F115" s="21"/>
      <c r="G115" s="21"/>
      <c r="H115" s="21"/>
      <c r="I115" s="21"/>
      <c r="J115" s="21"/>
      <c r="K115" s="21"/>
      <c r="L115" s="21"/>
      <c r="M115" s="21"/>
      <c r="N115" s="21"/>
      <c r="O115" s="21"/>
      <c r="P115" s="21"/>
      <c r="Q115" s="21"/>
      <c r="R115" s="21"/>
      <c r="S115" s="21"/>
      <c r="T115" s="21"/>
      <c r="U115" s="21"/>
    </row>
    <row r="116" spans="1:21" x14ac:dyDescent="0.3">
      <c r="A116" s="1239" t="s">
        <v>870</v>
      </c>
      <c r="B116" s="1239"/>
      <c r="C116" s="1239"/>
      <c r="D116" s="1239"/>
      <c r="E116" s="1239"/>
      <c r="F116" s="1239"/>
      <c r="G116" s="1239"/>
      <c r="H116" s="1239"/>
      <c r="I116" s="1239"/>
      <c r="J116" s="1239"/>
      <c r="K116" s="1239"/>
      <c r="L116" s="1239"/>
      <c r="M116" s="1239"/>
      <c r="N116" s="1239"/>
      <c r="O116" s="1239"/>
      <c r="P116" s="1239"/>
      <c r="Q116" s="1239"/>
      <c r="R116" s="1239"/>
      <c r="S116" s="1239"/>
      <c r="T116" s="1239"/>
      <c r="U116" s="1239"/>
    </row>
    <row r="117" spans="1:21" ht="21.75" customHeight="1" x14ac:dyDescent="0.3">
      <c r="A117" s="1238" t="str">
        <f>H7</f>
        <v>WEE COMMUNITY DEVELOPERS, INC.</v>
      </c>
      <c r="B117" s="1238"/>
      <c r="C117" s="1238"/>
      <c r="D117" s="1238"/>
      <c r="E117" s="1238"/>
      <c r="F117" s="1238"/>
      <c r="G117" s="1238"/>
      <c r="H117" s="1238"/>
      <c r="I117" s="1238"/>
      <c r="J117" s="1238"/>
      <c r="K117" s="1238"/>
      <c r="L117" s="1238"/>
      <c r="M117" s="1238"/>
      <c r="N117" s="1238"/>
      <c r="O117" s="1238"/>
      <c r="P117" s="1238"/>
      <c r="Q117" s="1238"/>
      <c r="R117" s="1238"/>
      <c r="S117" s="1238"/>
      <c r="T117" s="1238"/>
      <c r="U117" s="1238"/>
    </row>
    <row r="118" spans="1:21" x14ac:dyDescent="0.3">
      <c r="A118" s="21"/>
      <c r="B118" s="21"/>
      <c r="C118" s="21"/>
      <c r="D118" s="21"/>
      <c r="E118" s="21"/>
      <c r="F118" s="21"/>
      <c r="G118" s="21"/>
      <c r="H118" s="21"/>
      <c r="I118" s="21"/>
      <c r="J118" s="21"/>
      <c r="K118" s="21"/>
      <c r="L118" s="21"/>
      <c r="M118" s="21"/>
      <c r="N118" s="21"/>
      <c r="O118" s="21"/>
      <c r="P118" s="21"/>
      <c r="Q118" s="21"/>
      <c r="R118" s="21"/>
      <c r="S118" s="21"/>
      <c r="T118" s="21"/>
      <c r="U118" s="21"/>
    </row>
    <row r="119" spans="1:21" x14ac:dyDescent="0.3">
      <c r="A119" s="21"/>
      <c r="B119" s="21"/>
      <c r="C119" s="21"/>
      <c r="D119" s="21"/>
      <c r="E119" s="21"/>
      <c r="F119" s="21"/>
      <c r="G119" s="21"/>
      <c r="H119" s="21"/>
      <c r="I119" s="22"/>
      <c r="J119" s="22"/>
      <c r="K119" s="22"/>
      <c r="L119" s="22"/>
      <c r="M119" s="22"/>
      <c r="N119" s="22"/>
      <c r="O119" s="22"/>
      <c r="P119" s="22"/>
      <c r="Q119" s="22"/>
      <c r="R119" s="21"/>
      <c r="S119" s="21"/>
      <c r="T119" s="21"/>
      <c r="U119" s="21"/>
    </row>
    <row r="123" spans="1:21" x14ac:dyDescent="0.3">
      <c r="I123" s="56"/>
    </row>
  </sheetData>
  <sheetProtection sheet="1" formatCells="0" formatColumns="0" formatRows="0" selectLockedCells="1"/>
  <mergeCells count="72">
    <mergeCell ref="S90:T90"/>
    <mergeCell ref="E88:G88"/>
    <mergeCell ref="E89:G89"/>
    <mergeCell ref="M88:O88"/>
    <mergeCell ref="M89:O89"/>
    <mergeCell ref="S88:T88"/>
    <mergeCell ref="S89:T89"/>
    <mergeCell ref="D2:Q2"/>
    <mergeCell ref="R20:S20"/>
    <mergeCell ref="R21:S21"/>
    <mergeCell ref="R22:S22"/>
    <mergeCell ref="I28:U28"/>
    <mergeCell ref="J23:L23"/>
    <mergeCell ref="P23:Q23"/>
    <mergeCell ref="J24:L24"/>
    <mergeCell ref="P24:Q24"/>
    <mergeCell ref="I27:U27"/>
    <mergeCell ref="I26:U26"/>
    <mergeCell ref="I10:U10"/>
    <mergeCell ref="M11:U11"/>
    <mergeCell ref="K12:U12"/>
    <mergeCell ref="E15:T15"/>
    <mergeCell ref="A19:F19"/>
    <mergeCell ref="G19:L19"/>
    <mergeCell ref="M19:Q19"/>
    <mergeCell ref="R19:U19"/>
    <mergeCell ref="A9:P9"/>
    <mergeCell ref="A3:Q3"/>
    <mergeCell ref="A4:U5"/>
    <mergeCell ref="H7:M7"/>
    <mergeCell ref="A8:U8"/>
    <mergeCell ref="T20:U20"/>
    <mergeCell ref="D21:E21"/>
    <mergeCell ref="R23:S24"/>
    <mergeCell ref="T23:U24"/>
    <mergeCell ref="D24:F24"/>
    <mergeCell ref="D20:F20"/>
    <mergeCell ref="J20:L20"/>
    <mergeCell ref="P20:Q20"/>
    <mergeCell ref="J21:L21"/>
    <mergeCell ref="P21:Q21"/>
    <mergeCell ref="T21:U21"/>
    <mergeCell ref="D22:E22"/>
    <mergeCell ref="J22:L22"/>
    <mergeCell ref="P22:Q22"/>
    <mergeCell ref="T22:U22"/>
    <mergeCell ref="D23:E23"/>
    <mergeCell ref="I29:U29"/>
    <mergeCell ref="I30:U30"/>
    <mergeCell ref="I31:U31"/>
    <mergeCell ref="O39:R39"/>
    <mergeCell ref="C39:N39"/>
    <mergeCell ref="A93:U93"/>
    <mergeCell ref="A94:H94"/>
    <mergeCell ref="I94:O94"/>
    <mergeCell ref="P94:U94"/>
    <mergeCell ref="A95:H95"/>
    <mergeCell ref="I95:O95"/>
    <mergeCell ref="P95:U95"/>
    <mergeCell ref="A96:H96"/>
    <mergeCell ref="I96:O96"/>
    <mergeCell ref="P96:U96"/>
    <mergeCell ref="A113:U113"/>
    <mergeCell ref="A116:U116"/>
    <mergeCell ref="A101:U101"/>
    <mergeCell ref="A117:U117"/>
    <mergeCell ref="A97:H97"/>
    <mergeCell ref="I97:O97"/>
    <mergeCell ref="P97:U97"/>
    <mergeCell ref="A98:H98"/>
    <mergeCell ref="I98:O98"/>
    <mergeCell ref="P98:U98"/>
  </mergeCells>
  <pageMargins left="0.51181102362204722" right="0.51181102362204722" top="1.1811023622047245" bottom="0.74803149606299213" header="0.31496062992125984" footer="0.31496062992125984"/>
  <pageSetup paperSize="14" scale="86" orientation="portrait" r:id="rId1"/>
  <headerFooter>
    <oddHeader xml:space="preserve">&amp;R
&amp;"Century Gothic,Bold"&amp;18RESERVATION AGREEMENT&amp;"-,Regular"&amp;11
</oddHeader>
    <oddFooter>&amp;C&amp;"Century Gothic,Regular"&amp;8Page &amp;P of &amp;N</oddFooter>
  </headerFooter>
  <rowBreaks count="1" manualBreakCount="1">
    <brk id="60" max="20" man="1"/>
  </rowBreaks>
  <drawing r:id="rId2"/>
  <legacyDrawing r:id="rId3"/>
  <mc:AlternateContent xmlns:mc="http://schemas.openxmlformats.org/markup-compatibility/2006">
    <mc:Choice Requires="x14">
      <controls>
        <mc:AlternateContent xmlns:mc="http://schemas.openxmlformats.org/markup-compatibility/2006">
          <mc:Choice Requires="x14">
            <control shapeId="17421" r:id="rId4" name="Check Box 13">
              <controlPr defaultSize="0" autoFill="0" autoLine="0" autoPict="0">
                <anchor moveWithCells="1">
                  <from>
                    <xdr:col>2</xdr:col>
                    <xdr:colOff>38100</xdr:colOff>
                    <xdr:row>34</xdr:row>
                    <xdr:rowOff>19050</xdr:rowOff>
                  </from>
                  <to>
                    <xdr:col>2</xdr:col>
                    <xdr:colOff>285750</xdr:colOff>
                    <xdr:row>35</xdr:row>
                    <xdr:rowOff>19050</xdr:rowOff>
                  </to>
                </anchor>
              </controlPr>
            </control>
          </mc:Choice>
        </mc:AlternateContent>
        <mc:AlternateContent xmlns:mc="http://schemas.openxmlformats.org/markup-compatibility/2006">
          <mc:Choice Requires="x14">
            <control shapeId="17423" r:id="rId5" name="Check Box 15">
              <controlPr defaultSize="0" autoFill="0" autoLine="0" autoPict="0">
                <anchor moveWithCells="1">
                  <from>
                    <xdr:col>11</xdr:col>
                    <xdr:colOff>57150</xdr:colOff>
                    <xdr:row>34</xdr:row>
                    <xdr:rowOff>0</xdr:rowOff>
                  </from>
                  <to>
                    <xdr:col>12</xdr:col>
                    <xdr:colOff>0</xdr:colOff>
                    <xdr:row>35</xdr:row>
                    <xdr:rowOff>19050</xdr:rowOff>
                  </to>
                </anchor>
              </controlPr>
            </control>
          </mc:Choice>
        </mc:AlternateContent>
        <mc:AlternateContent xmlns:mc="http://schemas.openxmlformats.org/markup-compatibility/2006">
          <mc:Choice Requires="x14">
            <control shapeId="17424" r:id="rId6" name="Check Box 16">
              <controlPr defaultSize="0" autoFill="0" autoLine="0" autoPict="0">
                <anchor moveWithCells="1">
                  <from>
                    <xdr:col>2</xdr:col>
                    <xdr:colOff>257175</xdr:colOff>
                    <xdr:row>16</xdr:row>
                    <xdr:rowOff>0</xdr:rowOff>
                  </from>
                  <to>
                    <xdr:col>3</xdr:col>
                    <xdr:colOff>171450</xdr:colOff>
                    <xdr:row>17</xdr:row>
                    <xdr:rowOff>19050</xdr:rowOff>
                  </to>
                </anchor>
              </controlPr>
            </control>
          </mc:Choice>
        </mc:AlternateContent>
        <mc:AlternateContent xmlns:mc="http://schemas.openxmlformats.org/markup-compatibility/2006">
          <mc:Choice Requires="x14">
            <control shapeId="17425" r:id="rId7" name="Check Box 17">
              <controlPr defaultSize="0" autoFill="0" autoLine="0" autoPict="0">
                <anchor moveWithCells="1">
                  <from>
                    <xdr:col>2</xdr:col>
                    <xdr:colOff>257175</xdr:colOff>
                    <xdr:row>15</xdr:row>
                    <xdr:rowOff>19050</xdr:rowOff>
                  </from>
                  <to>
                    <xdr:col>3</xdr:col>
                    <xdr:colOff>171450</xdr:colOff>
                    <xdr:row>16</xdr:row>
                    <xdr:rowOff>19050</xdr:rowOff>
                  </to>
                </anchor>
              </controlPr>
            </control>
          </mc:Choice>
        </mc:AlternateContent>
        <mc:AlternateContent xmlns:mc="http://schemas.openxmlformats.org/markup-compatibility/2006">
          <mc:Choice Requires="x14">
            <control shapeId="17426" r:id="rId8" name="Check Box 18">
              <controlPr defaultSize="0" autoFill="0" autoLine="0" autoPict="0">
                <anchor moveWithCells="1">
                  <from>
                    <xdr:col>10</xdr:col>
                    <xdr:colOff>133350</xdr:colOff>
                    <xdr:row>15</xdr:row>
                    <xdr:rowOff>209550</xdr:rowOff>
                  </from>
                  <to>
                    <xdr:col>11</xdr:col>
                    <xdr:colOff>28575</xdr:colOff>
                    <xdr:row>17</xdr:row>
                    <xdr:rowOff>0</xdr:rowOff>
                  </to>
                </anchor>
              </controlPr>
            </control>
          </mc:Choice>
        </mc:AlternateContent>
        <mc:AlternateContent xmlns:mc="http://schemas.openxmlformats.org/markup-compatibility/2006">
          <mc:Choice Requires="x14">
            <control shapeId="17427" r:id="rId9" name="Check Box 19">
              <controlPr defaultSize="0" autoFill="0" autoLine="0" autoPict="0">
                <anchor moveWithCells="1">
                  <from>
                    <xdr:col>10</xdr:col>
                    <xdr:colOff>133350</xdr:colOff>
                    <xdr:row>15</xdr:row>
                    <xdr:rowOff>0</xdr:rowOff>
                  </from>
                  <to>
                    <xdr:col>11</xdr:col>
                    <xdr:colOff>28575</xdr:colOff>
                    <xdr:row>16</xdr:row>
                    <xdr:rowOff>19050</xdr:rowOff>
                  </to>
                </anchor>
              </controlPr>
            </control>
          </mc:Choice>
        </mc:AlternateContent>
        <mc:AlternateContent xmlns:mc="http://schemas.openxmlformats.org/markup-compatibility/2006">
          <mc:Choice Requires="x14">
            <control shapeId="17428" r:id="rId10" name="Check Box 20">
              <controlPr defaultSize="0" autoFill="0" autoLine="0" autoPict="0">
                <anchor moveWithCells="1">
                  <from>
                    <xdr:col>18</xdr:col>
                    <xdr:colOff>0</xdr:colOff>
                    <xdr:row>15</xdr:row>
                    <xdr:rowOff>19050</xdr:rowOff>
                  </from>
                  <to>
                    <xdr:col>19</xdr:col>
                    <xdr:colOff>19050</xdr:colOff>
                    <xdr:row>16</xdr:row>
                    <xdr:rowOff>19050</xdr:rowOff>
                  </to>
                </anchor>
              </controlPr>
            </control>
          </mc:Choice>
        </mc:AlternateContent>
        <mc:AlternateContent xmlns:mc="http://schemas.openxmlformats.org/markup-compatibility/2006">
          <mc:Choice Requires="x14">
            <control shapeId="17429" r:id="rId11" name="Check Box 21">
              <controlPr defaultSize="0" autoFill="0" autoLine="0" autoPict="0">
                <anchor moveWithCells="1">
                  <from>
                    <xdr:col>0</xdr:col>
                    <xdr:colOff>57150</xdr:colOff>
                    <xdr:row>86</xdr:row>
                    <xdr:rowOff>0</xdr:rowOff>
                  </from>
                  <to>
                    <xdr:col>2</xdr:col>
                    <xdr:colOff>0</xdr:colOff>
                    <xdr:row>87</xdr:row>
                    <xdr:rowOff>0</xdr:rowOff>
                  </to>
                </anchor>
              </controlPr>
            </control>
          </mc:Choice>
        </mc:AlternateContent>
        <mc:AlternateContent xmlns:mc="http://schemas.openxmlformats.org/markup-compatibility/2006">
          <mc:Choice Requires="x14">
            <control shapeId="17430" r:id="rId12" name="Check Box 22">
              <controlPr defaultSize="0" autoFill="0" autoLine="0" autoPict="0">
                <anchor moveWithCells="1">
                  <from>
                    <xdr:col>8</xdr:col>
                    <xdr:colOff>514350</xdr:colOff>
                    <xdr:row>86</xdr:row>
                    <xdr:rowOff>0</xdr:rowOff>
                  </from>
                  <to>
                    <xdr:col>10</xdr:col>
                    <xdr:colOff>0</xdr:colOff>
                    <xdr:row>87</xdr:row>
                    <xdr:rowOff>0</xdr:rowOff>
                  </to>
                </anchor>
              </controlPr>
            </control>
          </mc:Choice>
        </mc:AlternateContent>
        <mc:AlternateContent xmlns:mc="http://schemas.openxmlformats.org/markup-compatibility/2006">
          <mc:Choice Requires="x14">
            <control shapeId="17431" r:id="rId13" name="Check Box 23">
              <controlPr defaultSize="0" autoFill="0" autoLine="0" autoPict="0">
                <anchor moveWithCells="1">
                  <from>
                    <xdr:col>16</xdr:col>
                    <xdr:colOff>133350</xdr:colOff>
                    <xdr:row>86</xdr:row>
                    <xdr:rowOff>0</xdr:rowOff>
                  </from>
                  <to>
                    <xdr:col>16</xdr:col>
                    <xdr:colOff>342900</xdr:colOff>
                    <xdr:row>87</xdr:row>
                    <xdr:rowOff>19050</xdr:rowOff>
                  </to>
                </anchor>
              </controlPr>
            </control>
          </mc:Choice>
        </mc:AlternateContent>
        <mc:AlternateContent xmlns:mc="http://schemas.openxmlformats.org/markup-compatibility/2006">
          <mc:Choice Requires="x14">
            <control shapeId="17432" r:id="rId14" name="Check Box 24">
              <controlPr defaultSize="0" autoFill="0" autoLine="0" autoPict="0">
                <anchor moveWithCells="1">
                  <from>
                    <xdr:col>18</xdr:col>
                    <xdr:colOff>0</xdr:colOff>
                    <xdr:row>15</xdr:row>
                    <xdr:rowOff>209550</xdr:rowOff>
                  </from>
                  <to>
                    <xdr:col>19</xdr:col>
                    <xdr:colOff>19050</xdr:colOff>
                    <xdr:row>17</xdr:row>
                    <xdr:rowOff>0</xdr:rowOff>
                  </to>
                </anchor>
              </controlPr>
            </control>
          </mc:Choice>
        </mc:AlternateContent>
        <mc:AlternateContent xmlns:mc="http://schemas.openxmlformats.org/markup-compatibility/2006">
          <mc:Choice Requires="x14">
            <control shapeId="17433" r:id="rId15" name="Check Box 25">
              <controlPr defaultSize="0" autoFill="0" autoLine="0" autoPict="0">
                <anchor moveWithCells="1">
                  <from>
                    <xdr:col>17</xdr:col>
                    <xdr:colOff>866775</xdr:colOff>
                    <xdr:row>34</xdr:row>
                    <xdr:rowOff>19050</xdr:rowOff>
                  </from>
                  <to>
                    <xdr:col>18</xdr:col>
                    <xdr:colOff>190500</xdr:colOff>
                    <xdr:row>35</xdr:row>
                    <xdr:rowOff>19050</xdr:rowOff>
                  </to>
                </anchor>
              </controlPr>
            </control>
          </mc:Choice>
        </mc:AlternateContent>
        <mc:AlternateContent xmlns:mc="http://schemas.openxmlformats.org/markup-compatibility/2006">
          <mc:Choice Requires="x14">
            <control shapeId="17434" r:id="rId16" name="Check Box 26">
              <controlPr defaultSize="0" autoFill="0" autoLine="0" autoPict="0">
                <anchor moveWithCells="1">
                  <from>
                    <xdr:col>0</xdr:col>
                    <xdr:colOff>114300</xdr:colOff>
                    <xdr:row>87</xdr:row>
                    <xdr:rowOff>19050</xdr:rowOff>
                  </from>
                  <to>
                    <xdr:col>2</xdr:col>
                    <xdr:colOff>57150</xdr:colOff>
                    <xdr:row>88</xdr:row>
                    <xdr:rowOff>19050</xdr:rowOff>
                  </to>
                </anchor>
              </controlPr>
            </control>
          </mc:Choice>
        </mc:AlternateContent>
        <mc:AlternateContent xmlns:mc="http://schemas.openxmlformats.org/markup-compatibility/2006">
          <mc:Choice Requires="x14">
            <control shapeId="17435" r:id="rId17" name="Check Box 27">
              <controlPr defaultSize="0" autoFill="0" autoLine="0" autoPict="0">
                <anchor moveWithCells="1">
                  <from>
                    <xdr:col>0</xdr:col>
                    <xdr:colOff>114300</xdr:colOff>
                    <xdr:row>87</xdr:row>
                    <xdr:rowOff>190500</xdr:rowOff>
                  </from>
                  <to>
                    <xdr:col>2</xdr:col>
                    <xdr:colOff>57150</xdr:colOff>
                    <xdr:row>89</xdr:row>
                    <xdr:rowOff>0</xdr:rowOff>
                  </to>
                </anchor>
              </controlPr>
            </control>
          </mc:Choice>
        </mc:AlternateContent>
        <mc:AlternateContent xmlns:mc="http://schemas.openxmlformats.org/markup-compatibility/2006">
          <mc:Choice Requires="x14">
            <control shapeId="17436" r:id="rId18" name="Check Box 28">
              <controlPr defaultSize="0" autoFill="0" autoLine="0" autoPict="0">
                <anchor moveWithCells="1">
                  <from>
                    <xdr:col>9</xdr:col>
                    <xdr:colOff>38100</xdr:colOff>
                    <xdr:row>87</xdr:row>
                    <xdr:rowOff>19050</xdr:rowOff>
                  </from>
                  <to>
                    <xdr:col>10</xdr:col>
                    <xdr:colOff>28575</xdr:colOff>
                    <xdr:row>88</xdr:row>
                    <xdr:rowOff>19050</xdr:rowOff>
                  </to>
                </anchor>
              </controlPr>
            </control>
          </mc:Choice>
        </mc:AlternateContent>
        <mc:AlternateContent xmlns:mc="http://schemas.openxmlformats.org/markup-compatibility/2006">
          <mc:Choice Requires="x14">
            <control shapeId="17437" r:id="rId19" name="Check Box 29">
              <controlPr defaultSize="0" autoFill="0" autoLine="0" autoPict="0">
                <anchor moveWithCells="1">
                  <from>
                    <xdr:col>9</xdr:col>
                    <xdr:colOff>38100</xdr:colOff>
                    <xdr:row>87</xdr:row>
                    <xdr:rowOff>209550</xdr:rowOff>
                  </from>
                  <to>
                    <xdr:col>10</xdr:col>
                    <xdr:colOff>28575</xdr:colOff>
                    <xdr:row>89</xdr:row>
                    <xdr:rowOff>0</xdr:rowOff>
                  </to>
                </anchor>
              </controlPr>
            </control>
          </mc:Choice>
        </mc:AlternateContent>
        <mc:AlternateContent xmlns:mc="http://schemas.openxmlformats.org/markup-compatibility/2006">
          <mc:Choice Requires="x14">
            <control shapeId="17438" r:id="rId20" name="Check Box 30">
              <controlPr defaultSize="0" autoFill="0" autoLine="0" autoPict="0">
                <anchor moveWithCells="1">
                  <from>
                    <xdr:col>16</xdr:col>
                    <xdr:colOff>152400</xdr:colOff>
                    <xdr:row>87</xdr:row>
                    <xdr:rowOff>0</xdr:rowOff>
                  </from>
                  <to>
                    <xdr:col>17</xdr:col>
                    <xdr:colOff>19050</xdr:colOff>
                    <xdr:row>88</xdr:row>
                    <xdr:rowOff>0</xdr:rowOff>
                  </to>
                </anchor>
              </controlPr>
            </control>
          </mc:Choice>
        </mc:AlternateContent>
        <mc:AlternateContent xmlns:mc="http://schemas.openxmlformats.org/markup-compatibility/2006">
          <mc:Choice Requires="x14">
            <control shapeId="17439" r:id="rId21" name="Check Box 31">
              <controlPr defaultSize="0" autoFill="0" autoLine="0" autoPict="0">
                <anchor moveWithCells="1">
                  <from>
                    <xdr:col>16</xdr:col>
                    <xdr:colOff>152400</xdr:colOff>
                    <xdr:row>88</xdr:row>
                    <xdr:rowOff>19050</xdr:rowOff>
                  </from>
                  <to>
                    <xdr:col>17</xdr:col>
                    <xdr:colOff>19050</xdr:colOff>
                    <xdr:row>89</xdr:row>
                    <xdr:rowOff>19050</xdr:rowOff>
                  </to>
                </anchor>
              </controlPr>
            </control>
          </mc:Choice>
        </mc:AlternateContent>
        <mc:AlternateContent xmlns:mc="http://schemas.openxmlformats.org/markup-compatibility/2006">
          <mc:Choice Requires="x14">
            <control shapeId="17440" r:id="rId22" name="Check Box 32">
              <controlPr defaultSize="0" autoFill="0" autoLine="0" autoPict="0">
                <anchor moveWithCells="1">
                  <from>
                    <xdr:col>16</xdr:col>
                    <xdr:colOff>152400</xdr:colOff>
                    <xdr:row>89</xdr:row>
                    <xdr:rowOff>0</xdr:rowOff>
                  </from>
                  <to>
                    <xdr:col>17</xdr:col>
                    <xdr:colOff>19050</xdr:colOff>
                    <xdr:row>90</xdr:row>
                    <xdr:rowOff>0</xdr:rowOff>
                  </to>
                </anchor>
              </controlPr>
            </control>
          </mc:Choice>
        </mc:AlternateContent>
      </controls>
    </mc:Choice>
  </mc:AlternateConten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7"/>
  <dimension ref="A1:BB76"/>
  <sheetViews>
    <sheetView showGridLines="0" showZeros="0" showRuler="0" zoomScale="90" zoomScaleNormal="80" zoomScaleSheetLayoutView="100" zoomScalePageLayoutView="80" workbookViewId="0">
      <selection activeCell="E17" sqref="E17"/>
    </sheetView>
  </sheetViews>
  <sheetFormatPr defaultColWidth="9.28515625" defaultRowHeight="15" x14ac:dyDescent="0.25"/>
  <cols>
    <col min="1" max="1" width="1" customWidth="1"/>
    <col min="2" max="2" width="13.28515625" customWidth="1"/>
    <col min="3" max="3" width="18.28515625" customWidth="1"/>
    <col min="4" max="4" width="16.42578125" style="150" customWidth="1"/>
    <col min="5" max="5" width="11.42578125" customWidth="1"/>
    <col min="6" max="6" width="9.42578125" customWidth="1"/>
    <col min="7" max="7" width="13" customWidth="1"/>
    <col min="8" max="8" width="4.28515625" customWidth="1"/>
    <col min="9" max="9" width="22" customWidth="1"/>
    <col min="10" max="10" width="0.7109375" customWidth="1"/>
    <col min="11" max="11" width="1" customWidth="1"/>
    <col min="13" max="13" width="21.5703125" customWidth="1"/>
    <col min="14" max="14" width="17.7109375" style="151" customWidth="1"/>
    <col min="15" max="15" width="5.7109375" customWidth="1"/>
    <col min="16" max="16" width="17.5703125" customWidth="1"/>
    <col min="17" max="17" width="11.28515625" customWidth="1"/>
    <col min="18" max="18" width="9" customWidth="1"/>
    <col min="19" max="19" width="18.28515625" customWidth="1"/>
  </cols>
  <sheetData>
    <row r="1" spans="1:54" ht="7.5" customHeight="1" x14ac:dyDescent="0.25"/>
    <row r="2" spans="1:54" ht="15.75" x14ac:dyDescent="0.3">
      <c r="B2" s="195" t="s">
        <v>681</v>
      </c>
      <c r="C2" s="577">
        <f>FORM!G22</f>
        <v>45870</v>
      </c>
      <c r="D2" s="196"/>
      <c r="F2" s="196"/>
      <c r="G2" s="197" t="s">
        <v>871</v>
      </c>
      <c r="H2" s="1438" t="s">
        <v>683</v>
      </c>
      <c r="I2" s="1438"/>
      <c r="J2" s="196"/>
      <c r="K2" s="6"/>
      <c r="L2" s="198" t="s">
        <v>906</v>
      </c>
      <c r="M2" s="578">
        <f>C2</f>
        <v>45870</v>
      </c>
      <c r="N2" s="199"/>
      <c r="O2" s="199"/>
      <c r="Q2" s="198" t="str">
        <f>G2</f>
        <v xml:space="preserve">PAGE: </v>
      </c>
      <c r="R2" s="1439" t="s">
        <v>685</v>
      </c>
      <c r="S2" s="1440"/>
    </row>
    <row r="3" spans="1:54" s="154" customFormat="1" ht="13.5" x14ac:dyDescent="0.25">
      <c r="B3" s="109"/>
      <c r="C3" s="110"/>
      <c r="D3" s="110"/>
      <c r="E3" s="109"/>
      <c r="F3" s="109"/>
      <c r="G3" s="111"/>
      <c r="H3" s="111"/>
      <c r="I3" s="111"/>
      <c r="J3" s="115"/>
      <c r="K3" s="111"/>
      <c r="L3" s="109"/>
      <c r="M3" s="110"/>
      <c r="N3" s="110"/>
      <c r="O3" s="109"/>
      <c r="P3" s="109"/>
      <c r="Q3" s="109"/>
      <c r="R3" s="1441"/>
      <c r="S3" s="1441"/>
    </row>
    <row r="4" spans="1:54" s="160" customFormat="1" ht="12.75" customHeight="1" x14ac:dyDescent="0.2">
      <c r="A4" s="162"/>
      <c r="B4" s="1319" t="s">
        <v>907</v>
      </c>
      <c r="C4" s="1319"/>
      <c r="D4" s="1319"/>
      <c r="E4" s="1319"/>
      <c r="F4" s="1319"/>
      <c r="G4" s="1319"/>
      <c r="H4" s="1319"/>
      <c r="I4" s="1319"/>
      <c r="J4" s="200"/>
      <c r="K4" s="201"/>
      <c r="L4" s="1319" t="s">
        <v>687</v>
      </c>
      <c r="M4" s="1319"/>
      <c r="N4" s="1319"/>
      <c r="O4" s="1319"/>
      <c r="P4" s="1319"/>
      <c r="Q4" s="1319"/>
      <c r="R4" s="1319"/>
      <c r="S4" s="1319"/>
    </row>
    <row r="5" spans="1:54" s="160" customFormat="1" ht="12.75" customHeight="1" x14ac:dyDescent="0.2">
      <c r="A5" s="162"/>
      <c r="B5" s="1319"/>
      <c r="C5" s="1319"/>
      <c r="D5" s="1319"/>
      <c r="E5" s="1319"/>
      <c r="F5" s="1319"/>
      <c r="G5" s="1319"/>
      <c r="H5" s="1319"/>
      <c r="I5" s="1319"/>
      <c r="J5" s="200"/>
      <c r="K5" s="201"/>
      <c r="L5" s="1319"/>
      <c r="M5" s="1319"/>
      <c r="N5" s="1319"/>
      <c r="O5" s="1319"/>
      <c r="P5" s="1319"/>
      <c r="Q5" s="1319"/>
      <c r="R5" s="1319"/>
      <c r="S5" s="1319"/>
    </row>
    <row r="6" spans="1:54" s="160" customFormat="1" ht="12.75" customHeight="1" x14ac:dyDescent="0.2">
      <c r="A6" s="162"/>
      <c r="B6" s="202"/>
      <c r="C6" s="202"/>
      <c r="D6" s="203"/>
      <c r="E6" s="202"/>
      <c r="F6" s="202"/>
      <c r="G6" s="202"/>
      <c r="H6" s="202"/>
      <c r="I6" s="202"/>
      <c r="J6" s="202"/>
      <c r="K6" s="202"/>
      <c r="L6" s="116"/>
      <c r="M6" s="117"/>
      <c r="N6" s="119"/>
      <c r="O6" s="117"/>
      <c r="P6" s="117"/>
      <c r="Q6" s="117"/>
      <c r="R6" s="117"/>
      <c r="S6" s="119"/>
    </row>
    <row r="7" spans="1:54" s="205" customFormat="1" ht="14.25" x14ac:dyDescent="0.2">
      <c r="A7" s="204"/>
      <c r="B7" s="167" t="s">
        <v>688</v>
      </c>
      <c r="C7" s="122"/>
      <c r="D7" s="310" t="s">
        <v>647</v>
      </c>
      <c r="E7" s="1305">
        <f>FORM!G30</f>
        <v>0</v>
      </c>
      <c r="F7" s="1306"/>
      <c r="G7" s="1306"/>
      <c r="H7" s="1306"/>
      <c r="I7" s="1313"/>
      <c r="J7" s="125"/>
      <c r="K7" s="147"/>
      <c r="L7" s="167" t="s">
        <v>688</v>
      </c>
      <c r="M7" s="136"/>
      <c r="N7" s="310" t="s">
        <v>647</v>
      </c>
      <c r="O7" s="1305">
        <f t="shared" ref="O7:O11" si="0">E7</f>
        <v>0</v>
      </c>
      <c r="P7" s="1306"/>
      <c r="Q7" s="1306"/>
      <c r="R7" s="1306"/>
      <c r="S7" s="1313"/>
      <c r="AN7" s="206"/>
      <c r="BA7" s="207"/>
      <c r="BB7" s="208"/>
    </row>
    <row r="8" spans="1:54" s="205" customFormat="1" ht="14.25" x14ac:dyDescent="0.2">
      <c r="A8" s="204"/>
      <c r="B8" s="308" t="s">
        <v>646</v>
      </c>
      <c r="C8" s="123"/>
      <c r="D8" s="310" t="s">
        <v>647</v>
      </c>
      <c r="E8" s="1305" t="str">
        <f>FORM!G11</f>
        <v>WEECOMM CENTRE</v>
      </c>
      <c r="F8" s="1306"/>
      <c r="G8" s="1306"/>
      <c r="H8" s="1306"/>
      <c r="I8" s="1313"/>
      <c r="J8" s="125"/>
      <c r="K8" s="147"/>
      <c r="L8" s="308" t="s">
        <v>646</v>
      </c>
      <c r="M8" s="127"/>
      <c r="N8" s="310" t="s">
        <v>647</v>
      </c>
      <c r="O8" s="1305" t="str">
        <f t="shared" si="0"/>
        <v>WEECOMM CENTRE</v>
      </c>
      <c r="P8" s="1306"/>
      <c r="Q8" s="1306"/>
      <c r="R8" s="1306"/>
      <c r="S8" s="1313"/>
      <c r="AN8" s="206"/>
      <c r="BA8" s="207"/>
      <c r="BB8" s="208"/>
    </row>
    <row r="9" spans="1:54" s="205" customFormat="1" ht="14.25" x14ac:dyDescent="0.2">
      <c r="A9" s="204"/>
      <c r="B9" s="308" t="s">
        <v>689</v>
      </c>
      <c r="C9" s="123"/>
      <c r="D9" s="310" t="s">
        <v>647</v>
      </c>
      <c r="E9" s="1305" t="str">
        <f>'STANDARD COMP.'!E8</f>
        <v>9G</v>
      </c>
      <c r="F9" s="1306"/>
      <c r="G9" s="1306"/>
      <c r="H9" s="1306"/>
      <c r="I9" s="1313"/>
      <c r="J9" s="125"/>
      <c r="K9" s="147"/>
      <c r="L9" s="308" t="s">
        <v>689</v>
      </c>
      <c r="M9" s="127"/>
      <c r="N9" s="310" t="s">
        <v>647</v>
      </c>
      <c r="O9" s="1305" t="str">
        <f t="shared" si="0"/>
        <v>9G</v>
      </c>
      <c r="P9" s="1306"/>
      <c r="Q9" s="1306"/>
      <c r="R9" s="1306"/>
      <c r="S9" s="1313"/>
      <c r="AN9" s="206"/>
      <c r="BA9" s="207"/>
      <c r="BB9" s="208"/>
    </row>
    <row r="10" spans="1:54" s="205" customFormat="1" ht="14.25" hidden="1" x14ac:dyDescent="0.2">
      <c r="A10" s="204"/>
      <c r="B10" s="308" t="s">
        <v>690</v>
      </c>
      <c r="C10" s="123"/>
      <c r="D10" s="310" t="s">
        <v>647</v>
      </c>
      <c r="E10" s="1305">
        <f>FORM!G14</f>
        <v>1</v>
      </c>
      <c r="F10" s="1306"/>
      <c r="G10" s="1306"/>
      <c r="H10" s="1306"/>
      <c r="I10" s="1313"/>
      <c r="J10" s="125"/>
      <c r="K10" s="147"/>
      <c r="L10" s="308" t="s">
        <v>690</v>
      </c>
      <c r="M10" s="127"/>
      <c r="N10" s="310" t="s">
        <v>647</v>
      </c>
      <c r="O10" s="1305">
        <f t="shared" si="0"/>
        <v>1</v>
      </c>
      <c r="P10" s="1306"/>
      <c r="Q10" s="1306"/>
      <c r="R10" s="1306"/>
      <c r="S10" s="1313"/>
      <c r="AN10" s="206"/>
      <c r="BA10" s="207"/>
      <c r="BB10" s="208"/>
    </row>
    <row r="11" spans="1:54" s="205" customFormat="1" ht="14.25" x14ac:dyDescent="0.2">
      <c r="A11" s="204"/>
      <c r="B11" s="308" t="s">
        <v>612</v>
      </c>
      <c r="C11" s="123"/>
      <c r="D11" s="310" t="s">
        <v>647</v>
      </c>
      <c r="E11" s="1305" t="str">
        <f>'STANDARD COMP.'!E10:F10</f>
        <v>2-BR</v>
      </c>
      <c r="F11" s="1306"/>
      <c r="G11" s="126" t="str">
        <f>'STANDARD COMP.'!G10:I10</f>
        <v>BARE</v>
      </c>
      <c r="H11" s="126"/>
      <c r="I11" s="128"/>
      <c r="J11" s="125"/>
      <c r="K11" s="147"/>
      <c r="L11" s="308" t="s">
        <v>612</v>
      </c>
      <c r="M11" s="127"/>
      <c r="N11" s="310" t="s">
        <v>647</v>
      </c>
      <c r="O11" s="1305" t="str">
        <f t="shared" si="0"/>
        <v>2-BR</v>
      </c>
      <c r="P11" s="1306"/>
      <c r="Q11" s="597" t="str">
        <f>G11</f>
        <v>BARE</v>
      </c>
      <c r="R11" s="605"/>
      <c r="S11" s="606"/>
      <c r="AN11" s="206"/>
      <c r="BA11" s="207"/>
      <c r="BB11" s="208"/>
    </row>
    <row r="12" spans="1:54" s="205" customFormat="1" ht="14.25" x14ac:dyDescent="0.3">
      <c r="A12" s="204"/>
      <c r="B12" s="308" t="s">
        <v>692</v>
      </c>
      <c r="C12" s="123"/>
      <c r="D12" s="310" t="s">
        <v>647</v>
      </c>
      <c r="E12" s="1420">
        <f>'STANDARD COMP.'!E11:F11</f>
        <v>95.44</v>
      </c>
      <c r="F12" s="1421"/>
      <c r="G12" s="124" t="s">
        <v>693</v>
      </c>
      <c r="H12" s="209"/>
      <c r="I12" s="210"/>
      <c r="J12" s="125"/>
      <c r="K12" s="147"/>
      <c r="L12" s="308" t="s">
        <v>692</v>
      </c>
      <c r="M12" s="127"/>
      <c r="N12" s="310" t="s">
        <v>647</v>
      </c>
      <c r="O12" s="1305">
        <f>E12</f>
        <v>95.44</v>
      </c>
      <c r="P12" s="1433"/>
      <c r="Q12" s="598" t="s">
        <v>693</v>
      </c>
      <c r="R12" s="211"/>
      <c r="S12" s="128"/>
      <c r="AN12" s="206"/>
      <c r="BA12" s="207"/>
      <c r="BB12" s="208"/>
    </row>
    <row r="13" spans="1:54" s="205" customFormat="1" ht="14.25" x14ac:dyDescent="0.3">
      <c r="A13" s="204"/>
      <c r="B13" s="127" t="s">
        <v>694</v>
      </c>
      <c r="C13" s="123"/>
      <c r="D13" s="310" t="s">
        <v>647</v>
      </c>
      <c r="E13" s="1434">
        <f>'STANDARD COMP.'!E12:F12</f>
        <v>13.34</v>
      </c>
      <c r="F13" s="1435"/>
      <c r="G13" s="212" t="s">
        <v>693</v>
      </c>
      <c r="H13" s="213"/>
      <c r="I13" s="214"/>
      <c r="J13" s="124"/>
      <c r="K13" s="147"/>
      <c r="L13" s="127" t="s">
        <v>694</v>
      </c>
      <c r="M13" s="127"/>
      <c r="N13" s="312" t="s">
        <v>647</v>
      </c>
      <c r="O13" s="1429">
        <f>E13</f>
        <v>13.34</v>
      </c>
      <c r="P13" s="1430"/>
      <c r="Q13" s="310" t="s">
        <v>693</v>
      </c>
      <c r="R13" s="21"/>
      <c r="S13" s="215"/>
      <c r="AN13" s="206"/>
      <c r="BA13" s="207"/>
      <c r="BB13" s="208"/>
    </row>
    <row r="14" spans="1:54" s="205" customFormat="1" ht="14.25" x14ac:dyDescent="0.3">
      <c r="A14" s="204"/>
      <c r="B14" s="121" t="s">
        <v>695</v>
      </c>
      <c r="C14" s="129"/>
      <c r="D14" s="310" t="s">
        <v>647</v>
      </c>
      <c r="E14" s="1425">
        <f>'STANDARD COMP.'!E13:F13</f>
        <v>108.78</v>
      </c>
      <c r="F14" s="1426"/>
      <c r="G14" s="126" t="s">
        <v>693</v>
      </c>
      <c r="H14" s="126"/>
      <c r="I14" s="216"/>
      <c r="J14" s="124" t="s">
        <v>660</v>
      </c>
      <c r="K14" s="147"/>
      <c r="L14" s="121" t="s">
        <v>695</v>
      </c>
      <c r="M14" s="139"/>
      <c r="N14" s="310" t="s">
        <v>647</v>
      </c>
      <c r="O14" s="1427">
        <f>E14</f>
        <v>108.78</v>
      </c>
      <c r="P14" s="1428"/>
      <c r="Q14" s="598" t="s">
        <v>693</v>
      </c>
      <c r="R14" s="211"/>
      <c r="S14" s="128"/>
      <c r="AN14" s="206"/>
      <c r="BA14" s="207"/>
      <c r="BB14" s="208"/>
    </row>
    <row r="15" spans="1:54" ht="16.5" x14ac:dyDescent="0.25">
      <c r="A15" s="184"/>
      <c r="B15" s="144"/>
      <c r="C15" s="144"/>
      <c r="D15" s="217"/>
      <c r="E15" s="218"/>
      <c r="F15" s="131"/>
      <c r="G15" s="131"/>
      <c r="H15" s="131"/>
      <c r="I15" s="131"/>
      <c r="J15" s="219"/>
      <c r="K15" s="144"/>
      <c r="L15" s="144"/>
      <c r="M15" s="144"/>
      <c r="N15" s="220"/>
      <c r="O15" s="144"/>
      <c r="P15" s="144"/>
      <c r="Q15" s="144"/>
      <c r="R15" s="144"/>
      <c r="S15" s="144"/>
    </row>
    <row r="16" spans="1:54" x14ac:dyDescent="0.25">
      <c r="A16" s="184"/>
      <c r="B16" s="221" t="s">
        <v>696</v>
      </c>
      <c r="C16" s="222"/>
      <c r="D16" s="223" t="s">
        <v>647</v>
      </c>
      <c r="E16" s="694">
        <f>'STANDARD COMP.'!E29</f>
        <v>7</v>
      </c>
      <c r="F16" s="1117">
        <f>'STANDARD COMP.'!F15</f>
        <v>20466686.730335645</v>
      </c>
      <c r="G16" s="1117"/>
      <c r="H16" s="1432"/>
      <c r="I16" s="224"/>
      <c r="J16" s="225"/>
      <c r="K16" s="225"/>
      <c r="L16" s="1116" t="s">
        <v>697</v>
      </c>
      <c r="M16" s="1116"/>
      <c r="N16" s="1168" t="s">
        <v>698</v>
      </c>
      <c r="O16" s="1116" t="s">
        <v>699</v>
      </c>
      <c r="P16" s="1116"/>
      <c r="Q16" s="1108" t="s">
        <v>639</v>
      </c>
      <c r="R16" s="1436"/>
      <c r="S16" s="1109"/>
    </row>
    <row r="17" spans="1:19" s="228" customFormat="1" ht="16.5" x14ac:dyDescent="0.25">
      <c r="A17" s="184"/>
      <c r="B17" s="226" t="s">
        <v>908</v>
      </c>
      <c r="C17" s="227"/>
      <c r="D17" s="217" t="s">
        <v>647</v>
      </c>
      <c r="E17" s="693"/>
      <c r="F17" s="1423">
        <f>F16*E17</f>
        <v>0</v>
      </c>
      <c r="G17" s="1423"/>
      <c r="H17" s="1431"/>
      <c r="I17" s="224"/>
      <c r="J17" s="144"/>
      <c r="K17" s="144"/>
      <c r="L17" s="1116"/>
      <c r="M17" s="1116"/>
      <c r="N17" s="1168"/>
      <c r="O17" s="1116"/>
      <c r="P17" s="1116"/>
      <c r="Q17" s="1110"/>
      <c r="R17" s="1437"/>
      <c r="S17" s="1111"/>
    </row>
    <row r="18" spans="1:19" ht="16.5" x14ac:dyDescent="0.25">
      <c r="A18" s="229"/>
      <c r="B18" s="226" t="s">
        <v>700</v>
      </c>
      <c r="C18" s="227"/>
      <c r="D18" s="217" t="s">
        <v>647</v>
      </c>
      <c r="E18" s="693">
        <v>0</v>
      </c>
      <c r="F18" s="1422">
        <f>F16*E18</f>
        <v>0</v>
      </c>
      <c r="G18" s="1423"/>
      <c r="H18" s="1423"/>
      <c r="I18" s="1424"/>
      <c r="J18" s="225"/>
      <c r="K18" s="225"/>
      <c r="L18" s="1274" t="s">
        <v>624</v>
      </c>
      <c r="M18" s="1274"/>
      <c r="N18" s="137">
        <f>C2</f>
        <v>45870</v>
      </c>
      <c r="O18" s="1301">
        <f>F27</f>
        <v>50000</v>
      </c>
      <c r="P18" s="1301"/>
      <c r="Q18" s="1413"/>
      <c r="R18" s="1414"/>
      <c r="S18" s="1415"/>
    </row>
    <row r="19" spans="1:19" s="228" customFormat="1" ht="16.5" x14ac:dyDescent="0.25">
      <c r="A19" s="184"/>
      <c r="B19" s="187" t="s">
        <v>92</v>
      </c>
      <c r="C19" s="143"/>
      <c r="D19" s="223" t="s">
        <v>647</v>
      </c>
      <c r="E19" s="230"/>
      <c r="F19" s="1419">
        <f>F16-(F17+F18)</f>
        <v>20466686.730335645</v>
      </c>
      <c r="G19" s="1117"/>
      <c r="H19" s="1117"/>
      <c r="I19" s="1118"/>
      <c r="J19" s="144"/>
      <c r="K19" s="144"/>
      <c r="L19" s="1274" t="s">
        <v>909</v>
      </c>
      <c r="M19" s="1274"/>
      <c r="N19" s="137">
        <f>N18+30</f>
        <v>45900</v>
      </c>
      <c r="O19" s="1301">
        <f>F28</f>
        <v>24407690.642751098</v>
      </c>
      <c r="P19" s="1301"/>
      <c r="Q19" s="1413"/>
      <c r="R19" s="1414"/>
      <c r="S19" s="1415"/>
    </row>
    <row r="20" spans="1:19" ht="16.5" x14ac:dyDescent="0.25">
      <c r="A20" s="184"/>
      <c r="B20" s="231"/>
      <c r="C20" s="232"/>
      <c r="D20" s="217"/>
      <c r="E20" s="217"/>
      <c r="F20" s="233"/>
      <c r="G20" s="233"/>
      <c r="H20" s="233"/>
      <c r="I20" s="131"/>
      <c r="J20" s="144"/>
      <c r="K20" s="144"/>
      <c r="L20" s="1416"/>
      <c r="M20" s="1416"/>
      <c r="N20" s="306"/>
      <c r="O20" s="1417"/>
      <c r="P20" s="1417"/>
      <c r="Q20" s="1418"/>
      <c r="R20" s="1418"/>
      <c r="S20" s="225"/>
    </row>
    <row r="21" spans="1:19" ht="16.5" x14ac:dyDescent="0.25">
      <c r="A21" s="184"/>
      <c r="B21" s="234" t="s">
        <v>704</v>
      </c>
      <c r="C21" s="227"/>
      <c r="D21" s="217" t="s">
        <v>647</v>
      </c>
      <c r="E21" s="235">
        <v>7.4999999999999997E-2</v>
      </c>
      <c r="F21" s="1391">
        <f>E21*F16</f>
        <v>1535001.5047751733</v>
      </c>
      <c r="G21" s="1392"/>
      <c r="H21" s="1393"/>
      <c r="I21" s="236"/>
      <c r="J21" s="144"/>
      <c r="K21" s="144"/>
      <c r="L21" s="249"/>
      <c r="M21" s="249"/>
      <c r="N21" s="250"/>
      <c r="O21" s="251"/>
      <c r="P21" s="251"/>
      <c r="Q21" s="251"/>
      <c r="R21" s="225"/>
      <c r="S21" s="225"/>
    </row>
    <row r="22" spans="1:19" ht="16.5" x14ac:dyDescent="0.25">
      <c r="A22" s="184"/>
      <c r="B22" s="237" t="s">
        <v>619</v>
      </c>
      <c r="C22" s="238"/>
      <c r="D22" s="217" t="s">
        <v>647</v>
      </c>
      <c r="E22" s="239">
        <v>0.12</v>
      </c>
      <c r="F22" s="1391">
        <f>IF(F19&lt;=PriceLink_Fitted!P11,"",E22*F19)</f>
        <v>2456002.4076402774</v>
      </c>
      <c r="G22" s="1392"/>
      <c r="H22" s="1393"/>
      <c r="I22" s="236"/>
      <c r="J22" s="144"/>
      <c r="K22" s="144"/>
      <c r="L22" s="249"/>
      <c r="M22" s="249"/>
      <c r="N22" s="250"/>
      <c r="O22" s="251"/>
      <c r="P22" s="251"/>
      <c r="Q22" s="251"/>
      <c r="R22" s="225"/>
      <c r="S22" s="225"/>
    </row>
    <row r="23" spans="1:19" ht="16.5" x14ac:dyDescent="0.25">
      <c r="A23" s="229"/>
      <c r="B23" s="240"/>
      <c r="C23" s="241"/>
      <c r="D23" s="217"/>
      <c r="E23" s="131"/>
      <c r="F23" s="233"/>
      <c r="G23" s="233"/>
      <c r="H23" s="233"/>
      <c r="I23" s="131"/>
      <c r="J23" s="225"/>
      <c r="K23" s="225"/>
      <c r="L23" s="253"/>
      <c r="M23" s="144"/>
      <c r="N23" s="220"/>
      <c r="O23" s="144"/>
      <c r="P23" s="144"/>
      <c r="Q23" s="144"/>
      <c r="R23" s="144"/>
      <c r="S23" s="144"/>
    </row>
    <row r="24" spans="1:19" s="228" customFormat="1" ht="16.5" x14ac:dyDescent="0.25">
      <c r="A24" s="184"/>
      <c r="B24" s="187" t="s">
        <v>621</v>
      </c>
      <c r="C24" s="143"/>
      <c r="D24" s="223" t="s">
        <v>647</v>
      </c>
      <c r="E24" s="242"/>
      <c r="F24" s="1404">
        <f>F19+F22+F21</f>
        <v>24457690.642751098</v>
      </c>
      <c r="G24" s="1375"/>
      <c r="H24" s="1376"/>
      <c r="I24" s="224"/>
      <c r="J24" s="144"/>
      <c r="K24" s="144"/>
      <c r="L24" s="225" t="s">
        <v>774</v>
      </c>
      <c r="M24" s="225"/>
      <c r="N24" s="249"/>
      <c r="O24" s="225"/>
      <c r="P24"/>
      <c r="Q24" s="225" t="s">
        <v>775</v>
      </c>
      <c r="R24" s="144"/>
      <c r="S24" s="144"/>
    </row>
    <row r="25" spans="1:19" ht="16.5" x14ac:dyDescent="0.25">
      <c r="A25" s="184"/>
      <c r="B25" s="231"/>
      <c r="C25" s="144"/>
      <c r="D25" s="217"/>
      <c r="E25" s="131"/>
      <c r="F25" s="233"/>
      <c r="G25" s="233"/>
      <c r="H25" s="233"/>
      <c r="I25" s="131"/>
      <c r="J25" s="144"/>
      <c r="K25" s="144"/>
      <c r="L25" s="144"/>
      <c r="M25" s="144"/>
      <c r="N25" s="252"/>
      <c r="O25" s="144"/>
      <c r="P25" s="144"/>
      <c r="Q25" s="144"/>
      <c r="R25" s="144"/>
      <c r="S25" s="144"/>
    </row>
    <row r="26" spans="1:19" s="228" customFormat="1" ht="16.5" x14ac:dyDescent="0.25">
      <c r="A26" s="229"/>
      <c r="B26" s="1410" t="s">
        <v>909</v>
      </c>
      <c r="C26" s="1410"/>
      <c r="D26" s="223" t="s">
        <v>647</v>
      </c>
      <c r="E26" s="243">
        <v>1</v>
      </c>
      <c r="F26" s="1374">
        <f>F24*E26</f>
        <v>24457690.642751098</v>
      </c>
      <c r="G26" s="1375"/>
      <c r="H26" s="1375"/>
      <c r="I26" s="1398"/>
      <c r="J26" s="225"/>
      <c r="K26" s="225"/>
      <c r="L26" s="144"/>
      <c r="M26" s="144"/>
      <c r="N26" s="252"/>
      <c r="O26" s="144"/>
      <c r="P26" s="144"/>
      <c r="Q26" s="144"/>
      <c r="R26" s="144"/>
      <c r="S26" s="144"/>
    </row>
    <row r="27" spans="1:19" s="228" customFormat="1" x14ac:dyDescent="0.25">
      <c r="A27" s="184"/>
      <c r="B27" s="1156" t="s">
        <v>910</v>
      </c>
      <c r="C27" s="1156"/>
      <c r="D27" s="217" t="s">
        <v>647</v>
      </c>
      <c r="E27" s="244"/>
      <c r="F27" s="1405">
        <f>'STANDARD COMP.'!F26</f>
        <v>50000</v>
      </c>
      <c r="G27" s="1406"/>
      <c r="H27" s="1406"/>
      <c r="I27" s="1407"/>
      <c r="J27" s="225"/>
      <c r="K27" s="225"/>
      <c r="L27" s="1408" t="str">
        <f>FORM!G32</f>
        <v>Seller</v>
      </c>
      <c r="M27" s="1408"/>
      <c r="N27" s="1408"/>
      <c r="O27" s="225"/>
      <c r="P27" s="225"/>
      <c r="Q27" s="1408">
        <f>FORM!G30</f>
        <v>0</v>
      </c>
      <c r="R27" s="1408"/>
      <c r="S27" s="1408"/>
    </row>
    <row r="28" spans="1:19" ht="16.5" x14ac:dyDescent="0.25">
      <c r="A28" s="229"/>
      <c r="B28" s="1410" t="s">
        <v>911</v>
      </c>
      <c r="C28" s="1410"/>
      <c r="D28" s="223" t="s">
        <v>647</v>
      </c>
      <c r="E28" s="245"/>
      <c r="F28" s="1374">
        <f>F26-F27</f>
        <v>24407690.642751098</v>
      </c>
      <c r="G28" s="1375"/>
      <c r="H28" s="1375"/>
      <c r="I28" s="1398"/>
      <c r="J28" s="144"/>
      <c r="K28" s="144"/>
      <c r="L28" s="254" t="s">
        <v>776</v>
      </c>
      <c r="M28" s="1411"/>
      <c r="N28" s="1412"/>
      <c r="O28" s="144"/>
      <c r="P28" s="144"/>
      <c r="Q28" s="255" t="s">
        <v>777</v>
      </c>
      <c r="R28" s="1411"/>
      <c r="S28" s="1412"/>
    </row>
    <row r="29" spans="1:19" ht="16.5" x14ac:dyDescent="0.3">
      <c r="A29" s="184"/>
      <c r="B29" s="231"/>
      <c r="C29" s="144"/>
      <c r="D29" s="217"/>
      <c r="E29" s="144"/>
      <c r="F29" s="144"/>
      <c r="G29" s="144"/>
      <c r="H29" s="144"/>
      <c r="I29" s="144"/>
      <c r="J29" s="144"/>
      <c r="K29" s="144"/>
      <c r="L29" s="5"/>
      <c r="M29" s="5"/>
      <c r="N29" s="256"/>
      <c r="O29" s="5"/>
      <c r="P29" s="5"/>
      <c r="Q29" s="5"/>
      <c r="R29" s="5"/>
      <c r="S29" s="5"/>
    </row>
    <row r="30" spans="1:19" s="228" customFormat="1" ht="16.5" x14ac:dyDescent="0.3">
      <c r="A30" s="184"/>
      <c r="B30"/>
      <c r="C30"/>
      <c r="D30" s="150"/>
      <c r="E30" s="246"/>
      <c r="F30"/>
      <c r="G30"/>
      <c r="H30"/>
      <c r="I30" s="225"/>
      <c r="J30" s="225"/>
      <c r="K30" s="225"/>
      <c r="L30" s="5"/>
      <c r="M30" s="5"/>
      <c r="N30" s="256"/>
      <c r="O30" s="5"/>
      <c r="P30" s="5"/>
      <c r="Q30" s="5"/>
      <c r="R30" s="5"/>
      <c r="S30" s="5"/>
    </row>
    <row r="31" spans="1:19" ht="16.5" x14ac:dyDescent="0.3">
      <c r="A31" s="184"/>
      <c r="I31" s="144"/>
      <c r="J31" s="144"/>
      <c r="K31" s="144"/>
      <c r="L31" s="5"/>
      <c r="M31" s="5"/>
      <c r="N31" s="256"/>
      <c r="O31" s="5"/>
      <c r="P31" s="5"/>
      <c r="Q31" s="5"/>
      <c r="R31" s="5"/>
      <c r="S31" s="5"/>
    </row>
    <row r="32" spans="1:19" ht="16.5" x14ac:dyDescent="0.3">
      <c r="A32" s="184"/>
      <c r="B32" s="142" t="s">
        <v>749</v>
      </c>
      <c r="C32" s="247"/>
      <c r="D32" s="225"/>
      <c r="E32" s="225"/>
      <c r="F32" s="225"/>
      <c r="G32" s="225"/>
      <c r="H32" s="225"/>
      <c r="I32" s="225"/>
      <c r="J32" s="144"/>
      <c r="K32" s="144"/>
      <c r="L32" s="1409"/>
      <c r="M32" s="1409"/>
      <c r="N32" s="1409"/>
      <c r="O32" s="5"/>
      <c r="P32" s="5"/>
      <c r="Q32" s="5"/>
      <c r="R32" s="5"/>
      <c r="S32" s="5"/>
    </row>
    <row r="33" spans="1:19" ht="16.5" x14ac:dyDescent="0.3">
      <c r="A33" s="184"/>
      <c r="B33" s="225"/>
      <c r="C33" s="225"/>
      <c r="D33" s="225"/>
      <c r="E33" s="225"/>
      <c r="F33" s="225"/>
      <c r="G33" s="225"/>
      <c r="H33" s="225"/>
      <c r="I33" s="225"/>
      <c r="J33" s="144"/>
      <c r="K33" s="144"/>
      <c r="L33" s="5"/>
      <c r="M33" s="256"/>
      <c r="N33" s="256"/>
      <c r="O33" s="5"/>
      <c r="P33" s="5"/>
      <c r="Q33" s="5"/>
      <c r="R33" s="5"/>
      <c r="S33" s="5"/>
    </row>
    <row r="34" spans="1:19" ht="16.5" x14ac:dyDescent="0.3">
      <c r="A34" s="184"/>
      <c r="B34" s="1277" t="s">
        <v>752</v>
      </c>
      <c r="C34" s="1277"/>
      <c r="D34" s="1277" t="s">
        <v>753</v>
      </c>
      <c r="E34" s="1277"/>
      <c r="F34" s="1277"/>
      <c r="G34" s="1277"/>
      <c r="H34" s="1277" t="s">
        <v>754</v>
      </c>
      <c r="I34" s="1277"/>
      <c r="J34" s="144"/>
      <c r="K34" s="144"/>
      <c r="L34" s="5"/>
      <c r="M34" s="256"/>
      <c r="N34" s="256"/>
      <c r="O34" s="5"/>
      <c r="P34" s="5"/>
      <c r="Q34" s="5"/>
      <c r="R34" s="5"/>
      <c r="S34" s="5"/>
    </row>
    <row r="35" spans="1:19" ht="16.5" x14ac:dyDescent="0.25">
      <c r="A35" s="184"/>
      <c r="B35" s="1443">
        <f>'SPOT EQUITY_30DAYS'!B52</f>
        <v>0</v>
      </c>
      <c r="C35" s="1445"/>
      <c r="D35" s="1443">
        <f>'SPOT EQUITY_30DAYS'!D52:D52</f>
        <v>0</v>
      </c>
      <c r="E35" s="1444"/>
      <c r="F35" s="1444"/>
      <c r="G35" s="1445"/>
      <c r="H35" s="1366">
        <f>'SPOT EQUITY_30DAYS'!G52</f>
        <v>0</v>
      </c>
      <c r="I35" s="1367"/>
      <c r="J35" s="144"/>
      <c r="K35" s="144"/>
      <c r="M35" s="151"/>
    </row>
    <row r="36" spans="1:19" ht="16.5" x14ac:dyDescent="0.25">
      <c r="A36" s="184"/>
      <c r="B36" s="1446"/>
      <c r="C36" s="1448"/>
      <c r="D36" s="1446"/>
      <c r="E36" s="1447"/>
      <c r="F36" s="1447"/>
      <c r="G36" s="1448"/>
      <c r="H36" s="1368"/>
      <c r="I36" s="1369"/>
      <c r="J36" s="144"/>
      <c r="K36" s="144"/>
    </row>
    <row r="37" spans="1:19" ht="16.5" x14ac:dyDescent="0.25">
      <c r="A37" s="184"/>
      <c r="B37" s="1443">
        <f>'SPOT EQUITY_30DAYS'!B54</f>
        <v>0</v>
      </c>
      <c r="C37" s="1445"/>
      <c r="D37" s="1443">
        <f>'SPOT EQUITY_30DAYS'!D54:D54</f>
        <v>0</v>
      </c>
      <c r="E37" s="1444"/>
      <c r="F37" s="1444"/>
      <c r="G37" s="1445"/>
      <c r="H37" s="1366">
        <f>'SPOT EQUITY_30DAYS'!G54</f>
        <v>0</v>
      </c>
      <c r="I37" s="1367"/>
      <c r="J37" s="144"/>
      <c r="K37" s="144"/>
    </row>
    <row r="38" spans="1:19" ht="16.5" customHeight="1" x14ac:dyDescent="0.25">
      <c r="A38" s="184"/>
      <c r="B38" s="1446"/>
      <c r="C38" s="1448"/>
      <c r="D38" s="1446"/>
      <c r="E38" s="1447"/>
      <c r="F38" s="1447"/>
      <c r="G38" s="1448"/>
      <c r="H38" s="1368"/>
      <c r="I38" s="1369"/>
      <c r="J38" s="144"/>
      <c r="K38" s="144"/>
    </row>
    <row r="39" spans="1:19" ht="16.5" x14ac:dyDescent="0.25">
      <c r="A39" s="184"/>
      <c r="B39" s="1443">
        <f>'SPOT EQUITY_30DAYS'!B56</f>
        <v>0</v>
      </c>
      <c r="C39" s="1445"/>
      <c r="D39" s="1443">
        <f>'SPOT EQUITY_30DAYS'!D56:D56</f>
        <v>0</v>
      </c>
      <c r="E39" s="1444"/>
      <c r="F39" s="1444"/>
      <c r="G39" s="1445"/>
      <c r="H39" s="1366">
        <f>'SPOT EQUITY_30DAYS'!G56</f>
        <v>0</v>
      </c>
      <c r="I39" s="1367"/>
      <c r="J39" s="144"/>
      <c r="K39" s="144"/>
    </row>
    <row r="40" spans="1:19" ht="16.5" customHeight="1" x14ac:dyDescent="0.25">
      <c r="A40" s="184"/>
      <c r="B40" s="1446"/>
      <c r="C40" s="1448"/>
      <c r="D40" s="1446"/>
      <c r="E40" s="1447"/>
      <c r="F40" s="1447"/>
      <c r="G40" s="1448"/>
      <c r="H40" s="1368"/>
      <c r="I40" s="1369"/>
      <c r="J40" s="144"/>
      <c r="K40" s="144"/>
    </row>
    <row r="41" spans="1:19" ht="16.5" x14ac:dyDescent="0.25">
      <c r="A41" s="184"/>
      <c r="B41" s="1443">
        <f>'SPOT EQUITY_30DAYS'!B58</f>
        <v>0</v>
      </c>
      <c r="C41" s="1445"/>
      <c r="D41" s="1443">
        <f>'SPOT EQUITY_30DAYS'!D58:D58</f>
        <v>0</v>
      </c>
      <c r="E41" s="1444"/>
      <c r="F41" s="1444"/>
      <c r="G41" s="1445"/>
      <c r="H41" s="1366">
        <f>'SPOT EQUITY_30DAYS'!G58</f>
        <v>0</v>
      </c>
      <c r="I41" s="1367"/>
      <c r="J41" s="144"/>
      <c r="K41" s="144"/>
    </row>
    <row r="42" spans="1:19" ht="16.5" customHeight="1" x14ac:dyDescent="0.25">
      <c r="A42" s="184"/>
      <c r="B42" s="1446"/>
      <c r="C42" s="1448"/>
      <c r="D42" s="1446"/>
      <c r="E42" s="1447"/>
      <c r="F42" s="1447"/>
      <c r="G42" s="1448"/>
      <c r="H42" s="1368"/>
      <c r="I42" s="1369"/>
      <c r="J42" s="144"/>
      <c r="K42" s="144"/>
    </row>
    <row r="43" spans="1:19" ht="16.5" x14ac:dyDescent="0.25">
      <c r="A43" s="184"/>
      <c r="B43" s="1443">
        <f>'SPOT EQUITY_30DAYS'!B60</f>
        <v>0</v>
      </c>
      <c r="C43" s="1445"/>
      <c r="D43" s="1443">
        <f>'SPOT EQUITY_30DAYS'!D60:D60</f>
        <v>0</v>
      </c>
      <c r="E43" s="1444"/>
      <c r="F43" s="1444"/>
      <c r="G43" s="1445"/>
      <c r="H43" s="1366">
        <f>'SPOT EQUITY_30DAYS'!G60</f>
        <v>0</v>
      </c>
      <c r="I43" s="1367"/>
      <c r="J43" s="144"/>
      <c r="K43" s="144"/>
    </row>
    <row r="44" spans="1:19" ht="16.5" customHeight="1" x14ac:dyDescent="0.25">
      <c r="A44" s="184"/>
      <c r="B44" s="1446"/>
      <c r="C44" s="1448"/>
      <c r="D44" s="1446"/>
      <c r="E44" s="1447"/>
      <c r="F44" s="1447"/>
      <c r="G44" s="1448"/>
      <c r="H44" s="1368"/>
      <c r="I44" s="1369"/>
      <c r="J44" s="144"/>
      <c r="K44" s="144"/>
    </row>
    <row r="45" spans="1:19" ht="16.5" x14ac:dyDescent="0.25">
      <c r="A45" s="184"/>
      <c r="B45" s="1443">
        <f>'SPOT EQUITY_30DAYS'!B62</f>
        <v>0</v>
      </c>
      <c r="C45" s="1445"/>
      <c r="D45" s="1443">
        <f>'SPOT EQUITY_30DAYS'!D62:D62</f>
        <v>0</v>
      </c>
      <c r="E45" s="1444"/>
      <c r="F45" s="1444"/>
      <c r="G45" s="1445"/>
      <c r="H45" s="1366">
        <f>'SPOT EQUITY_30DAYS'!G62</f>
        <v>0</v>
      </c>
      <c r="I45" s="1367"/>
      <c r="J45" s="144"/>
      <c r="K45" s="144"/>
    </row>
    <row r="46" spans="1:19" ht="12.75" customHeight="1" x14ac:dyDescent="0.25">
      <c r="A46" s="184"/>
      <c r="B46" s="1446"/>
      <c r="C46" s="1448"/>
      <c r="D46" s="1446"/>
      <c r="E46" s="1447"/>
      <c r="F46" s="1447"/>
      <c r="G46" s="1448"/>
      <c r="H46" s="1368"/>
      <c r="I46" s="1369"/>
      <c r="J46" s="144"/>
      <c r="K46" s="144"/>
    </row>
    <row r="47" spans="1:19" ht="12.75" customHeight="1" x14ac:dyDescent="0.25">
      <c r="A47" s="184"/>
      <c r="B47" s="144"/>
      <c r="C47" s="144"/>
      <c r="D47" s="144"/>
      <c r="E47" s="144"/>
      <c r="F47" s="144"/>
      <c r="G47" s="144"/>
      <c r="H47" s="144"/>
      <c r="I47" s="144"/>
      <c r="J47" s="144"/>
      <c r="K47" s="144"/>
    </row>
    <row r="48" spans="1:19" ht="12.75" customHeight="1" x14ac:dyDescent="0.25">
      <c r="A48" s="184"/>
      <c r="B48" s="144"/>
      <c r="C48" s="144"/>
      <c r="D48" s="144"/>
      <c r="E48" s="144"/>
      <c r="F48" s="144"/>
      <c r="G48" s="144"/>
      <c r="H48" s="144"/>
      <c r="I48" s="144"/>
      <c r="J48" s="144"/>
      <c r="K48" s="144"/>
    </row>
    <row r="49" spans="1:11" ht="12.75" customHeight="1" x14ac:dyDescent="0.25">
      <c r="A49" s="184"/>
      <c r="B49" s="145"/>
      <c r="C49" s="268" t="s">
        <v>895</v>
      </c>
      <c r="D49" s="1179"/>
      <c r="E49" s="1179"/>
      <c r="F49" s="1179"/>
      <c r="G49" s="1179"/>
      <c r="H49" s="144"/>
      <c r="I49" s="144"/>
      <c r="J49" s="144"/>
      <c r="K49" s="144"/>
    </row>
    <row r="50" spans="1:11" ht="12.75" customHeight="1" x14ac:dyDescent="0.25">
      <c r="A50" s="184"/>
      <c r="B50" s="248"/>
      <c r="C50" s="131"/>
      <c r="D50" s="131"/>
      <c r="E50" s="131"/>
      <c r="F50" s="144"/>
      <c r="G50" s="144"/>
      <c r="H50" s="144"/>
      <c r="I50" s="144"/>
      <c r="J50" s="144"/>
      <c r="K50" s="144"/>
    </row>
    <row r="51" spans="1:11" ht="12.75" customHeight="1" x14ac:dyDescent="0.25">
      <c r="A51" s="184"/>
      <c r="B51" s="248"/>
      <c r="C51" s="131"/>
      <c r="D51" s="131"/>
      <c r="E51" s="131"/>
      <c r="F51" s="144"/>
      <c r="G51" s="144"/>
      <c r="H51" s="144"/>
      <c r="I51" s="144"/>
      <c r="J51" s="144"/>
      <c r="K51" s="144"/>
    </row>
    <row r="52" spans="1:11" ht="12.75" customHeight="1" x14ac:dyDescent="0.25">
      <c r="A52" s="184"/>
      <c r="B52" s="248"/>
      <c r="C52" s="131"/>
      <c r="D52" s="131"/>
      <c r="E52" s="131"/>
      <c r="F52" s="144"/>
      <c r="G52" s="144"/>
      <c r="H52" s="144"/>
      <c r="I52" s="144"/>
      <c r="J52" s="144"/>
      <c r="K52" s="144"/>
    </row>
    <row r="53" spans="1:11" ht="12.75" customHeight="1" x14ac:dyDescent="0.25">
      <c r="A53" s="184"/>
      <c r="B53" s="248"/>
      <c r="C53" s="131"/>
      <c r="D53" s="131"/>
      <c r="E53" s="131"/>
      <c r="F53" s="144"/>
      <c r="G53" s="144"/>
      <c r="H53" s="144"/>
      <c r="I53" s="144"/>
      <c r="J53" s="144"/>
      <c r="K53" s="144"/>
    </row>
    <row r="54" spans="1:11" ht="12.75" customHeight="1" x14ac:dyDescent="0.25">
      <c r="A54" s="184"/>
      <c r="B54" s="248"/>
      <c r="C54" s="131"/>
      <c r="D54" s="131"/>
      <c r="E54" s="131"/>
      <c r="F54" s="144"/>
      <c r="G54" s="144"/>
      <c r="H54" s="144"/>
      <c r="I54" s="144"/>
      <c r="J54" s="144"/>
      <c r="K54" s="144"/>
    </row>
    <row r="55" spans="1:11" ht="12.75" customHeight="1" x14ac:dyDescent="0.25">
      <c r="A55" s="184"/>
      <c r="B55" s="248"/>
      <c r="C55" s="131"/>
      <c r="D55" s="131"/>
      <c r="E55" s="131"/>
      <c r="F55" s="144"/>
      <c r="G55" s="144"/>
      <c r="H55" s="144"/>
      <c r="I55" s="144"/>
      <c r="J55" s="144"/>
      <c r="K55" s="144"/>
    </row>
    <row r="56" spans="1:11" ht="12.75" customHeight="1" x14ac:dyDescent="0.25">
      <c r="A56" s="184"/>
      <c r="B56" s="248"/>
      <c r="C56" s="131"/>
      <c r="D56" s="131"/>
      <c r="E56" s="131"/>
      <c r="F56" s="144"/>
      <c r="G56" s="144"/>
      <c r="H56" s="144"/>
      <c r="I56" s="144"/>
      <c r="J56" s="144"/>
      <c r="K56" s="144"/>
    </row>
    <row r="57" spans="1:11" ht="12.75" customHeight="1" x14ac:dyDescent="0.25">
      <c r="A57" s="184"/>
      <c r="B57" s="248"/>
      <c r="C57" s="131"/>
      <c r="D57" s="131"/>
      <c r="E57" s="131"/>
      <c r="F57" s="144"/>
      <c r="G57" s="144"/>
      <c r="H57" s="144"/>
      <c r="I57" s="144"/>
      <c r="J57" s="144"/>
      <c r="K57" s="144"/>
    </row>
    <row r="58" spans="1:11" ht="12.75" customHeight="1" x14ac:dyDescent="0.25">
      <c r="A58" s="184"/>
      <c r="B58" s="248"/>
      <c r="C58" s="131"/>
      <c r="D58" s="131"/>
      <c r="E58" s="131"/>
      <c r="F58" s="144"/>
      <c r="G58" s="144"/>
      <c r="H58" s="144"/>
      <c r="I58" s="144"/>
      <c r="J58" s="144"/>
      <c r="K58" s="144"/>
    </row>
    <row r="59" spans="1:11" ht="12.75" customHeight="1" x14ac:dyDescent="0.25">
      <c r="A59" s="184"/>
      <c r="B59" s="248"/>
      <c r="C59" s="131"/>
      <c r="D59" s="131"/>
      <c r="E59" s="131"/>
      <c r="F59" s="144"/>
      <c r="G59" s="144"/>
      <c r="H59" s="144"/>
      <c r="I59" s="144"/>
      <c r="J59" s="144"/>
      <c r="K59" s="144"/>
    </row>
    <row r="60" spans="1:11" ht="12.75" customHeight="1" x14ac:dyDescent="0.25">
      <c r="A60" s="184"/>
      <c r="B60" s="144"/>
      <c r="C60" s="144"/>
      <c r="D60" s="252"/>
      <c r="E60" s="144"/>
      <c r="F60" s="144"/>
      <c r="G60" s="144"/>
      <c r="H60" s="144"/>
      <c r="I60" s="144"/>
      <c r="J60" s="144"/>
      <c r="K60" s="144"/>
    </row>
    <row r="61" spans="1:11" ht="12.75" customHeight="1" x14ac:dyDescent="0.25">
      <c r="A61" s="184"/>
      <c r="B61" s="144"/>
      <c r="C61" s="144"/>
      <c r="D61" s="252"/>
      <c r="E61" s="144"/>
      <c r="F61" s="144"/>
      <c r="G61" s="144"/>
      <c r="H61" s="144"/>
      <c r="I61" s="144"/>
      <c r="J61" s="144"/>
      <c r="K61" s="144"/>
    </row>
    <row r="62" spans="1:11" ht="16.5" x14ac:dyDescent="0.25">
      <c r="A62" s="184"/>
      <c r="B62" s="225" t="s">
        <v>774</v>
      </c>
      <c r="C62" s="225"/>
      <c r="D62" s="249"/>
      <c r="E62" s="225"/>
      <c r="G62" s="225" t="s">
        <v>775</v>
      </c>
      <c r="H62" s="144"/>
      <c r="I62" s="144"/>
      <c r="J62" s="144"/>
      <c r="K62" s="144"/>
    </row>
    <row r="63" spans="1:11" ht="16.5" x14ac:dyDescent="0.25">
      <c r="A63" s="184"/>
      <c r="B63" s="144"/>
      <c r="C63" s="144"/>
      <c r="D63" s="252"/>
      <c r="E63" s="144"/>
      <c r="F63" s="144"/>
      <c r="G63" s="144"/>
      <c r="H63" s="144"/>
      <c r="I63" s="144"/>
      <c r="J63" s="144"/>
      <c r="K63" s="144"/>
    </row>
    <row r="64" spans="1:11" ht="12.75" customHeight="1" x14ac:dyDescent="0.25">
      <c r="A64" s="184"/>
      <c r="B64" s="144"/>
      <c r="C64" s="144"/>
      <c r="D64" s="252"/>
      <c r="E64" s="144"/>
      <c r="F64" s="144"/>
      <c r="G64" s="144"/>
      <c r="H64" s="144"/>
      <c r="I64" s="144"/>
      <c r="J64" s="225"/>
      <c r="K64" s="144"/>
    </row>
    <row r="65" spans="1:11" ht="12.75" customHeight="1" x14ac:dyDescent="0.25">
      <c r="A65" s="184"/>
      <c r="B65" s="1408" t="str">
        <f>FORM!G32</f>
        <v>Seller</v>
      </c>
      <c r="C65" s="1408"/>
      <c r="D65" s="1408"/>
      <c r="E65" s="225"/>
      <c r="F65" s="225"/>
      <c r="G65" s="1408">
        <f>FORM!G30</f>
        <v>0</v>
      </c>
      <c r="H65" s="1408"/>
      <c r="I65" s="1408"/>
      <c r="J65" s="144"/>
      <c r="K65" s="144"/>
    </row>
    <row r="66" spans="1:11" ht="12.75" customHeight="1" x14ac:dyDescent="0.25">
      <c r="A66" s="184"/>
      <c r="B66" s="295" t="s">
        <v>777</v>
      </c>
      <c r="C66" s="1442"/>
      <c r="D66" s="1137"/>
      <c r="E66" s="131"/>
      <c r="F66" s="131"/>
      <c r="G66" s="146" t="s">
        <v>777</v>
      </c>
      <c r="H66" s="1442"/>
      <c r="I66" s="1137"/>
      <c r="J66" s="144"/>
      <c r="K66" s="144"/>
    </row>
    <row r="67" spans="1:11" ht="12.75" customHeight="1" x14ac:dyDescent="0.25">
      <c r="A67" s="184"/>
      <c r="B67" s="144"/>
      <c r="C67" s="144"/>
      <c r="D67" s="252"/>
      <c r="E67" s="144"/>
      <c r="F67" s="144"/>
      <c r="G67" s="144"/>
      <c r="H67" s="144"/>
      <c r="I67" s="144"/>
      <c r="J67" s="144"/>
      <c r="K67" s="225"/>
    </row>
    <row r="68" spans="1:11" ht="12.75" customHeight="1" x14ac:dyDescent="0.3">
      <c r="B68" s="144"/>
      <c r="C68" s="144"/>
      <c r="D68" s="252"/>
      <c r="E68" s="144"/>
      <c r="F68" s="144"/>
      <c r="G68" s="144"/>
      <c r="H68" s="144"/>
      <c r="I68" s="144"/>
      <c r="J68" s="5"/>
      <c r="K68" s="5"/>
    </row>
    <row r="69" spans="1:11" ht="16.5" x14ac:dyDescent="0.3">
      <c r="B69" s="5"/>
      <c r="C69" s="5"/>
      <c r="D69" s="103"/>
      <c r="E69" s="5"/>
      <c r="F69" s="5"/>
      <c r="G69" s="5"/>
      <c r="H69" s="5"/>
      <c r="I69" s="5"/>
      <c r="J69" s="5"/>
      <c r="K69" s="5"/>
    </row>
    <row r="70" spans="1:11" ht="16.5" x14ac:dyDescent="0.3">
      <c r="B70" s="5"/>
      <c r="C70" s="5"/>
      <c r="D70" s="103"/>
      <c r="E70" s="5"/>
      <c r="F70" s="5"/>
      <c r="G70" s="5"/>
      <c r="H70" s="5"/>
      <c r="I70" s="5"/>
      <c r="J70" s="5"/>
      <c r="K70" s="5"/>
    </row>
    <row r="71" spans="1:11" ht="16.5" x14ac:dyDescent="0.3">
      <c r="B71" s="5"/>
      <c r="C71" s="5"/>
      <c r="D71" s="103"/>
      <c r="E71" s="5"/>
      <c r="F71" s="5"/>
      <c r="G71" s="5"/>
      <c r="H71" s="5"/>
      <c r="I71" s="5"/>
      <c r="J71" s="5"/>
      <c r="K71" s="5"/>
    </row>
    <row r="72" spans="1:11" ht="16.5" x14ac:dyDescent="0.3">
      <c r="A72" s="257">
        <f>F19*E22</f>
        <v>2456002.4076402774</v>
      </c>
      <c r="B72" s="5"/>
      <c r="C72" s="5"/>
      <c r="D72" s="103"/>
      <c r="E72" s="5"/>
      <c r="F72" s="5"/>
      <c r="G72" s="5"/>
      <c r="H72" s="5"/>
      <c r="I72" s="5"/>
      <c r="J72" s="5"/>
      <c r="K72" s="5"/>
    </row>
    <row r="73" spans="1:11" ht="16.5" x14ac:dyDescent="0.3">
      <c r="B73" s="5"/>
      <c r="C73" s="5"/>
      <c r="D73" s="103"/>
      <c r="E73" s="5"/>
      <c r="F73" s="5"/>
      <c r="G73" s="5"/>
      <c r="H73" s="5"/>
      <c r="I73" s="5"/>
      <c r="J73" s="5"/>
      <c r="K73" s="5"/>
    </row>
    <row r="74" spans="1:11" ht="16.5" x14ac:dyDescent="0.3">
      <c r="A74" s="258">
        <f>F19*12%</f>
        <v>2456002.4076402774</v>
      </c>
      <c r="B74" s="5"/>
      <c r="C74" s="5"/>
      <c r="D74" s="103"/>
      <c r="E74" s="5"/>
      <c r="F74" s="5"/>
      <c r="G74" s="5"/>
      <c r="H74" s="5"/>
      <c r="I74" s="5"/>
      <c r="K74" s="5"/>
    </row>
    <row r="75" spans="1:11" ht="16.5" x14ac:dyDescent="0.3">
      <c r="K75" s="5"/>
    </row>
    <row r="76" spans="1:11" ht="16.5" x14ac:dyDescent="0.3">
      <c r="K76" s="5"/>
    </row>
  </sheetData>
  <sheetProtection algorithmName="SHA-512" hashValue="jiQ2lSS3TGv2WEQsYMtBcYJZyetrd1GD2apVEwnDUJHGXxxAKcSqjd3iF0oJmyUTxsBWN4S6QdiaJ2RbIfBmrg==" saltValue="m9yl3lT5+roZzekABW0HMw==" spinCount="100000" sheet="1" objects="1" scenarios="1" selectLockedCells="1" selectUnlockedCells="1"/>
  <mergeCells count="78">
    <mergeCell ref="B37:C38"/>
    <mergeCell ref="D37:G38"/>
    <mergeCell ref="H37:I38"/>
    <mergeCell ref="B39:C40"/>
    <mergeCell ref="D39:G40"/>
    <mergeCell ref="H39:I40"/>
    <mergeCell ref="B41:C42"/>
    <mergeCell ref="D41:G42"/>
    <mergeCell ref="H41:I42"/>
    <mergeCell ref="B43:C44"/>
    <mergeCell ref="D43:G44"/>
    <mergeCell ref="H43:I44"/>
    <mergeCell ref="C66:D66"/>
    <mergeCell ref="H66:I66"/>
    <mergeCell ref="B28:C28"/>
    <mergeCell ref="M28:N28"/>
    <mergeCell ref="B65:D65"/>
    <mergeCell ref="H34:I34"/>
    <mergeCell ref="D34:G34"/>
    <mergeCell ref="B34:C34"/>
    <mergeCell ref="H45:I46"/>
    <mergeCell ref="D45:G46"/>
    <mergeCell ref="B45:C46"/>
    <mergeCell ref="G65:I65"/>
    <mergeCell ref="D49:G49"/>
    <mergeCell ref="B35:C36"/>
    <mergeCell ref="D35:G36"/>
    <mergeCell ref="H35:I36"/>
    <mergeCell ref="Q16:S17"/>
    <mergeCell ref="H2:I2"/>
    <mergeCell ref="R2:S2"/>
    <mergeCell ref="R3:S3"/>
    <mergeCell ref="O9:S9"/>
    <mergeCell ref="O10:S10"/>
    <mergeCell ref="E7:I7"/>
    <mergeCell ref="E8:I8"/>
    <mergeCell ref="E9:I9"/>
    <mergeCell ref="E10:I10"/>
    <mergeCell ref="B4:I5"/>
    <mergeCell ref="L4:S5"/>
    <mergeCell ref="O7:S7"/>
    <mergeCell ref="O8:S8"/>
    <mergeCell ref="O11:P11"/>
    <mergeCell ref="E11:F11"/>
    <mergeCell ref="E12:F12"/>
    <mergeCell ref="F18:I18"/>
    <mergeCell ref="E14:F14"/>
    <mergeCell ref="O14:P14"/>
    <mergeCell ref="O13:P13"/>
    <mergeCell ref="L16:M17"/>
    <mergeCell ref="N16:N17"/>
    <mergeCell ref="O16:P17"/>
    <mergeCell ref="F17:H17"/>
    <mergeCell ref="F16:H16"/>
    <mergeCell ref="O12:P12"/>
    <mergeCell ref="E13:F13"/>
    <mergeCell ref="F21:H21"/>
    <mergeCell ref="L20:M20"/>
    <mergeCell ref="O20:P20"/>
    <mergeCell ref="Q20:R20"/>
    <mergeCell ref="F19:I19"/>
    <mergeCell ref="R28:S28"/>
    <mergeCell ref="L19:M19"/>
    <mergeCell ref="L18:M18"/>
    <mergeCell ref="O18:P18"/>
    <mergeCell ref="O19:P19"/>
    <mergeCell ref="Q18:S18"/>
    <mergeCell ref="Q19:S19"/>
    <mergeCell ref="L32:N32"/>
    <mergeCell ref="F28:I28"/>
    <mergeCell ref="L27:N27"/>
    <mergeCell ref="B26:C26"/>
    <mergeCell ref="B27:C27"/>
    <mergeCell ref="F24:H24"/>
    <mergeCell ref="F22:H22"/>
    <mergeCell ref="F26:I26"/>
    <mergeCell ref="F27:I27"/>
    <mergeCell ref="Q27:S27"/>
  </mergeCells>
  <pageMargins left="0.59055118110236227" right="0.59055118110236227" top="1.1811023622047245" bottom="0.74803149606299213" header="0.31496062992125984" footer="0.31496062992125984"/>
  <pageSetup paperSize="14" scale="82" orientation="portrait" r:id="rId1"/>
  <headerFooter>
    <oddHeader xml:space="preserve">&amp;R&amp;"Century Gothic,Bold"&amp;18ANNEX A: 
SAMPLE PACKAGE COMPUTATION
</oddHeader>
  </headerFooter>
  <colBreaks count="1" manualBreakCount="1">
    <brk id="10" max="65" man="1"/>
  </colBreak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8"/>
  <dimension ref="A1:BA70"/>
  <sheetViews>
    <sheetView showGridLines="0" showZeros="0" view="pageLayout" zoomScale="90" zoomScaleNormal="100" zoomScaleSheetLayoutView="80" zoomScalePageLayoutView="90" workbookViewId="0">
      <selection activeCell="D47" sqref="D47:F47"/>
    </sheetView>
  </sheetViews>
  <sheetFormatPr defaultColWidth="9.28515625" defaultRowHeight="15" x14ac:dyDescent="0.25"/>
  <cols>
    <col min="1" max="1" width="2.28515625" customWidth="1"/>
    <col min="2" max="2" width="11.28515625" customWidth="1"/>
    <col min="3" max="3" width="20.28515625" customWidth="1"/>
    <col min="4" max="4" width="13.28515625" style="150" customWidth="1"/>
    <col min="5" max="5" width="14" customWidth="1"/>
    <col min="6" max="6" width="22.5703125" customWidth="1"/>
    <col min="7" max="7" width="3.28515625" customWidth="1"/>
    <col min="8" max="8" width="9.5703125" customWidth="1"/>
    <col min="9" max="9" width="14.5703125" customWidth="1"/>
    <col min="10" max="10" width="0.7109375" customWidth="1"/>
    <col min="11" max="11" width="0.42578125" customWidth="1"/>
    <col min="13" max="13" width="18.42578125" customWidth="1"/>
    <col min="14" max="14" width="16.28515625" style="151" customWidth="1"/>
    <col min="15" max="15" width="8" customWidth="1"/>
    <col min="16" max="16" width="15.42578125" customWidth="1"/>
    <col min="17" max="17" width="14" customWidth="1"/>
    <col min="18" max="18" width="4.7109375" customWidth="1"/>
    <col min="19" max="19" width="22.5703125" customWidth="1"/>
  </cols>
  <sheetData>
    <row r="1" spans="1:53" ht="16.5" x14ac:dyDescent="0.3">
      <c r="A1" s="5"/>
      <c r="B1" s="104" t="s">
        <v>681</v>
      </c>
      <c r="C1" s="578">
        <f>FORM!G22</f>
        <v>45870</v>
      </c>
      <c r="D1" s="260"/>
      <c r="F1" s="260"/>
      <c r="G1" s="260"/>
      <c r="H1" s="197" t="s">
        <v>873</v>
      </c>
      <c r="I1" s="259" t="s">
        <v>683</v>
      </c>
      <c r="J1" s="106"/>
      <c r="K1" s="5"/>
      <c r="L1" s="261" t="s">
        <v>681</v>
      </c>
      <c r="M1" s="578">
        <f>C1</f>
        <v>45870</v>
      </c>
      <c r="N1" s="260"/>
      <c r="O1" s="130"/>
      <c r="Q1" s="261" t="s">
        <v>873</v>
      </c>
      <c r="R1" s="1458" t="s">
        <v>685</v>
      </c>
      <c r="S1" s="1458"/>
      <c r="T1" s="5"/>
    </row>
    <row r="2" spans="1:53" s="154" customFormat="1" ht="13.5" x14ac:dyDescent="0.25">
      <c r="A2" s="109"/>
      <c r="B2" s="109"/>
      <c r="C2" s="110"/>
      <c r="D2" s="110"/>
      <c r="E2" s="109"/>
      <c r="F2" s="109"/>
      <c r="G2" s="111"/>
      <c r="H2" s="111"/>
      <c r="I2" s="111"/>
      <c r="J2" s="115"/>
      <c r="K2" s="111"/>
      <c r="L2" s="109"/>
      <c r="M2" s="110"/>
      <c r="N2" s="110"/>
      <c r="O2" s="109"/>
      <c r="P2" s="109"/>
      <c r="Q2" s="109"/>
      <c r="R2" s="1441"/>
      <c r="S2" s="1441"/>
      <c r="T2" s="109"/>
    </row>
    <row r="3" spans="1:53" s="160" customFormat="1" ht="12.75" customHeight="1" x14ac:dyDescent="0.25">
      <c r="A3" s="111"/>
      <c r="B3" s="1319" t="s">
        <v>912</v>
      </c>
      <c r="C3" s="1319"/>
      <c r="D3" s="1319"/>
      <c r="E3" s="1319"/>
      <c r="F3" s="1319"/>
      <c r="G3" s="1319"/>
      <c r="H3" s="1319"/>
      <c r="I3" s="1319"/>
      <c r="J3" s="200"/>
      <c r="K3" s="201"/>
      <c r="L3" s="1319" t="s">
        <v>687</v>
      </c>
      <c r="M3" s="1319"/>
      <c r="N3" s="1319"/>
      <c r="O3" s="1319"/>
      <c r="P3" s="1319"/>
      <c r="Q3" s="1319"/>
      <c r="R3" s="1319"/>
      <c r="S3" s="1319"/>
      <c r="T3" s="109"/>
    </row>
    <row r="4" spans="1:53" s="160" customFormat="1" ht="12.75" customHeight="1" x14ac:dyDescent="0.25">
      <c r="A4" s="111"/>
      <c r="B4" s="1319"/>
      <c r="C4" s="1319"/>
      <c r="D4" s="1319"/>
      <c r="E4" s="1319"/>
      <c r="F4" s="1319"/>
      <c r="G4" s="1319"/>
      <c r="H4" s="1319"/>
      <c r="I4" s="1319"/>
      <c r="J4" s="200"/>
      <c r="K4" s="201"/>
      <c r="L4" s="1319"/>
      <c r="M4" s="1319"/>
      <c r="N4" s="1319"/>
      <c r="O4" s="1319"/>
      <c r="P4" s="1319"/>
      <c r="Q4" s="1319"/>
      <c r="R4" s="1319"/>
      <c r="S4" s="1319"/>
      <c r="T4" s="109"/>
    </row>
    <row r="5" spans="1:53" s="160" customFormat="1" ht="12.75" customHeight="1" x14ac:dyDescent="0.25">
      <c r="A5" s="111"/>
      <c r="B5" s="202"/>
      <c r="C5" s="202"/>
      <c r="D5" s="203"/>
      <c r="E5" s="202"/>
      <c r="F5" s="202"/>
      <c r="G5" s="202"/>
      <c r="H5" s="202"/>
      <c r="I5" s="202"/>
      <c r="J5" s="202"/>
      <c r="K5" s="202"/>
      <c r="L5" s="116"/>
      <c r="M5" s="117"/>
      <c r="N5" s="119"/>
      <c r="O5" s="117"/>
      <c r="P5" s="117"/>
      <c r="Q5" s="117"/>
      <c r="R5" s="117"/>
      <c r="S5" s="119"/>
      <c r="T5" s="109"/>
    </row>
    <row r="6" spans="1:53" s="205" customFormat="1" ht="14.25" x14ac:dyDescent="0.3">
      <c r="A6" s="124"/>
      <c r="B6" s="167" t="s">
        <v>688</v>
      </c>
      <c r="C6" s="122"/>
      <c r="D6" s="310" t="s">
        <v>647</v>
      </c>
      <c r="E6" s="1274">
        <f>FORM!G30</f>
        <v>0</v>
      </c>
      <c r="F6" s="1274"/>
      <c r="G6" s="1274"/>
      <c r="H6" s="1274"/>
      <c r="I6" s="1274"/>
      <c r="J6" s="125"/>
      <c r="K6" s="147"/>
      <c r="L6" s="167" t="s">
        <v>688</v>
      </c>
      <c r="M6" s="136"/>
      <c r="N6" s="310" t="s">
        <v>647</v>
      </c>
      <c r="O6" s="1274">
        <f t="shared" ref="O6:O13" si="0">E6</f>
        <v>0</v>
      </c>
      <c r="P6" s="1274"/>
      <c r="Q6" s="1274"/>
      <c r="R6" s="1274"/>
      <c r="S6" s="1274"/>
      <c r="T6" s="21"/>
      <c r="AM6" s="206"/>
      <c r="AZ6" s="207"/>
      <c r="BA6" s="208"/>
    </row>
    <row r="7" spans="1:53" s="205" customFormat="1" ht="14.25" x14ac:dyDescent="0.3">
      <c r="A7" s="124"/>
      <c r="B7" s="308" t="s">
        <v>646</v>
      </c>
      <c r="C7" s="123"/>
      <c r="D7" s="310" t="s">
        <v>647</v>
      </c>
      <c r="E7" s="1274" t="str">
        <f>FORM!G11</f>
        <v>WEECOMM CENTRE</v>
      </c>
      <c r="F7" s="1274"/>
      <c r="G7" s="1274"/>
      <c r="H7" s="1274"/>
      <c r="I7" s="1274"/>
      <c r="J7" s="125"/>
      <c r="K7" s="147"/>
      <c r="L7" s="308" t="s">
        <v>646</v>
      </c>
      <c r="M7" s="127"/>
      <c r="N7" s="310" t="s">
        <v>647</v>
      </c>
      <c r="O7" s="1274" t="str">
        <f t="shared" si="0"/>
        <v>WEECOMM CENTRE</v>
      </c>
      <c r="P7" s="1274"/>
      <c r="Q7" s="1274"/>
      <c r="R7" s="1274"/>
      <c r="S7" s="1274"/>
      <c r="T7" s="21"/>
      <c r="AM7" s="206"/>
      <c r="AZ7" s="207"/>
      <c r="BA7" s="208"/>
    </row>
    <row r="8" spans="1:53" s="205" customFormat="1" ht="14.25" x14ac:dyDescent="0.3">
      <c r="A8" s="124"/>
      <c r="B8" s="308" t="s">
        <v>689</v>
      </c>
      <c r="C8" s="123"/>
      <c r="D8" s="310" t="s">
        <v>647</v>
      </c>
      <c r="E8" s="1274" t="str">
        <f>'STANDARD COMP.'!E8</f>
        <v>9G</v>
      </c>
      <c r="F8" s="1274"/>
      <c r="G8" s="1274"/>
      <c r="H8" s="1274"/>
      <c r="I8" s="1274"/>
      <c r="J8" s="125"/>
      <c r="K8" s="147"/>
      <c r="L8" s="308" t="s">
        <v>689</v>
      </c>
      <c r="M8" s="127"/>
      <c r="N8" s="310" t="s">
        <v>647</v>
      </c>
      <c r="O8" s="1274" t="str">
        <f t="shared" si="0"/>
        <v>9G</v>
      </c>
      <c r="P8" s="1274"/>
      <c r="Q8" s="1274"/>
      <c r="R8" s="1274"/>
      <c r="S8" s="1274"/>
      <c r="T8" s="21"/>
      <c r="AM8" s="206"/>
      <c r="AZ8" s="207"/>
      <c r="BA8" s="208"/>
    </row>
    <row r="9" spans="1:53" s="205" customFormat="1" ht="14.25" hidden="1" x14ac:dyDescent="0.3">
      <c r="A9" s="124"/>
      <c r="B9" s="308" t="s">
        <v>690</v>
      </c>
      <c r="C9" s="123"/>
      <c r="D9" s="310" t="s">
        <v>647</v>
      </c>
      <c r="E9" s="1314">
        <f>FORM!G14</f>
        <v>1</v>
      </c>
      <c r="F9" s="1314"/>
      <c r="G9" s="1314"/>
      <c r="H9" s="1314"/>
      <c r="I9" s="1314"/>
      <c r="J9" s="125"/>
      <c r="K9" s="147"/>
      <c r="L9" s="308" t="s">
        <v>690</v>
      </c>
      <c r="M9" s="127"/>
      <c r="N9" s="310" t="s">
        <v>647</v>
      </c>
      <c r="O9" s="1314">
        <f t="shared" si="0"/>
        <v>1</v>
      </c>
      <c r="P9" s="1314"/>
      <c r="Q9" s="1314"/>
      <c r="R9" s="1314"/>
      <c r="S9" s="1314"/>
      <c r="T9" s="21"/>
      <c r="AM9" s="206"/>
      <c r="AZ9" s="207"/>
      <c r="BA9" s="208"/>
    </row>
    <row r="10" spans="1:53" s="205" customFormat="1" ht="14.25" x14ac:dyDescent="0.3">
      <c r="A10" s="124"/>
      <c r="B10" s="308" t="s">
        <v>612</v>
      </c>
      <c r="C10" s="123"/>
      <c r="D10" s="310" t="s">
        <v>647</v>
      </c>
      <c r="E10" s="1270" t="str">
        <f>'SPOT CASH_30 DAYS'!E11:F11</f>
        <v>2-BR</v>
      </c>
      <c r="F10" s="1317"/>
      <c r="G10" s="1457" t="str">
        <f>'STANDARD COMP.'!G10:I10</f>
        <v>BARE</v>
      </c>
      <c r="H10" s="1457"/>
      <c r="I10" s="1468"/>
      <c r="J10" s="125"/>
      <c r="K10" s="147"/>
      <c r="L10" s="308" t="s">
        <v>612</v>
      </c>
      <c r="M10" s="127"/>
      <c r="N10" s="310" t="s">
        <v>647</v>
      </c>
      <c r="O10" s="1270" t="str">
        <f t="shared" si="0"/>
        <v>2-BR</v>
      </c>
      <c r="P10" s="1317"/>
      <c r="Q10" s="1457" t="str">
        <f>G10</f>
        <v>BARE</v>
      </c>
      <c r="R10" s="1457"/>
      <c r="S10" s="1468"/>
      <c r="T10" s="21"/>
      <c r="AM10" s="206"/>
      <c r="AZ10" s="207"/>
      <c r="BA10" s="208"/>
    </row>
    <row r="11" spans="1:53" s="205" customFormat="1" ht="14.25" x14ac:dyDescent="0.3">
      <c r="A11" s="124"/>
      <c r="B11" s="308" t="s">
        <v>692</v>
      </c>
      <c r="C11" s="123"/>
      <c r="D11" s="310" t="s">
        <v>647</v>
      </c>
      <c r="E11" s="1466">
        <f>'STANDARD COMP.'!E11:F11</f>
        <v>95.44</v>
      </c>
      <c r="F11" s="1469"/>
      <c r="G11" s="1322" t="s">
        <v>693</v>
      </c>
      <c r="H11" s="1322"/>
      <c r="I11" s="1323"/>
      <c r="J11" s="125"/>
      <c r="K11" s="147"/>
      <c r="L11" s="308" t="s">
        <v>692</v>
      </c>
      <c r="M11" s="127"/>
      <c r="N11" s="310" t="s">
        <v>647</v>
      </c>
      <c r="O11" s="1466">
        <f t="shared" si="0"/>
        <v>95.44</v>
      </c>
      <c r="P11" s="1467"/>
      <c r="Q11" s="1322" t="s">
        <v>693</v>
      </c>
      <c r="R11" s="1322"/>
      <c r="S11" s="1323"/>
      <c r="T11" s="21"/>
      <c r="AM11" s="206"/>
      <c r="AZ11" s="207"/>
      <c r="BA11" s="208"/>
    </row>
    <row r="12" spans="1:53" s="205" customFormat="1" ht="14.25" x14ac:dyDescent="0.3">
      <c r="A12" s="124"/>
      <c r="B12" s="127" t="s">
        <v>694</v>
      </c>
      <c r="C12" s="123"/>
      <c r="D12" s="310" t="s">
        <v>647</v>
      </c>
      <c r="E12" s="1309">
        <f>'STANDARD COMP.'!E12:F12</f>
        <v>13.34</v>
      </c>
      <c r="F12" s="1310"/>
      <c r="G12" s="1311" t="s">
        <v>693</v>
      </c>
      <c r="H12" s="1311"/>
      <c r="I12" s="1312"/>
      <c r="J12" s="124"/>
      <c r="K12" s="147"/>
      <c r="L12" s="127" t="s">
        <v>694</v>
      </c>
      <c r="M12" s="127"/>
      <c r="N12" s="310" t="s">
        <v>647</v>
      </c>
      <c r="O12" s="1309">
        <f t="shared" si="0"/>
        <v>13.34</v>
      </c>
      <c r="P12" s="1310"/>
      <c r="Q12" s="1311" t="s">
        <v>693</v>
      </c>
      <c r="R12" s="1311"/>
      <c r="S12" s="1312"/>
      <c r="T12" s="21"/>
      <c r="AM12" s="206"/>
      <c r="AZ12" s="207"/>
      <c r="BA12" s="208"/>
    </row>
    <row r="13" spans="1:53" s="205" customFormat="1" ht="14.25" x14ac:dyDescent="0.3">
      <c r="A13" s="124"/>
      <c r="B13" s="121" t="s">
        <v>695</v>
      </c>
      <c r="C13" s="129"/>
      <c r="D13" s="310" t="s">
        <v>647</v>
      </c>
      <c r="E13" s="1309">
        <f>'STANDARD COMP.'!E13:F13</f>
        <v>108.78</v>
      </c>
      <c r="F13" s="1310"/>
      <c r="G13" s="1311" t="s">
        <v>693</v>
      </c>
      <c r="H13" s="1311"/>
      <c r="I13" s="1312"/>
      <c r="J13" s="124" t="s">
        <v>660</v>
      </c>
      <c r="K13" s="147"/>
      <c r="L13" s="121" t="s">
        <v>695</v>
      </c>
      <c r="M13" s="139"/>
      <c r="N13" s="310" t="s">
        <v>647</v>
      </c>
      <c r="O13" s="1309">
        <f t="shared" si="0"/>
        <v>108.78</v>
      </c>
      <c r="P13" s="1310"/>
      <c r="Q13" s="1311" t="s">
        <v>693</v>
      </c>
      <c r="R13" s="1311"/>
      <c r="S13" s="1312"/>
      <c r="T13" s="21"/>
      <c r="AM13" s="206"/>
      <c r="AZ13" s="207"/>
      <c r="BA13" s="208"/>
    </row>
    <row r="14" spans="1:53" ht="16.5" x14ac:dyDescent="0.3">
      <c r="A14" s="144"/>
      <c r="B14" s="124"/>
      <c r="C14" s="124"/>
      <c r="D14" s="310"/>
      <c r="E14" s="124"/>
      <c r="F14" s="124"/>
      <c r="G14" s="124"/>
      <c r="H14" s="124"/>
      <c r="I14" s="124"/>
      <c r="J14" s="144"/>
      <c r="K14" s="144"/>
      <c r="L14" s="144"/>
      <c r="M14" s="144"/>
      <c r="N14" s="220"/>
      <c r="O14" s="144"/>
      <c r="P14" s="144"/>
      <c r="Q14" s="144"/>
      <c r="R14" s="144"/>
      <c r="S14" s="144"/>
      <c r="T14" s="5"/>
    </row>
    <row r="15" spans="1:53" ht="16.5" x14ac:dyDescent="0.3">
      <c r="A15" s="144"/>
      <c r="B15" s="309" t="s">
        <v>696</v>
      </c>
      <c r="C15" s="122"/>
      <c r="D15" s="147" t="s">
        <v>647</v>
      </c>
      <c r="E15" s="695">
        <f>'STANDARD COMP.'!E29</f>
        <v>7</v>
      </c>
      <c r="F15" s="1470">
        <f>'STANDARD COMP.'!F15</f>
        <v>20466686.730335645</v>
      </c>
      <c r="G15" s="1470"/>
      <c r="H15" s="1470"/>
      <c r="I15" s="1470"/>
      <c r="J15" s="225"/>
      <c r="K15" s="225"/>
      <c r="L15" s="1277" t="s">
        <v>697</v>
      </c>
      <c r="M15" s="1277"/>
      <c r="N15" s="1459" t="s">
        <v>698</v>
      </c>
      <c r="O15" s="1277" t="s">
        <v>699</v>
      </c>
      <c r="P15" s="1277"/>
      <c r="Q15" s="1460" t="s">
        <v>639</v>
      </c>
      <c r="R15" s="1461"/>
      <c r="S15" s="1462"/>
      <c r="T15" s="5"/>
    </row>
    <row r="16" spans="1:53" s="228" customFormat="1" ht="16.5" x14ac:dyDescent="0.25">
      <c r="A16" s="144"/>
      <c r="B16" s="308" t="s">
        <v>908</v>
      </c>
      <c r="C16" s="127"/>
      <c r="D16" s="310" t="s">
        <v>647</v>
      </c>
      <c r="E16" s="786"/>
      <c r="F16" s="1471">
        <f>F15*E16</f>
        <v>0</v>
      </c>
      <c r="G16" s="1471"/>
      <c r="H16" s="1471"/>
      <c r="I16" s="1471"/>
      <c r="J16" s="144"/>
      <c r="K16" s="144"/>
      <c r="L16" s="1277"/>
      <c r="M16" s="1277"/>
      <c r="N16" s="1459"/>
      <c r="O16" s="1277"/>
      <c r="P16" s="1277"/>
      <c r="Q16" s="1463"/>
      <c r="R16" s="1464"/>
      <c r="S16" s="1465"/>
      <c r="T16" s="263"/>
    </row>
    <row r="17" spans="1:20" ht="16.5" x14ac:dyDescent="0.3">
      <c r="A17" s="225"/>
      <c r="B17" s="308" t="s">
        <v>700</v>
      </c>
      <c r="C17" s="127"/>
      <c r="D17" s="310" t="s">
        <v>647</v>
      </c>
      <c r="E17" s="262"/>
      <c r="F17" s="1471">
        <f>SUM(FORM!T20:T22)</f>
        <v>0</v>
      </c>
      <c r="G17" s="1471"/>
      <c r="H17" s="1471"/>
      <c r="I17" s="1471"/>
      <c r="J17" s="225"/>
      <c r="K17" s="225"/>
      <c r="L17" s="1274" t="s">
        <v>624</v>
      </c>
      <c r="M17" s="1274"/>
      <c r="N17" s="137">
        <f>C1</f>
        <v>45870</v>
      </c>
      <c r="O17" s="1301">
        <f>F26</f>
        <v>50000</v>
      </c>
      <c r="P17" s="1301"/>
      <c r="Q17" s="1413"/>
      <c r="R17" s="1414"/>
      <c r="S17" s="1415"/>
      <c r="T17" s="5"/>
    </row>
    <row r="18" spans="1:20" s="228" customFormat="1" ht="16.5" x14ac:dyDescent="0.25">
      <c r="A18" s="144"/>
      <c r="B18" s="289" t="s">
        <v>92</v>
      </c>
      <c r="C18" s="129"/>
      <c r="D18" s="147" t="s">
        <v>647</v>
      </c>
      <c r="E18" s="264"/>
      <c r="F18" s="1470">
        <f>F15-(F16+F17)</f>
        <v>20466686.730335645</v>
      </c>
      <c r="G18" s="1470"/>
      <c r="H18" s="1470"/>
      <c r="I18" s="1470"/>
      <c r="J18" s="144"/>
      <c r="K18" s="144"/>
      <c r="L18" s="1274" t="s">
        <v>913</v>
      </c>
      <c r="M18" s="1274"/>
      <c r="N18" s="137">
        <f>N17+30</f>
        <v>45900</v>
      </c>
      <c r="O18" s="1301">
        <f>F27</f>
        <v>12203845.321375549</v>
      </c>
      <c r="P18" s="1301"/>
      <c r="Q18" s="1413"/>
      <c r="R18" s="1414"/>
      <c r="S18" s="1415"/>
      <c r="T18" s="263"/>
    </row>
    <row r="19" spans="1:20" ht="16.5" x14ac:dyDescent="0.3">
      <c r="A19" s="144"/>
      <c r="B19" s="134"/>
      <c r="C19" s="124"/>
      <c r="D19" s="310"/>
      <c r="E19" s="310"/>
      <c r="F19" s="135"/>
      <c r="G19" s="135"/>
      <c r="H19" s="135"/>
      <c r="I19" s="124"/>
      <c r="J19" s="144"/>
      <c r="K19" s="144"/>
      <c r="L19" s="1274" t="s">
        <v>914</v>
      </c>
      <c r="M19" s="1274"/>
      <c r="N19" s="137">
        <f>N17+60</f>
        <v>45930</v>
      </c>
      <c r="O19" s="1301">
        <f>F28</f>
        <v>12203845.321375549</v>
      </c>
      <c r="P19" s="1301"/>
      <c r="Q19" s="1413"/>
      <c r="R19" s="1414"/>
      <c r="S19" s="1415"/>
      <c r="T19" s="5"/>
    </row>
    <row r="20" spans="1:20" ht="16.5" x14ac:dyDescent="0.3">
      <c r="A20" s="144"/>
      <c r="B20" s="136" t="s">
        <v>704</v>
      </c>
      <c r="C20" s="136"/>
      <c r="D20" s="310" t="s">
        <v>647</v>
      </c>
      <c r="E20" s="265">
        <v>7.4999999999999997E-2</v>
      </c>
      <c r="F20" s="1455">
        <f>E20*F15</f>
        <v>1535001.5047751733</v>
      </c>
      <c r="G20" s="1455"/>
      <c r="H20" s="1455"/>
      <c r="I20" s="1455"/>
      <c r="J20" s="144"/>
      <c r="K20" s="144"/>
      <c r="L20" s="147"/>
      <c r="M20" s="147"/>
      <c r="N20" s="193"/>
      <c r="O20" s="272"/>
      <c r="P20" s="272"/>
      <c r="Q20" s="273"/>
      <c r="R20" s="125"/>
      <c r="S20" s="125"/>
      <c r="T20" s="5"/>
    </row>
    <row r="21" spans="1:20" ht="16.5" x14ac:dyDescent="0.3">
      <c r="A21" s="144"/>
      <c r="B21" s="127" t="s">
        <v>619</v>
      </c>
      <c r="C21" s="127"/>
      <c r="D21" s="310" t="s">
        <v>647</v>
      </c>
      <c r="E21" s="265">
        <v>0.12</v>
      </c>
      <c r="F21" s="1455">
        <f>IF(F18&lt;=PriceLink_Fitted!P11,"",E21*F18)</f>
        <v>2456002.4076402774</v>
      </c>
      <c r="G21" s="1455"/>
      <c r="H21" s="1455"/>
      <c r="I21" s="1455"/>
      <c r="J21" s="144"/>
      <c r="K21" s="144"/>
      <c r="L21" s="147"/>
      <c r="M21" s="147"/>
      <c r="N21" s="193"/>
      <c r="O21" s="272"/>
      <c r="P21" s="272"/>
      <c r="Q21" s="273"/>
      <c r="R21" s="125"/>
      <c r="S21" s="125"/>
      <c r="T21" s="5"/>
    </row>
    <row r="22" spans="1:20" ht="16.5" x14ac:dyDescent="0.3">
      <c r="A22" s="225"/>
      <c r="B22" s="134"/>
      <c r="C22" s="124"/>
      <c r="D22" s="310"/>
      <c r="E22" s="310"/>
      <c r="F22" s="135"/>
      <c r="G22" s="135"/>
      <c r="H22" s="135"/>
      <c r="I22" s="124"/>
      <c r="J22" s="225"/>
      <c r="K22" s="225"/>
      <c r="L22" s="148"/>
      <c r="M22" s="124"/>
      <c r="N22" s="274"/>
      <c r="O22" s="124"/>
      <c r="P22" s="124"/>
      <c r="Q22" s="124"/>
      <c r="R22" s="124"/>
      <c r="S22" s="124"/>
      <c r="T22" s="5"/>
    </row>
    <row r="23" spans="1:20" s="228" customFormat="1" ht="16.5" x14ac:dyDescent="0.25">
      <c r="A23" s="144"/>
      <c r="B23" s="289" t="s">
        <v>621</v>
      </c>
      <c r="C23" s="129"/>
      <c r="D23" s="147" t="s">
        <v>647</v>
      </c>
      <c r="E23" s="266"/>
      <c r="F23" s="1453">
        <f>F18+F21+F20</f>
        <v>24457690.642751098</v>
      </c>
      <c r="G23" s="1453"/>
      <c r="H23" s="1453"/>
      <c r="I23" s="1453"/>
      <c r="J23" s="144"/>
      <c r="K23" s="144"/>
      <c r="L23" s="148"/>
      <c r="M23" s="124"/>
      <c r="N23" s="274"/>
      <c r="O23" s="124"/>
      <c r="P23" s="124"/>
      <c r="Q23" s="124"/>
      <c r="R23" s="124"/>
      <c r="S23" s="124"/>
      <c r="T23" s="263"/>
    </row>
    <row r="24" spans="1:20" ht="16.5" x14ac:dyDescent="0.3">
      <c r="A24" s="144"/>
      <c r="B24" s="134"/>
      <c r="C24" s="124"/>
      <c r="D24" s="310"/>
      <c r="E24" s="310"/>
      <c r="F24" s="135"/>
      <c r="G24" s="135"/>
      <c r="H24" s="135"/>
      <c r="I24" s="124"/>
      <c r="J24" s="144"/>
      <c r="K24" s="144"/>
      <c r="L24" s="125" t="s">
        <v>774</v>
      </c>
      <c r="M24" s="125"/>
      <c r="N24" s="147"/>
      <c r="O24" s="125"/>
      <c r="P24" s="172"/>
      <c r="Q24" s="125" t="s">
        <v>775</v>
      </c>
      <c r="R24" s="124"/>
      <c r="S24" s="124"/>
      <c r="T24" s="5"/>
    </row>
    <row r="25" spans="1:20" s="228" customFormat="1" x14ac:dyDescent="0.25">
      <c r="A25" s="225"/>
      <c r="B25" s="1410" t="s">
        <v>909</v>
      </c>
      <c r="C25" s="1410"/>
      <c r="D25" s="310" t="s">
        <v>647</v>
      </c>
      <c r="E25" s="305">
        <v>1</v>
      </c>
      <c r="F25" s="1453">
        <f>E25*F23</f>
        <v>24457690.642751098</v>
      </c>
      <c r="G25" s="1453"/>
      <c r="H25" s="1453"/>
      <c r="I25" s="1453"/>
      <c r="J25" s="225"/>
      <c r="K25" s="225"/>
      <c r="L25" s="124"/>
      <c r="M25" s="124"/>
      <c r="N25" s="310"/>
      <c r="O25" s="124"/>
      <c r="P25" s="124"/>
      <c r="Q25" s="124"/>
      <c r="R25" s="124"/>
      <c r="S25" s="124"/>
      <c r="T25" s="263"/>
    </row>
    <row r="26" spans="1:20" s="228" customFormat="1" ht="16.5" x14ac:dyDescent="0.25">
      <c r="A26" s="144"/>
      <c r="B26" s="1156" t="s">
        <v>910</v>
      </c>
      <c r="C26" s="1156"/>
      <c r="D26" s="147" t="s">
        <v>647</v>
      </c>
      <c r="E26" s="266"/>
      <c r="F26" s="1455">
        <f>'STANDARD COMP.'!F26</f>
        <v>50000</v>
      </c>
      <c r="G26" s="1455"/>
      <c r="H26" s="1455"/>
      <c r="I26" s="1455"/>
      <c r="J26" s="225"/>
      <c r="K26" s="225"/>
      <c r="L26" s="124"/>
      <c r="M26" s="124"/>
      <c r="N26" s="310"/>
      <c r="O26" s="124"/>
      <c r="P26" s="124"/>
      <c r="Q26" s="124"/>
      <c r="R26" s="124"/>
      <c r="S26" s="124"/>
      <c r="T26" s="263"/>
    </row>
    <row r="27" spans="1:20" ht="16.5" x14ac:dyDescent="0.3">
      <c r="A27" s="225"/>
      <c r="B27" s="1451" t="s">
        <v>915</v>
      </c>
      <c r="C27" s="1451"/>
      <c r="D27" s="310" t="s">
        <v>647</v>
      </c>
      <c r="E27" s="307"/>
      <c r="F27" s="1453">
        <f>(F25-F26)/2</f>
        <v>12203845.321375549</v>
      </c>
      <c r="G27" s="1453"/>
      <c r="H27" s="1453"/>
      <c r="I27" s="1453"/>
      <c r="J27" s="144"/>
      <c r="K27" s="144"/>
      <c r="L27" s="1454" t="str">
        <f>FORM!G32</f>
        <v>Seller</v>
      </c>
      <c r="M27" s="1454"/>
      <c r="N27" s="1454"/>
      <c r="O27" s="125"/>
      <c r="P27" s="125"/>
      <c r="Q27" s="1454">
        <f>FORM!G30</f>
        <v>0</v>
      </c>
      <c r="R27" s="1454"/>
      <c r="S27" s="1454"/>
      <c r="T27" s="5"/>
    </row>
    <row r="28" spans="1:20" ht="16.5" x14ac:dyDescent="0.3">
      <c r="A28" s="144"/>
      <c r="B28" s="1451" t="s">
        <v>916</v>
      </c>
      <c r="C28" s="1451"/>
      <c r="D28" s="310" t="s">
        <v>647</v>
      </c>
      <c r="E28" s="307"/>
      <c r="F28" s="1453">
        <f>F27</f>
        <v>12203845.321375549</v>
      </c>
      <c r="G28" s="1453"/>
      <c r="H28" s="1453"/>
      <c r="I28" s="1453"/>
      <c r="J28" s="144"/>
      <c r="K28" s="144"/>
      <c r="L28" s="313" t="s">
        <v>776</v>
      </c>
      <c r="M28" s="1456"/>
      <c r="N28" s="1457"/>
      <c r="O28" s="124"/>
      <c r="P28" s="124"/>
      <c r="Q28" s="149" t="s">
        <v>777</v>
      </c>
      <c r="R28" s="1456"/>
      <c r="S28" s="1457"/>
      <c r="T28" s="5"/>
    </row>
    <row r="29" spans="1:20" s="228" customFormat="1" ht="16.5" x14ac:dyDescent="0.25">
      <c r="A29" s="144"/>
      <c r="B29" s="304"/>
      <c r="C29" s="131"/>
      <c r="D29" s="217"/>
      <c r="E29" s="131"/>
      <c r="F29" s="131"/>
      <c r="G29" s="131"/>
      <c r="H29" s="131"/>
      <c r="I29" s="131"/>
      <c r="J29" s="225"/>
      <c r="K29" s="225"/>
      <c r="L29" s="130"/>
      <c r="M29" s="130"/>
      <c r="N29" s="130"/>
      <c r="O29" s="130"/>
      <c r="P29" s="130"/>
      <c r="Q29" s="130"/>
      <c r="R29" s="130"/>
      <c r="S29" s="130"/>
      <c r="T29" s="263"/>
    </row>
    <row r="30" spans="1:20" ht="16.5" x14ac:dyDescent="0.3">
      <c r="A30" s="144"/>
      <c r="B30" s="268"/>
      <c r="C30" s="175"/>
      <c r="D30" s="269"/>
      <c r="E30" s="191"/>
      <c r="F30" s="175"/>
      <c r="G30" s="175"/>
      <c r="H30" s="1452"/>
      <c r="I30" s="1452"/>
      <c r="J30" s="144"/>
      <c r="K30" s="144"/>
      <c r="M30" s="151"/>
      <c r="T30" s="5"/>
    </row>
    <row r="31" spans="1:20" ht="16.5" x14ac:dyDescent="0.3">
      <c r="A31" s="144"/>
      <c r="B31" s="142" t="s">
        <v>749</v>
      </c>
      <c r="C31" s="270"/>
      <c r="D31" s="133"/>
      <c r="E31" s="133"/>
      <c r="F31" s="133"/>
      <c r="G31" s="133"/>
      <c r="H31" s="133"/>
      <c r="I31" s="271"/>
      <c r="J31" s="144"/>
      <c r="K31" s="144"/>
      <c r="M31" s="151"/>
      <c r="T31" s="5"/>
    </row>
    <row r="32" spans="1:20" ht="16.5" x14ac:dyDescent="0.3">
      <c r="A32" s="144"/>
      <c r="B32" s="133"/>
      <c r="C32" s="133"/>
      <c r="D32" s="133"/>
      <c r="E32" s="133"/>
      <c r="F32" s="133"/>
      <c r="G32" s="133"/>
      <c r="H32" s="133"/>
      <c r="I32" s="133"/>
      <c r="J32" s="144"/>
      <c r="K32" s="144"/>
      <c r="M32" s="151"/>
      <c r="T32" s="5"/>
    </row>
    <row r="33" spans="1:20" ht="16.5" x14ac:dyDescent="0.3">
      <c r="A33" s="144"/>
      <c r="B33" s="1277" t="s">
        <v>655</v>
      </c>
      <c r="C33" s="1277"/>
      <c r="D33" s="1277" t="s">
        <v>656</v>
      </c>
      <c r="E33" s="1277"/>
      <c r="F33" s="1277"/>
      <c r="G33" s="1277" t="s">
        <v>754</v>
      </c>
      <c r="H33" s="1277"/>
      <c r="I33" s="1277"/>
      <c r="J33" s="144"/>
      <c r="K33" s="144"/>
      <c r="M33" s="151"/>
      <c r="T33" s="5"/>
    </row>
    <row r="34" spans="1:20" ht="16.5" x14ac:dyDescent="0.3">
      <c r="A34" s="144"/>
      <c r="B34" s="1443">
        <f>'SPOT CASH_30 DAYS'!B35</f>
        <v>0</v>
      </c>
      <c r="C34" s="1445"/>
      <c r="D34" s="1443">
        <f>'SPOT CASH_30 DAYS'!D35</f>
        <v>0</v>
      </c>
      <c r="E34" s="1444"/>
      <c r="F34" s="1445"/>
      <c r="G34" s="1366">
        <f>'SPOT CASH_30 DAYS'!H35</f>
        <v>0</v>
      </c>
      <c r="H34" s="1449"/>
      <c r="I34" s="1367"/>
      <c r="J34" s="144"/>
      <c r="K34" s="144"/>
      <c r="M34" s="151"/>
      <c r="T34" s="5"/>
    </row>
    <row r="35" spans="1:20" ht="16.5" x14ac:dyDescent="0.3">
      <c r="A35" s="144"/>
      <c r="B35" s="1446"/>
      <c r="C35" s="1448"/>
      <c r="D35" s="1446"/>
      <c r="E35" s="1447"/>
      <c r="F35" s="1448"/>
      <c r="G35" s="1368"/>
      <c r="H35" s="1450"/>
      <c r="I35" s="1369"/>
      <c r="J35" s="144"/>
      <c r="K35" s="144"/>
      <c r="M35" s="151"/>
      <c r="T35" s="5"/>
    </row>
    <row r="36" spans="1:20" ht="16.5" x14ac:dyDescent="0.3">
      <c r="A36" s="144"/>
      <c r="B36" s="1443">
        <f>'SPOT CASH_30 DAYS'!B37</f>
        <v>0</v>
      </c>
      <c r="C36" s="1445"/>
      <c r="D36" s="1443">
        <f>'SPOT CASH_30 DAYS'!D37</f>
        <v>0</v>
      </c>
      <c r="E36" s="1444"/>
      <c r="F36" s="1445"/>
      <c r="G36" s="1366">
        <f>'SPOT CASH_30 DAYS'!H37</f>
        <v>0</v>
      </c>
      <c r="H36" s="1449"/>
      <c r="I36" s="1367"/>
      <c r="J36" s="144"/>
      <c r="K36" s="144"/>
      <c r="T36" s="5"/>
    </row>
    <row r="37" spans="1:20" ht="16.5" customHeight="1" x14ac:dyDescent="0.3">
      <c r="A37" s="144"/>
      <c r="B37" s="1446"/>
      <c r="C37" s="1448"/>
      <c r="D37" s="1446"/>
      <c r="E37" s="1447"/>
      <c r="F37" s="1448"/>
      <c r="G37" s="1368"/>
      <c r="H37" s="1450"/>
      <c r="I37" s="1369"/>
      <c r="J37" s="144"/>
      <c r="K37" s="144"/>
      <c r="T37" s="5"/>
    </row>
    <row r="38" spans="1:20" ht="16.5" x14ac:dyDescent="0.3">
      <c r="A38" s="144"/>
      <c r="B38" s="1443">
        <f>'SPOT CASH_30 DAYS'!B39</f>
        <v>0</v>
      </c>
      <c r="C38" s="1445"/>
      <c r="D38" s="1443">
        <f>'SPOT CASH_30 DAYS'!D39</f>
        <v>0</v>
      </c>
      <c r="E38" s="1444"/>
      <c r="F38" s="1445"/>
      <c r="G38" s="1366">
        <f>'SPOT CASH_30 DAYS'!H39</f>
        <v>0</v>
      </c>
      <c r="H38" s="1449"/>
      <c r="I38" s="1367"/>
      <c r="J38" s="144"/>
      <c r="K38" s="144"/>
      <c r="T38" s="5"/>
    </row>
    <row r="39" spans="1:20" ht="16.5" customHeight="1" x14ac:dyDescent="0.3">
      <c r="A39" s="144"/>
      <c r="B39" s="1446"/>
      <c r="C39" s="1448"/>
      <c r="D39" s="1446"/>
      <c r="E39" s="1447"/>
      <c r="F39" s="1448"/>
      <c r="G39" s="1368"/>
      <c r="H39" s="1450"/>
      <c r="I39" s="1369"/>
      <c r="J39" s="144"/>
      <c r="K39" s="144"/>
      <c r="T39" s="5"/>
    </row>
    <row r="40" spans="1:20" ht="16.5" x14ac:dyDescent="0.3">
      <c r="A40" s="144"/>
      <c r="B40" s="1443">
        <f>'SPOT CASH_30 DAYS'!B41</f>
        <v>0</v>
      </c>
      <c r="C40" s="1445"/>
      <c r="D40" s="1443">
        <f>'SPOT CASH_30 DAYS'!D41</f>
        <v>0</v>
      </c>
      <c r="E40" s="1444"/>
      <c r="F40" s="1445"/>
      <c r="G40" s="1366">
        <f>'SPOT CASH_30 DAYS'!H41</f>
        <v>0</v>
      </c>
      <c r="H40" s="1449"/>
      <c r="I40" s="1367"/>
      <c r="J40" s="144"/>
      <c r="K40" s="144"/>
      <c r="T40" s="5"/>
    </row>
    <row r="41" spans="1:20" ht="12.75" customHeight="1" x14ac:dyDescent="0.3">
      <c r="A41" s="144"/>
      <c r="B41" s="1446"/>
      <c r="C41" s="1448"/>
      <c r="D41" s="1446"/>
      <c r="E41" s="1447"/>
      <c r="F41" s="1448"/>
      <c r="G41" s="1368"/>
      <c r="H41" s="1450"/>
      <c r="I41" s="1369"/>
      <c r="J41" s="144"/>
      <c r="K41" s="144"/>
      <c r="T41" s="5"/>
    </row>
    <row r="42" spans="1:20" ht="15" customHeight="1" x14ac:dyDescent="0.3">
      <c r="A42" s="144"/>
      <c r="B42" s="1443">
        <f>'SPOT CASH_30 DAYS'!B43</f>
        <v>0</v>
      </c>
      <c r="C42" s="1445"/>
      <c r="D42" s="1443">
        <f>'SPOT CASH_30 DAYS'!D43</f>
        <v>0</v>
      </c>
      <c r="E42" s="1444"/>
      <c r="F42" s="1445"/>
      <c r="G42" s="1366">
        <f>'SPOT CASH_30 DAYS'!H43</f>
        <v>0</v>
      </c>
      <c r="H42" s="1449"/>
      <c r="I42" s="1367"/>
      <c r="J42" s="144"/>
      <c r="K42" s="144"/>
      <c r="T42" s="5"/>
    </row>
    <row r="43" spans="1:20" ht="12.75" customHeight="1" x14ac:dyDescent="0.3">
      <c r="A43" s="144"/>
      <c r="B43" s="1446"/>
      <c r="C43" s="1448"/>
      <c r="D43" s="1446"/>
      <c r="E43" s="1447"/>
      <c r="F43" s="1448"/>
      <c r="G43" s="1368"/>
      <c r="H43" s="1450"/>
      <c r="I43" s="1369"/>
      <c r="J43" s="225"/>
      <c r="K43" s="225"/>
      <c r="T43" s="5"/>
    </row>
    <row r="44" spans="1:20" ht="12.75" customHeight="1" x14ac:dyDescent="0.3">
      <c r="A44" s="144"/>
      <c r="B44" s="1443">
        <f>'SPOT CASH_30 DAYS'!B45</f>
        <v>0</v>
      </c>
      <c r="C44" s="1445"/>
      <c r="D44" s="1443">
        <f>'SPOT CASH_30 DAYS'!D45</f>
        <v>0</v>
      </c>
      <c r="E44" s="1444"/>
      <c r="F44" s="1445"/>
      <c r="G44" s="1366">
        <f>'SPOT CASH_30 DAYS'!H45</f>
        <v>0</v>
      </c>
      <c r="H44" s="1449"/>
      <c r="I44" s="1367"/>
      <c r="J44" s="225"/>
      <c r="K44" s="225"/>
      <c r="T44" s="5"/>
    </row>
    <row r="45" spans="1:20" ht="12.75" customHeight="1" x14ac:dyDescent="0.3">
      <c r="A45" s="144"/>
      <c r="B45" s="1446"/>
      <c r="C45" s="1448"/>
      <c r="D45" s="1446"/>
      <c r="E45" s="1447"/>
      <c r="F45" s="1448"/>
      <c r="G45" s="1368"/>
      <c r="H45" s="1450"/>
      <c r="I45" s="1369"/>
      <c r="J45" s="225"/>
      <c r="K45" s="225"/>
      <c r="T45" s="5"/>
    </row>
    <row r="46" spans="1:20" ht="12.75" customHeight="1" x14ac:dyDescent="0.3">
      <c r="A46" s="144"/>
      <c r="J46" s="225"/>
      <c r="K46" s="225"/>
      <c r="T46" s="5"/>
    </row>
    <row r="47" spans="1:20" ht="12.75" customHeight="1" x14ac:dyDescent="0.3">
      <c r="A47" s="144"/>
      <c r="B47" s="145"/>
      <c r="C47" s="145" t="s">
        <v>769</v>
      </c>
      <c r="D47" s="1179"/>
      <c r="E47" s="1179"/>
      <c r="F47" s="1179"/>
      <c r="G47" s="225"/>
      <c r="H47" s="225"/>
      <c r="I47" s="225"/>
      <c r="J47" s="225"/>
      <c r="K47" s="225"/>
      <c r="T47" s="5"/>
    </row>
    <row r="48" spans="1:20" ht="12.75" customHeight="1" x14ac:dyDescent="0.3">
      <c r="A48" s="144"/>
      <c r="B48" s="225"/>
      <c r="C48" s="225"/>
      <c r="D48" s="225"/>
      <c r="E48" s="225"/>
      <c r="F48" s="225"/>
      <c r="G48" s="225"/>
      <c r="H48" s="225"/>
      <c r="I48" s="225"/>
      <c r="J48" s="225"/>
      <c r="K48" s="225"/>
      <c r="T48" s="5"/>
    </row>
    <row r="49" spans="1:20" ht="12.75" customHeight="1" x14ac:dyDescent="0.3">
      <c r="A49" s="144"/>
      <c r="G49" s="225"/>
      <c r="H49" s="225"/>
      <c r="I49" s="225"/>
      <c r="J49" s="225"/>
      <c r="K49" s="225"/>
      <c r="T49" s="5"/>
    </row>
    <row r="50" spans="1:20" ht="12.75" customHeight="1" x14ac:dyDescent="0.3">
      <c r="A50" s="144"/>
      <c r="G50" s="225"/>
      <c r="H50" s="225"/>
      <c r="I50" s="225"/>
      <c r="J50" s="225"/>
      <c r="K50" s="225"/>
      <c r="T50" s="5"/>
    </row>
    <row r="51" spans="1:20" ht="16.5" x14ac:dyDescent="0.3">
      <c r="A51" s="144"/>
      <c r="G51" s="225"/>
      <c r="H51" s="225"/>
      <c r="I51" s="225"/>
      <c r="J51" s="225"/>
      <c r="K51" s="225"/>
      <c r="T51" s="5"/>
    </row>
    <row r="52" spans="1:20" ht="16.5" x14ac:dyDescent="0.3">
      <c r="A52" s="144"/>
      <c r="G52" s="225"/>
      <c r="H52" s="225"/>
      <c r="I52" s="225"/>
      <c r="J52" s="144"/>
      <c r="K52" s="144"/>
      <c r="T52" s="5"/>
    </row>
    <row r="53" spans="1:20" ht="16.5" x14ac:dyDescent="0.3">
      <c r="A53" s="144"/>
      <c r="G53" s="225"/>
      <c r="H53" s="225"/>
      <c r="I53" s="225"/>
      <c r="J53" s="225"/>
      <c r="K53" s="225"/>
      <c r="T53" s="5"/>
    </row>
    <row r="54" spans="1:20" ht="16.5" x14ac:dyDescent="0.3">
      <c r="A54" s="144"/>
      <c r="B54" s="144"/>
      <c r="C54" s="144"/>
      <c r="D54" s="252"/>
      <c r="E54" s="144"/>
      <c r="F54" s="144"/>
      <c r="G54" s="144"/>
      <c r="H54" s="144"/>
      <c r="I54" s="144"/>
      <c r="J54" s="144"/>
      <c r="K54" s="225"/>
      <c r="T54" s="5"/>
    </row>
    <row r="55" spans="1:20" ht="16.5" x14ac:dyDescent="0.3">
      <c r="A55" s="5"/>
      <c r="B55" s="125" t="s">
        <v>774</v>
      </c>
      <c r="C55" s="125"/>
      <c r="D55" s="147"/>
      <c r="E55" s="125"/>
      <c r="F55" s="125" t="s">
        <v>775</v>
      </c>
      <c r="G55" s="125"/>
      <c r="H55" s="124"/>
      <c r="I55" s="124"/>
      <c r="J55" s="144"/>
      <c r="K55" s="225"/>
      <c r="T55" s="5"/>
    </row>
    <row r="56" spans="1:20" ht="16.5" x14ac:dyDescent="0.3">
      <c r="A56" s="5"/>
      <c r="B56" s="124"/>
      <c r="C56" s="124"/>
      <c r="D56" s="310"/>
      <c r="E56" s="124"/>
      <c r="F56" s="124"/>
      <c r="G56" s="124"/>
      <c r="H56" s="124"/>
      <c r="I56" s="124"/>
      <c r="J56" s="144"/>
      <c r="K56" s="225"/>
      <c r="T56" s="5"/>
    </row>
    <row r="57" spans="1:20" ht="16.5" x14ac:dyDescent="0.3">
      <c r="A57" s="5"/>
      <c r="B57" s="124"/>
      <c r="C57" s="124"/>
      <c r="D57" s="310"/>
      <c r="E57" s="124"/>
      <c r="F57" s="124"/>
      <c r="G57" s="124"/>
      <c r="H57" s="124"/>
      <c r="I57" s="124"/>
      <c r="J57" s="144"/>
      <c r="K57" s="225"/>
      <c r="T57" s="5"/>
    </row>
    <row r="58" spans="1:20" ht="16.5" x14ac:dyDescent="0.3">
      <c r="B58" s="1454" t="str">
        <f>FORM!G32</f>
        <v>Seller</v>
      </c>
      <c r="C58" s="1454"/>
      <c r="D58" s="1454"/>
      <c r="E58" s="125"/>
      <c r="F58" s="125"/>
      <c r="G58" s="1454">
        <f>FORM!G30</f>
        <v>0</v>
      </c>
      <c r="H58" s="1454"/>
      <c r="I58" s="1454"/>
      <c r="J58" s="144"/>
      <c r="K58" s="5"/>
      <c r="T58" s="5"/>
    </row>
    <row r="59" spans="1:20" ht="16.5" x14ac:dyDescent="0.3">
      <c r="A59" s="257">
        <f>F18*E21</f>
        <v>2456002.4076402774</v>
      </c>
      <c r="B59" s="313" t="s">
        <v>776</v>
      </c>
      <c r="C59" s="1456"/>
      <c r="D59" s="1457"/>
      <c r="E59" s="124"/>
      <c r="F59" s="124"/>
      <c r="G59" s="1457" t="s">
        <v>776</v>
      </c>
      <c r="H59" s="1457"/>
      <c r="I59" s="1457"/>
      <c r="J59" s="144"/>
      <c r="K59" s="5"/>
      <c r="T59" s="5"/>
    </row>
    <row r="60" spans="1:20" ht="16.5" x14ac:dyDescent="0.3">
      <c r="B60" s="124"/>
      <c r="C60" s="124"/>
      <c r="D60" s="310"/>
      <c r="E60" s="124"/>
      <c r="F60" s="124"/>
      <c r="G60" s="124"/>
      <c r="H60" s="124"/>
      <c r="I60" s="124"/>
      <c r="J60" s="144"/>
      <c r="K60" s="5"/>
      <c r="T60" s="5"/>
    </row>
    <row r="61" spans="1:20" ht="16.5" x14ac:dyDescent="0.3">
      <c r="A61" s="573">
        <f>F18*12%</f>
        <v>2456002.4076402774</v>
      </c>
      <c r="B61" s="144"/>
      <c r="C61" s="144"/>
      <c r="D61" s="252"/>
      <c r="E61" s="144"/>
      <c r="F61" s="144"/>
      <c r="G61" s="144"/>
      <c r="H61" s="144"/>
      <c r="I61" s="144"/>
      <c r="J61" s="144"/>
      <c r="K61" s="5"/>
      <c r="T61" s="5"/>
    </row>
    <row r="62" spans="1:20" ht="16.5" x14ac:dyDescent="0.3">
      <c r="B62" s="144"/>
      <c r="C62" s="144"/>
      <c r="D62" s="252"/>
      <c r="E62" s="144"/>
      <c r="F62" s="144"/>
      <c r="G62" s="144"/>
      <c r="H62" s="144"/>
      <c r="I62" s="144"/>
      <c r="J62" s="5"/>
      <c r="K62" s="5"/>
      <c r="T62" s="5"/>
    </row>
    <row r="63" spans="1:20" ht="16.5" x14ac:dyDescent="0.3">
      <c r="B63" s="5"/>
      <c r="C63" s="5"/>
      <c r="D63" s="103"/>
      <c r="E63" s="5"/>
      <c r="F63" s="5"/>
      <c r="G63" s="5"/>
      <c r="H63" s="5"/>
      <c r="I63" s="5"/>
      <c r="J63" s="5"/>
      <c r="K63" s="5"/>
      <c r="T63" s="5"/>
    </row>
    <row r="64" spans="1:20" ht="16.5" x14ac:dyDescent="0.3">
      <c r="B64" s="5"/>
      <c r="C64" s="5"/>
      <c r="D64" s="103"/>
      <c r="E64" s="5"/>
      <c r="F64" s="5"/>
      <c r="G64" s="5"/>
      <c r="H64" s="5"/>
      <c r="I64" s="5"/>
      <c r="J64" s="5"/>
      <c r="K64" s="5"/>
    </row>
    <row r="65" spans="2:11" ht="16.5" x14ac:dyDescent="0.3">
      <c r="B65" s="5"/>
      <c r="C65" s="5"/>
      <c r="D65" s="103"/>
      <c r="E65" s="5"/>
      <c r="F65" s="5"/>
      <c r="G65" s="5"/>
      <c r="H65" s="5"/>
      <c r="I65" s="5"/>
      <c r="K65" s="5"/>
    </row>
    <row r="66" spans="2:11" ht="16.5" x14ac:dyDescent="0.3">
      <c r="K66" s="5"/>
    </row>
    <row r="67" spans="2:11" ht="16.5" x14ac:dyDescent="0.3">
      <c r="K67" s="5"/>
    </row>
    <row r="68" spans="2:11" ht="16.5" x14ac:dyDescent="0.3">
      <c r="K68" s="5"/>
    </row>
    <row r="69" spans="2:11" ht="16.5" x14ac:dyDescent="0.3">
      <c r="K69" s="5"/>
    </row>
    <row r="70" spans="2:11" ht="16.5" x14ac:dyDescent="0.3">
      <c r="K70" s="5"/>
    </row>
  </sheetData>
  <sheetProtection algorithmName="SHA-512" hashValue="StFkpOFLbrq6Po0unMbnyuu5xjuC9UYU8sPb5Arcg41Pcgh3s2UDoqM8vG3ls96b5ba71cs8prl+pmGuDo8bpQ==" saltValue="eUvxUIeEksgRP7rK0XZJHQ==" spinCount="100000" sheet="1" formatCells="0" formatColumns="0" formatRows="0" selectLockedCells="1"/>
  <mergeCells count="87">
    <mergeCell ref="D44:F45"/>
    <mergeCell ref="B44:C45"/>
    <mergeCell ref="G59:I59"/>
    <mergeCell ref="D47:F47"/>
    <mergeCell ref="D40:F41"/>
    <mergeCell ref="G40:I41"/>
    <mergeCell ref="B40:C41"/>
    <mergeCell ref="B42:C43"/>
    <mergeCell ref="D42:F43"/>
    <mergeCell ref="G42:I43"/>
    <mergeCell ref="G44:I45"/>
    <mergeCell ref="C59:D59"/>
    <mergeCell ref="B58:D58"/>
    <mergeCell ref="G58:I58"/>
    <mergeCell ref="B36:C37"/>
    <mergeCell ref="D36:F37"/>
    <mergeCell ref="G36:I37"/>
    <mergeCell ref="B38:C39"/>
    <mergeCell ref="D38:F39"/>
    <mergeCell ref="G38:I39"/>
    <mergeCell ref="F21:I21"/>
    <mergeCell ref="O17:P17"/>
    <mergeCell ref="O18:P18"/>
    <mergeCell ref="L17:M17"/>
    <mergeCell ref="F17:I17"/>
    <mergeCell ref="L18:M18"/>
    <mergeCell ref="F18:I18"/>
    <mergeCell ref="F20:I20"/>
    <mergeCell ref="E13:F13"/>
    <mergeCell ref="F15:I15"/>
    <mergeCell ref="F16:I16"/>
    <mergeCell ref="O15:P16"/>
    <mergeCell ref="G13:I13"/>
    <mergeCell ref="O13:P13"/>
    <mergeCell ref="E12:F12"/>
    <mergeCell ref="G12:I12"/>
    <mergeCell ref="O12:P12"/>
    <mergeCell ref="Q12:S12"/>
    <mergeCell ref="G11:I11"/>
    <mergeCell ref="E6:I6"/>
    <mergeCell ref="O6:S6"/>
    <mergeCell ref="B3:I4"/>
    <mergeCell ref="O11:P11"/>
    <mergeCell ref="Q11:S11"/>
    <mergeCell ref="O7:S7"/>
    <mergeCell ref="E8:I8"/>
    <mergeCell ref="O8:S8"/>
    <mergeCell ref="E7:I7"/>
    <mergeCell ref="E9:I9"/>
    <mergeCell ref="O9:S9"/>
    <mergeCell ref="G10:I10"/>
    <mergeCell ref="E10:F10"/>
    <mergeCell ref="O10:P10"/>
    <mergeCell ref="Q10:S10"/>
    <mergeCell ref="E11:F11"/>
    <mergeCell ref="M28:N28"/>
    <mergeCell ref="R28:S28"/>
    <mergeCell ref="R1:S1"/>
    <mergeCell ref="R2:S2"/>
    <mergeCell ref="L3:S4"/>
    <mergeCell ref="L15:M16"/>
    <mergeCell ref="N15:N16"/>
    <mergeCell ref="Q15:S16"/>
    <mergeCell ref="Q17:S17"/>
    <mergeCell ref="Q18:S18"/>
    <mergeCell ref="Q13:S13"/>
    <mergeCell ref="L19:M19"/>
    <mergeCell ref="O19:P19"/>
    <mergeCell ref="Q19:S19"/>
    <mergeCell ref="F23:I23"/>
    <mergeCell ref="L27:N27"/>
    <mergeCell ref="Q27:S27"/>
    <mergeCell ref="F25:I25"/>
    <mergeCell ref="F26:I26"/>
    <mergeCell ref="F27:I27"/>
    <mergeCell ref="B34:C35"/>
    <mergeCell ref="D34:F35"/>
    <mergeCell ref="G34:I35"/>
    <mergeCell ref="B25:C25"/>
    <mergeCell ref="B26:C26"/>
    <mergeCell ref="B27:C27"/>
    <mergeCell ref="G33:I33"/>
    <mergeCell ref="D33:F33"/>
    <mergeCell ref="H30:I30"/>
    <mergeCell ref="B33:C33"/>
    <mergeCell ref="B28:C28"/>
    <mergeCell ref="F28:I28"/>
  </mergeCells>
  <pageMargins left="0.59055118110236227" right="0.59055118110236227" top="0.90162037037037035" bottom="0.74803149606299213" header="0.31496062992125984" footer="0.31496062992125984"/>
  <pageSetup paperSize="14" scale="82" orientation="portrait" r:id="rId1"/>
  <headerFooter>
    <oddHeader xml:space="preserve">&amp;R&amp;"Century Gothic,Bold"&amp;18ANNEX A: 
SAMPLE PACKAGE COMPUTATION
</oddHeader>
  </headerFooter>
  <rowBreaks count="1" manualBreakCount="1">
    <brk id="63" max="18" man="1"/>
  </rowBreaks>
  <colBreaks count="1" manualBreakCount="1">
    <brk id="9" max="59" man="1"/>
  </colBreaks>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691B7C-C977-4066-83BD-71425F9E66CD}">
  <sheetPr codeName="Sheet31"/>
  <dimension ref="A1:U80"/>
  <sheetViews>
    <sheetView showGridLines="0" showZeros="0" view="pageBreakPreview" zoomScale="115" zoomScaleNormal="100" zoomScaleSheetLayoutView="115" workbookViewId="0">
      <selection activeCell="X24" sqref="X24"/>
    </sheetView>
  </sheetViews>
  <sheetFormatPr defaultColWidth="9.28515625" defaultRowHeight="16.5" x14ac:dyDescent="0.3"/>
  <cols>
    <col min="1" max="1" width="3.28515625" style="5" customWidth="1"/>
    <col min="2" max="2" width="1.28515625" style="5" customWidth="1"/>
    <col min="3" max="3" width="4.5703125" style="5" customWidth="1"/>
    <col min="4" max="4" width="2.7109375" style="5" customWidth="1"/>
    <col min="5" max="5" width="7" style="5" customWidth="1"/>
    <col min="6" max="6" width="4.28515625" style="5" customWidth="1"/>
    <col min="7" max="7" width="3.42578125" style="5" customWidth="1"/>
    <col min="8" max="8" width="3.28515625" style="5" customWidth="1"/>
    <col min="9" max="9" width="5.28515625" style="5" customWidth="1"/>
    <col min="10" max="10" width="3.28515625" style="5" customWidth="1"/>
    <col min="11" max="11" width="4.7109375" style="5" customWidth="1"/>
    <col min="12" max="12" width="5.7109375" style="5" customWidth="1"/>
    <col min="13" max="13" width="7" style="5" customWidth="1"/>
    <col min="14" max="14" width="3.28515625" style="5" customWidth="1"/>
    <col min="15" max="15" width="4.42578125" style="5" customWidth="1"/>
    <col min="16" max="16" width="7" style="5" customWidth="1"/>
    <col min="17" max="17" width="5.28515625" style="5" customWidth="1"/>
    <col min="18" max="18" width="15.7109375" style="5" customWidth="1"/>
    <col min="19" max="19" width="2.42578125" style="5" customWidth="1"/>
    <col min="20" max="20" width="12.7109375" style="5" customWidth="1"/>
    <col min="21" max="21" width="1.28515625" style="5" customWidth="1"/>
    <col min="22" max="16384" width="9.28515625" style="5"/>
  </cols>
  <sheetData>
    <row r="1" spans="1:21" ht="7.5" customHeight="1" x14ac:dyDescent="0.3">
      <c r="U1" s="58"/>
    </row>
    <row r="2" spans="1:21" s="18" customFormat="1" ht="14.25" x14ac:dyDescent="0.3">
      <c r="A2" s="18" t="s">
        <v>778</v>
      </c>
      <c r="C2" s="1227">
        <f>FORM!G22</f>
        <v>45870</v>
      </c>
      <c r="D2" s="1227"/>
      <c r="E2" s="1227"/>
      <c r="F2" s="1227"/>
    </row>
    <row r="3" spans="1:21" s="18" customFormat="1" ht="13.5" x14ac:dyDescent="0.3"/>
    <row r="4" spans="1:21" s="18" customFormat="1" ht="14.25" x14ac:dyDescent="0.3">
      <c r="A4" s="655" t="s">
        <v>779</v>
      </c>
    </row>
    <row r="5" spans="1:21" s="18" customFormat="1" ht="9" customHeight="1" x14ac:dyDescent="0.3"/>
    <row r="6" spans="1:21" s="18" customFormat="1" ht="16.5" customHeight="1" x14ac:dyDescent="0.3">
      <c r="A6" s="1228" t="s">
        <v>780</v>
      </c>
      <c r="B6" s="1228"/>
      <c r="C6" s="1228"/>
      <c r="D6" s="1228"/>
      <c r="E6" s="1228"/>
      <c r="F6" s="1228"/>
      <c r="G6" s="1228"/>
      <c r="H6" s="1228"/>
      <c r="I6" s="1228"/>
      <c r="J6" s="1228"/>
      <c r="K6" s="1228"/>
      <c r="L6" s="1228"/>
      <c r="M6" s="1228"/>
      <c r="N6" s="1228"/>
      <c r="O6" s="1228"/>
      <c r="P6" s="1228"/>
      <c r="Q6" s="1228"/>
      <c r="R6" s="1228"/>
      <c r="S6" s="1228"/>
      <c r="T6" s="1228"/>
      <c r="U6" s="1228"/>
    </row>
    <row r="7" spans="1:21" ht="8.25" customHeight="1" x14ac:dyDescent="0.3">
      <c r="A7" s="21"/>
      <c r="B7" s="21"/>
      <c r="C7" s="21"/>
      <c r="D7" s="21"/>
      <c r="E7" s="21"/>
      <c r="F7" s="21"/>
      <c r="G7" s="21"/>
      <c r="H7" s="21"/>
      <c r="I7" s="21"/>
      <c r="J7" s="21"/>
      <c r="K7" s="21"/>
      <c r="L7" s="21"/>
      <c r="M7" s="21"/>
      <c r="N7" s="21"/>
      <c r="O7" s="21"/>
      <c r="P7" s="21"/>
      <c r="Q7" s="21"/>
      <c r="R7" s="21"/>
      <c r="S7" s="21"/>
      <c r="T7" s="21"/>
      <c r="U7" s="21"/>
    </row>
    <row r="8" spans="1:21" x14ac:dyDescent="0.3">
      <c r="A8" s="25" t="s">
        <v>781</v>
      </c>
      <c r="B8" s="26"/>
      <c r="C8" s="26"/>
      <c r="D8" s="24"/>
      <c r="E8" s="1229" t="str">
        <f>FORM!G11</f>
        <v>WEECOMM CENTRE</v>
      </c>
      <c r="F8" s="1229"/>
      <c r="G8" s="1229"/>
      <c r="H8" s="1229"/>
      <c r="I8" s="1229"/>
      <c r="J8" s="1229"/>
      <c r="K8" s="1229"/>
      <c r="L8" s="1229"/>
      <c r="M8" s="1229"/>
      <c r="N8" s="1229"/>
      <c r="O8" s="1229"/>
      <c r="P8" s="1229"/>
      <c r="Q8" s="1229"/>
      <c r="R8" s="1229"/>
      <c r="S8" s="1229"/>
      <c r="T8" s="1229"/>
      <c r="U8" s="62"/>
    </row>
    <row r="9" spans="1:21" x14ac:dyDescent="0.3">
      <c r="A9" s="27" t="s">
        <v>782</v>
      </c>
      <c r="B9" s="28"/>
      <c r="C9" s="28"/>
      <c r="D9" s="29"/>
      <c r="E9" s="30" t="s">
        <v>783</v>
      </c>
      <c r="F9" s="29"/>
      <c r="G9" s="29"/>
      <c r="H9" s="29"/>
      <c r="I9" s="29"/>
      <c r="J9" s="29"/>
      <c r="K9" s="29"/>
      <c r="L9" s="60"/>
      <c r="M9" s="29"/>
      <c r="N9" s="29"/>
      <c r="O9" s="29"/>
      <c r="P9" s="29"/>
      <c r="Q9" s="29"/>
      <c r="R9" s="29"/>
      <c r="S9" s="29"/>
      <c r="T9" s="30"/>
      <c r="U9" s="59"/>
    </row>
    <row r="10" spans="1:21" x14ac:dyDescent="0.3">
      <c r="A10" s="31"/>
      <c r="B10" s="8"/>
      <c r="C10" s="8"/>
      <c r="D10" s="8"/>
      <c r="E10" s="32"/>
      <c r="F10" s="8"/>
      <c r="G10" s="8"/>
      <c r="H10" s="8"/>
      <c r="I10" s="8"/>
      <c r="J10" s="8"/>
      <c r="K10" s="8"/>
      <c r="L10" s="32"/>
      <c r="M10" s="8"/>
      <c r="N10" s="8"/>
      <c r="O10" s="8"/>
      <c r="P10" s="8"/>
      <c r="Q10" s="8"/>
      <c r="R10" s="8"/>
      <c r="S10" s="8"/>
      <c r="T10" s="32"/>
      <c r="U10" s="33"/>
    </row>
    <row r="11" spans="1:21" ht="7.5" customHeight="1" x14ac:dyDescent="0.3">
      <c r="T11" s="5" t="s">
        <v>660</v>
      </c>
    </row>
    <row r="12" spans="1:21" x14ac:dyDescent="0.3">
      <c r="A12" s="1230" t="s">
        <v>784</v>
      </c>
      <c r="B12" s="1231"/>
      <c r="C12" s="1231"/>
      <c r="D12" s="1231"/>
      <c r="E12" s="1231"/>
      <c r="F12" s="1232"/>
      <c r="G12" s="1230" t="s">
        <v>267</v>
      </c>
      <c r="H12" s="1231"/>
      <c r="I12" s="1231"/>
      <c r="J12" s="1231"/>
      <c r="K12" s="1231"/>
      <c r="L12" s="1232"/>
      <c r="M12" s="1230" t="s">
        <v>785</v>
      </c>
      <c r="N12" s="1231"/>
      <c r="O12" s="1231"/>
      <c r="P12" s="1231"/>
      <c r="Q12" s="1232"/>
      <c r="R12" s="1230" t="s">
        <v>786</v>
      </c>
      <c r="S12" s="1231"/>
      <c r="T12" s="1231"/>
      <c r="U12" s="1232"/>
    </row>
    <row r="13" spans="1:21" x14ac:dyDescent="0.3">
      <c r="A13" s="40" t="s">
        <v>787</v>
      </c>
      <c r="B13" s="41"/>
      <c r="C13" s="41"/>
      <c r="D13" s="1193">
        <f>RA_Standard!D21</f>
        <v>1</v>
      </c>
      <c r="E13" s="1194"/>
      <c r="F13" s="1195"/>
      <c r="G13" s="40" t="s">
        <v>787</v>
      </c>
      <c r="H13" s="41"/>
      <c r="I13" s="42"/>
      <c r="J13" s="1207"/>
      <c r="K13" s="1208"/>
      <c r="L13" s="1209"/>
      <c r="M13" s="40" t="s">
        <v>788</v>
      </c>
      <c r="N13" s="41"/>
      <c r="O13" s="42"/>
      <c r="P13" s="1210"/>
      <c r="Q13" s="1197"/>
      <c r="R13" s="1211" t="s">
        <v>787</v>
      </c>
      <c r="S13" s="1212"/>
      <c r="T13" s="1213"/>
      <c r="U13" s="1214"/>
    </row>
    <row r="14" spans="1:21" x14ac:dyDescent="0.3">
      <c r="A14" s="36" t="s">
        <v>789</v>
      </c>
      <c r="B14" s="37"/>
      <c r="C14" s="37"/>
      <c r="D14" s="1193" t="str">
        <f>RA_Standard!D22</f>
        <v>GF</v>
      </c>
      <c r="E14" s="1194"/>
      <c r="F14" s="1195"/>
      <c r="G14" s="40" t="s">
        <v>790</v>
      </c>
      <c r="H14" s="41"/>
      <c r="I14" s="42"/>
      <c r="J14" s="1207"/>
      <c r="K14" s="1208"/>
      <c r="L14" s="1209"/>
      <c r="M14" s="40" t="s">
        <v>791</v>
      </c>
      <c r="N14" s="41"/>
      <c r="O14" s="42"/>
      <c r="P14" s="1210"/>
      <c r="Q14" s="1197"/>
      <c r="R14" s="1211" t="s">
        <v>792</v>
      </c>
      <c r="S14" s="1212"/>
      <c r="T14" s="1213"/>
      <c r="U14" s="1214"/>
    </row>
    <row r="15" spans="1:21" x14ac:dyDescent="0.3">
      <c r="A15" s="40" t="s">
        <v>792</v>
      </c>
      <c r="B15" s="41"/>
      <c r="C15" s="42"/>
      <c r="D15" s="1193" t="str">
        <f>RA_Standard!D23</f>
        <v>9G</v>
      </c>
      <c r="E15" s="1194"/>
      <c r="F15" s="1195"/>
      <c r="G15" s="40" t="s">
        <v>793</v>
      </c>
      <c r="H15" s="41"/>
      <c r="I15" s="42"/>
      <c r="J15" s="1207"/>
      <c r="K15" s="1208"/>
      <c r="L15" s="1209"/>
      <c r="M15" s="40" t="s">
        <v>794</v>
      </c>
      <c r="N15" s="41"/>
      <c r="O15" s="42"/>
      <c r="P15" s="1210"/>
      <c r="Q15" s="1197"/>
      <c r="R15" s="1211" t="s">
        <v>795</v>
      </c>
      <c r="S15" s="1212"/>
      <c r="T15" s="1213"/>
      <c r="U15" s="1214"/>
    </row>
    <row r="16" spans="1:21" ht="16.5" customHeight="1" x14ac:dyDescent="0.3">
      <c r="A16" s="36" t="s">
        <v>80</v>
      </c>
      <c r="B16" s="40"/>
      <c r="C16" s="42"/>
      <c r="D16" s="1193">
        <f>RA_Standard!D24</f>
        <v>108.78</v>
      </c>
      <c r="E16" s="1194"/>
      <c r="F16" s="1195"/>
      <c r="G16" s="40" t="s">
        <v>795</v>
      </c>
      <c r="H16" s="41"/>
      <c r="I16" s="42"/>
      <c r="J16" s="1207"/>
      <c r="K16" s="1208"/>
      <c r="L16" s="1209"/>
      <c r="M16" s="36" t="s">
        <v>80</v>
      </c>
      <c r="N16" s="37"/>
      <c r="O16" s="37"/>
      <c r="P16" s="1196"/>
      <c r="Q16" s="1197"/>
      <c r="R16" s="1215" t="s">
        <v>796</v>
      </c>
      <c r="S16" s="1216"/>
      <c r="T16" s="1221"/>
      <c r="U16" s="1222"/>
    </row>
    <row r="17" spans="1:21" ht="16.5" customHeight="1" x14ac:dyDescent="0.3">
      <c r="A17" s="40" t="s">
        <v>797</v>
      </c>
      <c r="B17" s="37"/>
      <c r="C17" s="37"/>
      <c r="D17" s="1193" t="str">
        <f>RA_Standard!D25</f>
        <v>2-BR BARE</v>
      </c>
      <c r="E17" s="1194"/>
      <c r="F17" s="1195"/>
      <c r="G17" s="40" t="s">
        <v>798</v>
      </c>
      <c r="H17" s="41"/>
      <c r="I17" s="42"/>
      <c r="J17" s="698"/>
      <c r="K17" s="699"/>
      <c r="L17" s="700"/>
      <c r="M17" s="36" t="s">
        <v>799</v>
      </c>
      <c r="N17" s="37"/>
      <c r="O17" s="37"/>
      <c r="P17" s="1196"/>
      <c r="Q17" s="1197"/>
      <c r="R17" s="1217"/>
      <c r="S17" s="1218"/>
      <c r="T17" s="1223"/>
      <c r="U17" s="1224"/>
    </row>
    <row r="18" spans="1:21" x14ac:dyDescent="0.3">
      <c r="B18"/>
      <c r="C18"/>
      <c r="D18"/>
      <c r="E18"/>
      <c r="F18"/>
      <c r="G18"/>
      <c r="H18"/>
      <c r="I18"/>
      <c r="J18"/>
      <c r="K18"/>
      <c r="L18"/>
      <c r="M18" s="40" t="s">
        <v>800</v>
      </c>
      <c r="N18" s="41"/>
      <c r="O18" s="42"/>
      <c r="P18" s="1198"/>
      <c r="Q18" s="1195"/>
      <c r="R18" s="1219"/>
      <c r="S18" s="1220"/>
      <c r="T18" s="1225"/>
      <c r="U18" s="1226"/>
    </row>
    <row r="19" spans="1:21" ht="7.5" customHeight="1" x14ac:dyDescent="0.3"/>
    <row r="20" spans="1:21" x14ac:dyDescent="0.3">
      <c r="A20" s="40" t="s">
        <v>37</v>
      </c>
      <c r="B20" s="41"/>
      <c r="C20" s="41"/>
      <c r="D20" s="41"/>
      <c r="E20" s="41"/>
      <c r="F20" s="41"/>
      <c r="G20" s="41"/>
      <c r="H20" s="42"/>
      <c r="I20" s="1199">
        <f>RA_SC30D!I26</f>
        <v>20466686.730335645</v>
      </c>
      <c r="J20" s="1200"/>
      <c r="K20" s="1200"/>
      <c r="L20" s="1200"/>
      <c r="M20" s="1200"/>
      <c r="N20" s="1200"/>
      <c r="O20" s="1200"/>
      <c r="P20" s="1200"/>
      <c r="Q20" s="1200"/>
      <c r="R20" s="1200"/>
      <c r="S20" s="1200"/>
      <c r="T20" s="1200"/>
      <c r="U20" s="1201"/>
    </row>
    <row r="21" spans="1:21" x14ac:dyDescent="0.3">
      <c r="A21" s="40" t="s">
        <v>801</v>
      </c>
      <c r="B21" s="41"/>
      <c r="C21" s="43"/>
      <c r="D21" s="43"/>
      <c r="E21" s="43"/>
      <c r="F21" s="43"/>
      <c r="G21" s="43"/>
      <c r="H21" s="44"/>
      <c r="I21" s="1199">
        <f>RA_SC30D!I27</f>
        <v>0</v>
      </c>
      <c r="J21" s="1200"/>
      <c r="K21" s="1200"/>
      <c r="L21" s="1200"/>
      <c r="M21" s="1200"/>
      <c r="N21" s="1200"/>
      <c r="O21" s="1200"/>
      <c r="P21" s="1200"/>
      <c r="Q21" s="1200"/>
      <c r="R21" s="1200"/>
      <c r="S21" s="1200"/>
      <c r="T21" s="1200"/>
      <c r="U21" s="1201"/>
    </row>
    <row r="22" spans="1:21" x14ac:dyDescent="0.3">
      <c r="A22" s="52" t="s">
        <v>92</v>
      </c>
      <c r="B22" s="53"/>
      <c r="C22" s="54"/>
      <c r="D22" s="54"/>
      <c r="E22" s="54"/>
      <c r="F22" s="54"/>
      <c r="G22" s="54"/>
      <c r="H22" s="51"/>
      <c r="I22" s="1199">
        <f>RA_SC30D!I28</f>
        <v>20466686.730335645</v>
      </c>
      <c r="J22" s="1200"/>
      <c r="K22" s="1200"/>
      <c r="L22" s="1200"/>
      <c r="M22" s="1200"/>
      <c r="N22" s="1200"/>
      <c r="O22" s="1200"/>
      <c r="P22" s="1200"/>
      <c r="Q22" s="1200"/>
      <c r="R22" s="1200"/>
      <c r="S22" s="1200"/>
      <c r="T22" s="1200"/>
      <c r="U22" s="1201"/>
    </row>
    <row r="23" spans="1:21" x14ac:dyDescent="0.3">
      <c r="A23" s="40" t="s">
        <v>802</v>
      </c>
      <c r="B23" s="41"/>
      <c r="C23" s="43"/>
      <c r="D23" s="43"/>
      <c r="E23" s="43"/>
      <c r="F23" s="43"/>
      <c r="G23" s="43"/>
      <c r="H23" s="44"/>
      <c r="I23" s="1199">
        <f>RA_SC30D!I29</f>
        <v>1535001.5047751733</v>
      </c>
      <c r="J23" s="1200"/>
      <c r="K23" s="1200"/>
      <c r="L23" s="1200"/>
      <c r="M23" s="1200"/>
      <c r="N23" s="1200"/>
      <c r="O23" s="1200"/>
      <c r="P23" s="1200"/>
      <c r="Q23" s="1200"/>
      <c r="R23" s="1200"/>
      <c r="S23" s="1200"/>
      <c r="T23" s="1200"/>
      <c r="U23" s="1201"/>
    </row>
    <row r="24" spans="1:21" x14ac:dyDescent="0.3">
      <c r="A24" s="40" t="s">
        <v>803</v>
      </c>
      <c r="B24" s="41"/>
      <c r="C24" s="43"/>
      <c r="D24" s="43"/>
      <c r="E24" s="43"/>
      <c r="F24" s="43"/>
      <c r="G24" s="43"/>
      <c r="H24" s="44"/>
      <c r="I24" s="1199">
        <f>RA_SC30D!I30</f>
        <v>2456002.4076402774</v>
      </c>
      <c r="J24" s="1200"/>
      <c r="K24" s="1200"/>
      <c r="L24" s="1200"/>
      <c r="M24" s="1200"/>
      <c r="N24" s="1200"/>
      <c r="O24" s="1200"/>
      <c r="P24" s="1200"/>
      <c r="Q24" s="1200"/>
      <c r="R24" s="1200"/>
      <c r="S24" s="1200"/>
      <c r="T24" s="1200"/>
      <c r="U24" s="1201"/>
    </row>
    <row r="25" spans="1:21" x14ac:dyDescent="0.3">
      <c r="A25" s="40" t="s">
        <v>41</v>
      </c>
      <c r="B25" s="41"/>
      <c r="C25" s="43"/>
      <c r="D25" s="43"/>
      <c r="E25" s="43"/>
      <c r="F25" s="43"/>
      <c r="G25" s="43"/>
      <c r="H25" s="44"/>
      <c r="I25" s="1199">
        <f>RA_SC30D!I31</f>
        <v>24457690.642751098</v>
      </c>
      <c r="J25" s="1200"/>
      <c r="K25" s="1200"/>
      <c r="L25" s="1200"/>
      <c r="M25" s="1200"/>
      <c r="N25" s="1200"/>
      <c r="O25" s="1200"/>
      <c r="P25" s="1200"/>
      <c r="Q25" s="1200"/>
      <c r="R25" s="1200"/>
      <c r="S25" s="1200"/>
      <c r="T25" s="1200"/>
      <c r="U25" s="1201"/>
    </row>
    <row r="26" spans="1:21" ht="7.5" customHeight="1" x14ac:dyDescent="0.3"/>
    <row r="27" spans="1:21" x14ac:dyDescent="0.3">
      <c r="A27" s="18" t="s">
        <v>804</v>
      </c>
      <c r="B27" s="18"/>
      <c r="C27" s="18"/>
      <c r="D27" s="18"/>
      <c r="E27" s="18"/>
      <c r="F27" s="18"/>
      <c r="G27" s="1205" t="str">
        <f>IF(OR(LEN(FLOOR(P27,1))=13,FLOOR(P27,1)&lt;=0),"Out of range",PROPER(SUBSTITUTE(CONCATENATE(CHOOSE(MID(TEXT(INT(P27),REPT(0,12)),1,1)+1,"","one hundred ","two hundred ","three hundred ","four hundred ","five hundred ","six hundred ","seven hundred ","eight hundred ","nine hundred "),CHOOSE(MID(TEXT(INT(P27),REPT(0,12)),2,1)+1,"",CHOOSE(MID(TEXT(INT(P27),REPT(0,12)),3,1)+1,"ten","eleven","twelve","thirteen","fourteen","fifteen","sixteen","seventeen","eighteen","nineteen"),"twenty","thirty","forty","fifty","sixty","seventy","eighty","ninety"),IF(VALUE(MID(TEXT(INT(P27),REPT(0,12)),2,1))&gt;1,CHOOSE(MID(TEXT(INT(P27),REPT(0,12)),3,1)+1,"","-one","-two","-three","-four","-five","-six","-seven","-eight","-nine"),IF(VALUE(MID(TEXT(INT(P27),REPT(0,12)),2,1))=0,CHOOSE(MID(TEXT(INT(P27),REPT(0,12)),3,1)+1,"","one","two","three","four","five","six","seven","eight","nine"),"")),IF(P27&gt;=10^9," billion ",""),CHOOSE(MID(TEXT(INT(P27),REPT(0,12)),4,1)+1,"","one hundred ","two hundred ","three hundred ","four hundred ","five hundred ","six hundred ","seven hundred ","eight hundred ","nine hundred "),CHOOSE(MID(TEXT(INT(P27),REPT(0,12)),5,1)+1,"",CHOOSE(MID(TEXT(INT(P27),REPT(0,12)),6,1)+1,"ten","eleven","twelve","thirteen","fourteen","fifteen","sixteen","seventeen","eighteen","nineteen"),"twenty","thirty","forty","fifty","sixty","seventy","eighty","ninety"),IF(VALUE(MID(TEXT(INT(P27),REPT(0,12)),5,1))&gt;1,CHOOSE(MID(TEXT(INT(P27),REPT(0,12)),6,1)+1,"","-one","-two","-three","-four","-five","-six","-seven","-eight","-nine"),IF(VALUE(MID(TEXT(INT(P27),REPT(0,12)),5,1))=0,CHOOSE(MID(TEXT(INT(P27),REPT(0,12)),6,1)+1,"","one","two","three","four","five","six","seven","eight","nine"),"")),IF(VALUE(MID(TEXT(INT(P27),REPT(0,12)),4,3))&gt;0," million ",""),CHOOSE(MID(TEXT(INT(P27),REPT(0,12)),7,1)+1,"","one hundred ","two hundred ","three hundred ","four hundred ","five hundred ","six hundred ","seven hundred ","eight hundred ","nine hundred "),CHOOSE(MID(TEXT(INT(P27),REPT(0,12)),8,1)+1,"",CHOOSE(MID(TEXT(INT(P27),REPT(0,12)),9,1)+1,"ten","eleven","twelve","thirteen","fourteen","fifteen","sixteen","seventeen","eighteen","nineteen"),"twenty","thirty","forty","fifty","sixty","seventy","eighty","ninety"),IF(VALUE(MID(TEXT(INT(P27),REPT(0,12)),8,1))&gt;1,CHOOSE(MID(TEXT(INT(P27),REPT(0,12)),9,1)+1,"","-one","-two","-three","-four","-five","-six","-seven","-eight","-nine"),IF(VALUE(MID(TEXT(INT(P27),REPT(0,12)),8,1))=0,CHOOSE(MID(TEXT(INT(P27),REPT(0,12)),9,1)+1,"","one","two","three","four","five","six","seven","eight","nine"),"")),IF(VALUE(MID(TEXT(INT(P27),REPT(0,12)),7,3))," thousand ",""),CHOOSE(MID(TEXT(INT(P27),REPT(0,12)),10,1)+1,"","one hundred ","two hundred ","three hundred ","four hundred ","five hundred ","six hundred ","seven hundred ","eight hundred ","nine hundred "),CHOOSE(MID(TEXT(INT(P27),REPT(0,12)),11,1)+1,"",CHOOSE(MID(TEXT(INT(P27),REPT(0,12)),12,1)+1,"ten","eleven","twelve","thirteen","fourteen","fifteen","sixteen","seventeen","eighteen","nineteen"),"twenty","thirty","forty","fifty","sixty","seventy","eighty","ninety"),IF(VALUE(MID(TEXT(INT(P27),REPT(0,12)),11,1))&gt;1,CHOOSE(MID(TEXT(INT(P27),REPT(0,12)),12,1)+1,"","-one","-two","-three","-four","-five","-six","-seven","-eight","-nine"),IF(VALUE(MID(TEXT(INT(P27),REPT(0,12)),11,1))=0,CHOOSE(MID(TEXT(INT(P27),REPT(0,12)),12,1)+1,"","one","two","three","four","five","six","seven","eight","nine"),""))),"  "," ")&amp;IF(FLOOR(P27,1)&gt;1," PESOS"," dollar"))&amp;IF(ISERROR(FIND(".",P27,1)),""," and "&amp;PROPER(IF(LEN(LEFT(TRIM(MID(SUBSTITUTE([22]Sheet1!A2,".",REPT(" ",255)),255,200)),2))=1,CHOOSE(1*LEFT(TRIM(MID(SUBSTITUTE([22]Sheet1!A2,".",REPT(" ",255)),255,200)),2),"ten","twenty","thirty","forty","fifty","sixty","seventy","eighty","ninety")&amp;" cents","")&amp;CONCATENATE(CHOOSE(MID(TEXT(INT(LEFT(TRIM(MID(SUBSTITUTE([22]Sheet1!A2,".",REPT(" ",255)),255,200)),2)),REPT(0,12)),11,1)+1,"",CHOOSE(MID(TEXT(INT(LEFT(TRIM(MID(SUBSTITUTE([22]Sheet1!A2,".",REPT(" ",255)),255,200)),2)),REPT(0,12)),12,1)+1,"ten","eleven","twelve","thirteen","fourteen","fifteen","sixteen","seventeen","eighteen","nineteen")&amp;" cents","twenty","thirty","forty","fifty","sixty","seventy","eighty","ninety"),IF(VALUE(MID(TEXT(INT(LEFT(TRIM(MID(SUBSTITUTE([22]Sheet1!A2,".",REPT(" ",255)),255,200)),2)),REPT(0,12)),11,1))&gt;1,CHOOSE(MID(TEXT(INT(LEFT(TRIM(MID(SUBSTITUTE([22]Sheet1!A2,".",REPT(" ",255)),255,200)),2)),REPT(0,12)),12,1)+1,"","-one","-two","-three","-four","-five","-six","-seven","-eight","-nine")&amp;" cents",IF(LEFT(TRIM(MID(SUBSTITUTE([22]Sheet1!A2,".",REPT(" ",255)),255,200)),2)="01","one cent",IF(LEFT(TRIM(MID(SUBSTITUTE([22]Sheet1!A2,".",REPT(" ",255)),255,200)),1)="0",CHOOSE(MID(TEXT(INT(LEFT(TRIM(MID(SUBSTITUTE([22]Sheet1!A2,".",REPT(" ",255)),255,200)),2)),REPT(0,12)),12,1)+1,"","one","two","three","four","five","six","seven","eight","nine")&amp;" cents","")))))))</f>
        <v>Fifty Thousand  Pesos</v>
      </c>
      <c r="H27" s="1205"/>
      <c r="I27" s="1205"/>
      <c r="J27" s="1205"/>
      <c r="K27" s="1205"/>
      <c r="L27" s="1205"/>
      <c r="M27" s="1205"/>
      <c r="N27" s="18"/>
      <c r="O27" s="701" t="s">
        <v>805</v>
      </c>
      <c r="P27" s="1205">
        <f>FORM!G24</f>
        <v>50000</v>
      </c>
      <c r="Q27" s="1205"/>
      <c r="R27" s="1205"/>
      <c r="S27" s="18" t="s">
        <v>806</v>
      </c>
      <c r="T27" s="18"/>
      <c r="U27" s="18"/>
    </row>
    <row r="28" spans="1:21" ht="7.5" customHeight="1" x14ac:dyDescent="0.3">
      <c r="A28" s="77"/>
      <c r="B28" s="78"/>
      <c r="C28" s="78"/>
      <c r="D28" s="78"/>
      <c r="E28" s="78"/>
      <c r="F28" s="78"/>
      <c r="G28" s="78"/>
      <c r="H28" s="78"/>
      <c r="I28" s="78"/>
      <c r="J28" s="78"/>
      <c r="K28" s="78"/>
      <c r="L28" s="78"/>
      <c r="M28" s="78"/>
      <c r="N28" s="78"/>
      <c r="O28" s="84"/>
      <c r="P28" s="84"/>
      <c r="Q28" s="84"/>
      <c r="R28" s="84"/>
      <c r="S28" s="61"/>
      <c r="T28" s="85"/>
      <c r="U28" s="61"/>
    </row>
    <row r="29" spans="1:21" ht="13.5" customHeight="1" x14ac:dyDescent="0.3">
      <c r="A29" s="18" t="s">
        <v>807</v>
      </c>
      <c r="B29" s="78"/>
      <c r="C29" s="78"/>
      <c r="D29" s="78"/>
      <c r="E29" s="78"/>
      <c r="F29" s="78"/>
      <c r="G29" s="78"/>
      <c r="H29" s="78"/>
      <c r="I29" s="78"/>
      <c r="J29" s="78"/>
      <c r="K29" s="78"/>
      <c r="L29" s="78"/>
      <c r="M29" s="78"/>
      <c r="N29" s="78"/>
      <c r="O29" s="84"/>
      <c r="P29" s="84"/>
      <c r="Q29" s="84"/>
      <c r="R29" s="84"/>
      <c r="S29" s="61"/>
      <c r="T29" s="85"/>
      <c r="U29" s="61"/>
    </row>
    <row r="30" spans="1:21" ht="13.5" customHeight="1" x14ac:dyDescent="0.3">
      <c r="A30" s="702" t="s">
        <v>808</v>
      </c>
      <c r="B30" s="78"/>
      <c r="C30" s="78"/>
      <c r="D30" s="78"/>
      <c r="E30" s="78"/>
      <c r="F30" s="78"/>
      <c r="G30" s="78"/>
      <c r="H30" s="78"/>
      <c r="I30" s="78"/>
      <c r="J30" s="78"/>
      <c r="K30" s="78"/>
      <c r="L30" s="78"/>
      <c r="M30" s="78"/>
      <c r="N30" s="78"/>
      <c r="O30" s="84"/>
      <c r="P30" s="84"/>
      <c r="Q30" s="84"/>
      <c r="R30" s="84"/>
      <c r="S30" s="61"/>
      <c r="T30" s="85"/>
      <c r="U30" s="61"/>
    </row>
    <row r="31" spans="1:21" ht="13.5" customHeight="1" x14ac:dyDescent="0.3">
      <c r="A31" s="702" t="s">
        <v>809</v>
      </c>
      <c r="B31" s="78"/>
      <c r="C31" s="78"/>
      <c r="D31" s="78"/>
      <c r="E31" s="78"/>
      <c r="F31" s="78"/>
      <c r="G31" s="78"/>
      <c r="H31" s="78"/>
      <c r="I31" s="78"/>
      <c r="J31" s="78"/>
      <c r="K31" s="78"/>
      <c r="L31" s="78"/>
      <c r="M31" s="78"/>
      <c r="N31" s="78"/>
      <c r="O31" s="84"/>
      <c r="P31" s="84"/>
      <c r="Q31" s="84"/>
      <c r="R31" s="84"/>
      <c r="S31" s="61"/>
      <c r="T31" s="85"/>
      <c r="U31" s="61"/>
    </row>
    <row r="32" spans="1:21" ht="7.5" customHeight="1" x14ac:dyDescent="0.3">
      <c r="A32" s="77"/>
      <c r="B32" s="78"/>
      <c r="C32" s="78"/>
      <c r="D32" s="78"/>
      <c r="E32" s="78"/>
      <c r="F32" s="78"/>
      <c r="G32" s="78"/>
      <c r="H32" s="78"/>
      <c r="I32" s="78"/>
      <c r="J32" s="78"/>
      <c r="K32" s="78"/>
      <c r="L32" s="78"/>
      <c r="M32" s="78"/>
      <c r="N32" s="78"/>
      <c r="O32" s="84"/>
      <c r="P32" s="84"/>
      <c r="Q32" s="84"/>
      <c r="R32" s="84"/>
      <c r="S32" s="61"/>
      <c r="T32" s="85"/>
      <c r="U32" s="61"/>
    </row>
    <row r="33" spans="1:21" ht="13.5" customHeight="1" x14ac:dyDescent="0.3">
      <c r="A33" s="701" t="s">
        <v>810</v>
      </c>
      <c r="B33" s="78"/>
      <c r="C33" s="78"/>
      <c r="D33" s="78"/>
      <c r="E33" s="78"/>
      <c r="F33" s="78"/>
      <c r="G33" s="78"/>
      <c r="H33" s="78"/>
      <c r="I33" s="78"/>
      <c r="J33" s="78"/>
      <c r="K33" s="78"/>
      <c r="L33" s="78"/>
      <c r="M33" s="78"/>
      <c r="N33" s="78"/>
      <c r="O33" s="84"/>
      <c r="P33" s="84"/>
      <c r="Q33" s="84"/>
      <c r="R33" s="84"/>
      <c r="S33" s="61"/>
      <c r="T33" s="85"/>
      <c r="U33" s="61"/>
    </row>
    <row r="34" spans="1:21" ht="13.5" customHeight="1" x14ac:dyDescent="0.3">
      <c r="A34" s="701" t="s">
        <v>811</v>
      </c>
      <c r="B34" s="78"/>
      <c r="C34" s="78"/>
      <c r="D34" s="78"/>
      <c r="E34" s="78"/>
      <c r="F34" s="78"/>
      <c r="G34" s="78"/>
      <c r="H34" s="78"/>
      <c r="I34" s="78"/>
      <c r="J34" s="78"/>
      <c r="K34" s="78"/>
      <c r="L34" s="78"/>
      <c r="M34" s="78"/>
      <c r="N34" s="78"/>
      <c r="O34" s="84"/>
      <c r="P34" s="84"/>
      <c r="Q34" s="84"/>
      <c r="R34" s="84"/>
      <c r="S34" s="61"/>
      <c r="T34" s="85"/>
      <c r="U34" s="61"/>
    </row>
    <row r="35" spans="1:21" ht="7.5" customHeight="1" x14ac:dyDescent="0.3">
      <c r="A35" s="77"/>
      <c r="B35" s="78"/>
      <c r="C35" s="78"/>
      <c r="D35" s="78"/>
      <c r="E35" s="78"/>
      <c r="F35" s="78"/>
      <c r="G35" s="78"/>
      <c r="H35" s="78"/>
      <c r="I35" s="78"/>
      <c r="J35" s="78"/>
      <c r="K35" s="78"/>
      <c r="L35" s="78"/>
      <c r="M35" s="78"/>
      <c r="N35" s="78"/>
      <c r="O35" s="84"/>
      <c r="P35" s="84"/>
      <c r="Q35" s="84"/>
      <c r="R35" s="84"/>
      <c r="S35" s="61"/>
      <c r="T35" s="85"/>
      <c r="U35" s="61"/>
    </row>
    <row r="36" spans="1:21" ht="13.5" customHeight="1" x14ac:dyDescent="0.3">
      <c r="A36" s="702" t="s">
        <v>812</v>
      </c>
      <c r="B36" s="78"/>
      <c r="C36" s="78"/>
      <c r="D36" s="78"/>
      <c r="E36" s="78"/>
      <c r="F36" s="78"/>
      <c r="G36" s="78"/>
      <c r="H36" s="78"/>
      <c r="I36" s="78"/>
      <c r="J36" s="78"/>
      <c r="K36" s="78"/>
      <c r="L36" s="78"/>
      <c r="M36" s="78"/>
      <c r="N36" s="78"/>
      <c r="O36" s="84"/>
      <c r="P36" s="84"/>
      <c r="Q36" s="84"/>
      <c r="R36" s="84"/>
      <c r="S36" s="61"/>
      <c r="T36" s="85"/>
      <c r="U36" s="61"/>
    </row>
    <row r="37" spans="1:21" ht="7.5" customHeight="1" x14ac:dyDescent="0.3">
      <c r="A37" s="77"/>
      <c r="B37" s="78"/>
      <c r="C37" s="78"/>
      <c r="D37" s="78"/>
      <c r="E37" s="78"/>
      <c r="F37" s="78"/>
      <c r="G37" s="78"/>
      <c r="H37" s="78"/>
      <c r="I37" s="78"/>
      <c r="J37" s="78"/>
      <c r="K37" s="78"/>
      <c r="L37" s="78"/>
      <c r="M37" s="78"/>
      <c r="N37" s="78"/>
      <c r="O37" s="84"/>
      <c r="P37" s="84"/>
      <c r="Q37" s="84"/>
      <c r="R37" s="84"/>
      <c r="S37" s="61"/>
      <c r="T37" s="85"/>
      <c r="U37" s="61"/>
    </row>
    <row r="38" spans="1:21" ht="13.5" customHeight="1" x14ac:dyDescent="0.3">
      <c r="A38" s="701" t="s">
        <v>813</v>
      </c>
      <c r="B38" s="78"/>
      <c r="C38" s="78"/>
      <c r="D38" s="78"/>
      <c r="E38" s="78"/>
      <c r="F38" s="78"/>
      <c r="G38" s="78"/>
      <c r="H38" s="78"/>
      <c r="I38" s="78"/>
      <c r="J38" s="78"/>
      <c r="K38" s="78"/>
      <c r="L38" s="78"/>
      <c r="M38" s="78"/>
      <c r="N38" s="78"/>
      <c r="O38" s="84"/>
      <c r="P38" s="84"/>
      <c r="Q38" s="84"/>
      <c r="R38" s="84"/>
      <c r="S38" s="61"/>
      <c r="T38" s="85"/>
      <c r="U38" s="61"/>
    </row>
    <row r="39" spans="1:21" ht="13.5" customHeight="1" x14ac:dyDescent="0.3">
      <c r="A39" s="703" t="s">
        <v>814</v>
      </c>
      <c r="B39" s="78"/>
      <c r="C39" s="78"/>
      <c r="D39" s="78"/>
      <c r="E39" s="78"/>
      <c r="F39" s="78"/>
      <c r="G39" s="78"/>
      <c r="H39" s="78"/>
      <c r="I39" s="78"/>
      <c r="J39" s="78"/>
      <c r="K39" s="78"/>
      <c r="L39" s="78"/>
      <c r="M39" s="78"/>
      <c r="N39" s="78"/>
      <c r="O39" s="84"/>
      <c r="P39" s="84"/>
      <c r="Q39" s="84"/>
      <c r="R39" s="84"/>
      <c r="S39" s="61"/>
      <c r="T39" s="85"/>
      <c r="U39" s="61"/>
    </row>
    <row r="40" spans="1:21" ht="13.5" customHeight="1" x14ac:dyDescent="0.3">
      <c r="A40" s="703" t="s">
        <v>815</v>
      </c>
      <c r="B40" s="78"/>
      <c r="C40" s="78"/>
      <c r="D40" s="78"/>
      <c r="E40" s="78"/>
      <c r="F40" s="78"/>
      <c r="G40" s="78"/>
      <c r="H40" s="78"/>
      <c r="I40" s="78"/>
      <c r="J40" s="78"/>
      <c r="K40" s="78"/>
      <c r="L40" s="78"/>
      <c r="M40" s="78"/>
      <c r="N40" s="78"/>
      <c r="O40" s="84"/>
      <c r="P40" s="84"/>
      <c r="Q40" s="84"/>
      <c r="R40" s="84"/>
      <c r="S40" s="61"/>
      <c r="T40" s="85"/>
      <c r="U40" s="61"/>
    </row>
    <row r="41" spans="1:21" ht="13.5" customHeight="1" x14ac:dyDescent="0.3">
      <c r="A41" s="77"/>
      <c r="B41" s="78"/>
      <c r="C41" s="78"/>
      <c r="D41" s="78"/>
      <c r="E41" s="78"/>
      <c r="F41" s="78"/>
      <c r="G41" s="78"/>
      <c r="H41" s="78"/>
      <c r="I41" s="78"/>
      <c r="J41" s="78"/>
      <c r="K41" s="78"/>
      <c r="L41" s="78"/>
      <c r="M41" s="78"/>
      <c r="N41" s="78"/>
      <c r="O41" s="84"/>
      <c r="P41" s="84"/>
      <c r="Q41" s="84"/>
      <c r="R41" s="84"/>
      <c r="S41" s="61"/>
      <c r="T41" s="85"/>
      <c r="U41" s="61"/>
    </row>
    <row r="42" spans="1:21" ht="13.5" customHeight="1" x14ac:dyDescent="0.3">
      <c r="A42" s="702" t="s">
        <v>816</v>
      </c>
      <c r="B42" s="78"/>
      <c r="C42" s="78"/>
      <c r="D42" s="78"/>
      <c r="E42" s="78"/>
      <c r="F42" s="78"/>
      <c r="G42" s="78"/>
      <c r="H42" s="78"/>
      <c r="I42" s="78"/>
      <c r="J42" s="78"/>
      <c r="K42" s="78"/>
      <c r="L42" s="78"/>
      <c r="M42" s="78"/>
      <c r="N42" s="78"/>
      <c r="O42" s="84"/>
      <c r="P42" s="84"/>
      <c r="Q42" s="84"/>
      <c r="R42" s="84"/>
      <c r="S42" s="61"/>
      <c r="T42" s="85"/>
      <c r="U42" s="61"/>
    </row>
    <row r="43" spans="1:21" ht="13.5" customHeight="1" x14ac:dyDescent="0.3">
      <c r="A43" s="77"/>
      <c r="B43" s="78"/>
      <c r="C43" s="78"/>
      <c r="D43" s="78"/>
      <c r="E43" s="78"/>
      <c r="F43" s="78"/>
      <c r="G43" s="78"/>
      <c r="H43" s="78"/>
      <c r="I43" s="78"/>
      <c r="J43" s="78"/>
      <c r="K43" s="78"/>
      <c r="L43" s="78"/>
      <c r="M43" s="78"/>
      <c r="N43" s="78"/>
      <c r="O43" s="84"/>
      <c r="P43" s="84"/>
      <c r="Q43" s="84"/>
      <c r="R43" s="84"/>
      <c r="S43" s="61"/>
      <c r="T43" s="85"/>
      <c r="U43" s="61"/>
    </row>
    <row r="44" spans="1:21" ht="13.5" customHeight="1" x14ac:dyDescent="0.3">
      <c r="A44" s="704"/>
      <c r="B44" s="705"/>
      <c r="C44" s="705"/>
      <c r="D44" s="1191" t="s">
        <v>817</v>
      </c>
      <c r="E44" s="1191"/>
      <c r="F44" s="1191"/>
      <c r="G44" s="1191"/>
      <c r="H44" s="1191"/>
      <c r="I44" s="1191"/>
      <c r="J44" s="705"/>
      <c r="K44" s="705"/>
      <c r="L44" s="705"/>
      <c r="M44" s="705"/>
      <c r="N44" s="705"/>
      <c r="O44" s="706"/>
      <c r="P44" s="706"/>
      <c r="Q44" s="1192" t="s">
        <v>774</v>
      </c>
      <c r="R44" s="1192"/>
      <c r="S44" s="1192"/>
      <c r="T44" s="707"/>
      <c r="U44" s="61"/>
    </row>
    <row r="45" spans="1:21" ht="13.5" customHeight="1" x14ac:dyDescent="0.3">
      <c r="A45" s="704"/>
      <c r="B45" s="705"/>
      <c r="C45" s="705"/>
      <c r="D45" s="705"/>
      <c r="E45" s="705"/>
      <c r="F45" s="705"/>
      <c r="G45" s="705"/>
      <c r="H45" s="705"/>
      <c r="I45" s="705"/>
      <c r="J45" s="705"/>
      <c r="K45" s="705"/>
      <c r="L45" s="705"/>
      <c r="M45" s="705"/>
      <c r="N45" s="705"/>
      <c r="O45" s="706"/>
      <c r="P45" s="706"/>
      <c r="Q45" s="706"/>
      <c r="R45" s="706"/>
      <c r="S45" s="708"/>
      <c r="T45" s="707"/>
      <c r="U45" s="61"/>
    </row>
    <row r="46" spans="1:21" ht="13.5" customHeight="1" x14ac:dyDescent="0.3">
      <c r="A46" s="704"/>
      <c r="B46" s="705"/>
      <c r="C46" s="705"/>
      <c r="D46" s="705"/>
      <c r="E46" s="705"/>
      <c r="F46" s="705"/>
      <c r="G46" s="705"/>
      <c r="H46" s="705"/>
      <c r="I46" s="705"/>
      <c r="J46" s="705"/>
      <c r="K46" s="705"/>
      <c r="L46" s="705"/>
      <c r="M46" s="705"/>
      <c r="N46" s="705"/>
      <c r="O46" s="706"/>
      <c r="P46" s="706"/>
      <c r="Q46" s="706"/>
      <c r="R46" s="706"/>
      <c r="S46" s="708"/>
      <c r="T46" s="707"/>
      <c r="U46" s="61"/>
    </row>
    <row r="47" spans="1:21" ht="13.5" customHeight="1" x14ac:dyDescent="0.3">
      <c r="A47" s="704"/>
      <c r="B47" s="705"/>
      <c r="C47" s="705"/>
      <c r="D47" s="705"/>
      <c r="E47" s="705"/>
      <c r="F47" s="705"/>
      <c r="G47" s="705"/>
      <c r="H47" s="705"/>
      <c r="I47" s="705"/>
      <c r="J47" s="705"/>
      <c r="K47" s="705"/>
      <c r="L47" s="705"/>
      <c r="M47" s="705"/>
      <c r="N47" s="705"/>
      <c r="O47" s="706"/>
      <c r="P47" s="706"/>
      <c r="Q47" s="706"/>
      <c r="R47" s="706"/>
      <c r="S47" s="708"/>
      <c r="T47" s="707"/>
      <c r="U47" s="61"/>
    </row>
    <row r="48" spans="1:21" x14ac:dyDescent="0.3">
      <c r="A48" s="50"/>
      <c r="B48" s="50"/>
      <c r="C48" s="50"/>
      <c r="D48" s="1188">
        <f>FORM!G30</f>
        <v>0</v>
      </c>
      <c r="E48" s="1188"/>
      <c r="F48" s="1188"/>
      <c r="G48" s="1188"/>
      <c r="H48" s="1188"/>
      <c r="I48" s="1188"/>
      <c r="J48" s="50"/>
      <c r="K48" s="50"/>
      <c r="L48" s="50"/>
      <c r="M48" s="50"/>
      <c r="N48" s="50"/>
      <c r="O48" s="50"/>
      <c r="P48" s="50"/>
      <c r="Q48" s="1188" t="str">
        <f>FORM!G32</f>
        <v>Seller</v>
      </c>
      <c r="R48" s="1188"/>
      <c r="S48" s="1188"/>
      <c r="T48" s="50"/>
      <c r="U48" s="50"/>
    </row>
    <row r="49" spans="1:21" x14ac:dyDescent="0.3">
      <c r="A49" s="50"/>
      <c r="B49" s="50"/>
      <c r="C49" s="50"/>
      <c r="D49" s="1189" t="s">
        <v>818</v>
      </c>
      <c r="E49" s="1189"/>
      <c r="F49" s="1189"/>
      <c r="G49" s="1189"/>
      <c r="H49" s="1189"/>
      <c r="I49" s="1189"/>
      <c r="J49" s="50"/>
      <c r="K49" s="50"/>
      <c r="L49" s="50"/>
      <c r="M49" s="50"/>
      <c r="N49" s="50"/>
      <c r="O49" s="50"/>
      <c r="P49" s="50"/>
      <c r="Q49" s="1189" t="s">
        <v>818</v>
      </c>
      <c r="R49" s="1189"/>
      <c r="S49" s="1189"/>
      <c r="T49" s="50"/>
      <c r="U49" s="50"/>
    </row>
    <row r="50" spans="1:21" x14ac:dyDescent="0.3">
      <c r="A50" s="50"/>
      <c r="B50" s="50"/>
      <c r="C50" s="50"/>
      <c r="D50" s="1190" t="s">
        <v>819</v>
      </c>
      <c r="E50" s="1190"/>
      <c r="F50" s="1190"/>
      <c r="G50" s="1190"/>
      <c r="H50" s="1190"/>
      <c r="I50" s="1190"/>
      <c r="J50" s="50"/>
      <c r="K50" s="50"/>
      <c r="L50" s="50"/>
      <c r="M50" s="50"/>
      <c r="N50" s="50"/>
      <c r="O50" s="50"/>
      <c r="P50" s="50"/>
      <c r="Q50" s="1190" t="s">
        <v>820</v>
      </c>
      <c r="R50" s="1190"/>
      <c r="S50" s="1190"/>
      <c r="T50" s="50"/>
      <c r="U50" s="50"/>
    </row>
    <row r="51" spans="1:21" x14ac:dyDescent="0.3">
      <c r="A51" s="50"/>
      <c r="B51" s="50"/>
      <c r="C51" s="50"/>
      <c r="D51" s="50"/>
      <c r="E51" s="50"/>
      <c r="F51" s="50"/>
      <c r="G51" s="50"/>
      <c r="H51" s="50"/>
      <c r="I51" s="50"/>
      <c r="J51" s="50"/>
      <c r="K51" s="50"/>
      <c r="L51" s="50"/>
      <c r="M51" s="50"/>
      <c r="N51" s="50"/>
      <c r="O51" s="50"/>
      <c r="P51" s="50"/>
      <c r="Q51" s="50"/>
      <c r="R51" s="50"/>
      <c r="S51" s="50"/>
      <c r="T51" s="50"/>
      <c r="U51" s="50"/>
    </row>
    <row r="53" spans="1:21" x14ac:dyDescent="0.3">
      <c r="A53" s="1183" t="s">
        <v>821</v>
      </c>
      <c r="B53" s="1184"/>
      <c r="C53" s="1184"/>
      <c r="D53" s="1184"/>
      <c r="E53" s="1184"/>
      <c r="F53" s="1184"/>
      <c r="G53" s="1184"/>
      <c r="H53" s="1184"/>
      <c r="I53" s="1184"/>
      <c r="J53" s="1184"/>
      <c r="K53" s="1184"/>
      <c r="L53" s="1184"/>
      <c r="M53" s="1184"/>
      <c r="N53" s="1184"/>
      <c r="O53" s="1184"/>
      <c r="P53" s="1184"/>
      <c r="Q53" s="1184"/>
      <c r="R53" s="1184"/>
      <c r="S53" s="1184"/>
      <c r="T53" s="1184"/>
      <c r="U53" s="1185"/>
    </row>
    <row r="54" spans="1:21" x14ac:dyDescent="0.3">
      <c r="A54" s="1186" t="s">
        <v>822</v>
      </c>
      <c r="B54" s="1186"/>
      <c r="C54" s="1186"/>
      <c r="D54" s="1186"/>
      <c r="E54" s="1186"/>
      <c r="F54" s="1186"/>
      <c r="G54" s="1186"/>
      <c r="H54" s="1186"/>
      <c r="I54" s="1186" t="s">
        <v>823</v>
      </c>
      <c r="J54" s="1186"/>
      <c r="K54" s="1186"/>
      <c r="L54" s="1186"/>
      <c r="M54" s="1186"/>
      <c r="N54" s="1186"/>
      <c r="O54" s="1186"/>
      <c r="P54" s="1187" t="s">
        <v>824</v>
      </c>
      <c r="Q54" s="1187"/>
      <c r="R54" s="1187"/>
      <c r="S54" s="1187"/>
      <c r="T54" s="1187"/>
      <c r="U54" s="1187"/>
    </row>
    <row r="55" spans="1:21" x14ac:dyDescent="0.3">
      <c r="A55" s="1182" t="s">
        <v>825</v>
      </c>
      <c r="B55" s="1182"/>
      <c r="C55" s="1182"/>
      <c r="D55" s="1182"/>
      <c r="E55" s="1182"/>
      <c r="F55" s="1182"/>
      <c r="G55" s="1182"/>
      <c r="H55" s="1182"/>
      <c r="I55" s="1182">
        <f>FORM!J47</f>
        <v>0</v>
      </c>
      <c r="J55" s="1182"/>
      <c r="K55" s="1182"/>
      <c r="L55" s="1182"/>
      <c r="M55" s="1182"/>
      <c r="N55" s="1182"/>
      <c r="O55" s="1182"/>
      <c r="P55" s="1182">
        <f>FORM!Q47</f>
        <v>0</v>
      </c>
      <c r="Q55" s="1182"/>
      <c r="R55" s="1182"/>
      <c r="S55" s="1182"/>
      <c r="T55" s="1182"/>
      <c r="U55" s="1182"/>
    </row>
    <row r="56" spans="1:21" x14ac:dyDescent="0.3">
      <c r="A56" s="1182" t="s">
        <v>826</v>
      </c>
      <c r="B56" s="1182"/>
      <c r="C56" s="1182"/>
      <c r="D56" s="1182"/>
      <c r="E56" s="1182"/>
      <c r="F56" s="1182"/>
      <c r="G56" s="1182"/>
      <c r="H56" s="1182"/>
      <c r="I56" s="1182">
        <f>FORM!J48</f>
        <v>0</v>
      </c>
      <c r="J56" s="1182"/>
      <c r="K56" s="1182"/>
      <c r="L56" s="1182"/>
      <c r="M56" s="1182"/>
      <c r="N56" s="1182"/>
      <c r="O56" s="1182"/>
      <c r="P56" s="1182">
        <f>FORM!Q48</f>
        <v>0</v>
      </c>
      <c r="Q56" s="1182"/>
      <c r="R56" s="1182"/>
      <c r="S56" s="1182"/>
      <c r="T56" s="1182"/>
      <c r="U56" s="1182"/>
    </row>
    <row r="57" spans="1:21" x14ac:dyDescent="0.3">
      <c r="A57" s="1182" t="s">
        <v>827</v>
      </c>
      <c r="B57" s="1182"/>
      <c r="C57" s="1182"/>
      <c r="D57" s="1182"/>
      <c r="E57" s="1182"/>
      <c r="F57" s="1182"/>
      <c r="G57" s="1182"/>
      <c r="H57" s="1182"/>
      <c r="I57" s="1182">
        <f>FORM!J49</f>
        <v>0</v>
      </c>
      <c r="J57" s="1182"/>
      <c r="K57" s="1182"/>
      <c r="L57" s="1182"/>
      <c r="M57" s="1182"/>
      <c r="N57" s="1182"/>
      <c r="O57" s="1182"/>
      <c r="P57" s="1182">
        <f>FORM!Q49</f>
        <v>0</v>
      </c>
      <c r="Q57" s="1182"/>
      <c r="R57" s="1182"/>
      <c r="S57" s="1182"/>
      <c r="T57" s="1182"/>
      <c r="U57" s="1182"/>
    </row>
    <row r="58" spans="1:21" x14ac:dyDescent="0.3">
      <c r="A58" s="1182" t="s">
        <v>828</v>
      </c>
      <c r="B58" s="1182"/>
      <c r="C58" s="1182"/>
      <c r="D58" s="1182"/>
      <c r="E58" s="1182"/>
      <c r="F58" s="1182"/>
      <c r="G58" s="1182"/>
      <c r="H58" s="1182"/>
      <c r="I58" s="1182">
        <f>FORM!J50</f>
        <v>0</v>
      </c>
      <c r="J58" s="1182"/>
      <c r="K58" s="1182"/>
      <c r="L58" s="1182"/>
      <c r="M58" s="1182"/>
      <c r="N58" s="1182"/>
      <c r="O58" s="1182"/>
      <c r="P58" s="1182">
        <f>FORM!Q50</f>
        <v>0</v>
      </c>
      <c r="Q58" s="1182"/>
      <c r="R58" s="1182"/>
      <c r="S58" s="1182"/>
      <c r="T58" s="1182"/>
      <c r="U58" s="1182"/>
    </row>
    <row r="60" spans="1:21" x14ac:dyDescent="0.3">
      <c r="A60"/>
      <c r="B60"/>
      <c r="C60"/>
      <c r="D60"/>
      <c r="E60"/>
      <c r="F60"/>
      <c r="G60"/>
      <c r="H60"/>
      <c r="I60"/>
      <c r="J60"/>
      <c r="K60"/>
      <c r="L60"/>
      <c r="M60"/>
      <c r="N60"/>
      <c r="O60"/>
      <c r="P60"/>
      <c r="Q60"/>
      <c r="R60"/>
      <c r="S60"/>
      <c r="T60"/>
      <c r="U60"/>
    </row>
    <row r="68" spans="1:21" x14ac:dyDescent="0.3">
      <c r="A68"/>
      <c r="B68"/>
      <c r="C68"/>
      <c r="D68"/>
      <c r="E68"/>
      <c r="F68"/>
      <c r="G68"/>
      <c r="H68"/>
      <c r="I68"/>
      <c r="J68"/>
      <c r="K68"/>
      <c r="L68"/>
      <c r="M68"/>
      <c r="N68"/>
      <c r="O68"/>
      <c r="P68"/>
      <c r="Q68"/>
      <c r="R68"/>
      <c r="S68"/>
      <c r="T68"/>
      <c r="U68"/>
    </row>
    <row r="69" spans="1:21" x14ac:dyDescent="0.3">
      <c r="A69"/>
      <c r="B69"/>
      <c r="C69"/>
      <c r="D69"/>
      <c r="E69"/>
      <c r="F69"/>
      <c r="G69"/>
      <c r="H69"/>
      <c r="I69"/>
      <c r="J69"/>
      <c r="K69"/>
      <c r="L69"/>
      <c r="M69"/>
      <c r="N69"/>
      <c r="O69"/>
      <c r="P69"/>
      <c r="Q69"/>
      <c r="R69"/>
      <c r="S69"/>
      <c r="T69"/>
      <c r="U69"/>
    </row>
    <row r="70" spans="1:21" ht="25.5" customHeight="1" x14ac:dyDescent="0.3">
      <c r="A70"/>
      <c r="B70"/>
      <c r="C70"/>
      <c r="D70"/>
      <c r="E70"/>
      <c r="F70"/>
      <c r="G70"/>
      <c r="H70"/>
      <c r="I70"/>
      <c r="J70"/>
      <c r="K70"/>
      <c r="L70"/>
      <c r="M70"/>
      <c r="N70"/>
      <c r="O70"/>
      <c r="P70"/>
      <c r="Q70"/>
      <c r="R70"/>
      <c r="S70"/>
      <c r="T70"/>
      <c r="U70"/>
    </row>
    <row r="71" spans="1:21" x14ac:dyDescent="0.3">
      <c r="A71"/>
      <c r="B71"/>
      <c r="C71"/>
      <c r="D71"/>
      <c r="E71"/>
      <c r="F71"/>
      <c r="G71"/>
      <c r="H71"/>
      <c r="I71"/>
      <c r="J71"/>
      <c r="K71"/>
      <c r="L71"/>
      <c r="M71"/>
      <c r="N71"/>
      <c r="O71"/>
      <c r="P71"/>
      <c r="Q71"/>
      <c r="R71"/>
      <c r="S71"/>
      <c r="T71"/>
      <c r="U71"/>
    </row>
    <row r="72" spans="1:21" x14ac:dyDescent="0.3">
      <c r="A72"/>
      <c r="B72"/>
      <c r="C72"/>
      <c r="D72"/>
      <c r="E72"/>
      <c r="F72"/>
      <c r="G72"/>
      <c r="H72"/>
      <c r="I72"/>
      <c r="J72"/>
      <c r="K72"/>
      <c r="L72"/>
      <c r="M72"/>
      <c r="N72"/>
      <c r="O72"/>
      <c r="P72"/>
      <c r="Q72"/>
      <c r="R72"/>
      <c r="S72"/>
      <c r="T72"/>
      <c r="U72"/>
    </row>
    <row r="73" spans="1:21" x14ac:dyDescent="0.3">
      <c r="A73"/>
      <c r="B73"/>
      <c r="C73"/>
      <c r="D73"/>
      <c r="E73"/>
      <c r="F73"/>
      <c r="G73"/>
      <c r="H73"/>
      <c r="I73"/>
      <c r="J73"/>
      <c r="K73"/>
      <c r="L73"/>
      <c r="M73"/>
      <c r="N73"/>
      <c r="O73"/>
      <c r="P73"/>
      <c r="Q73"/>
      <c r="R73"/>
      <c r="S73"/>
      <c r="T73"/>
      <c r="U73"/>
    </row>
    <row r="74" spans="1:21" ht="21.75" customHeight="1" x14ac:dyDescent="0.3">
      <c r="A74"/>
      <c r="B74"/>
      <c r="C74"/>
      <c r="D74"/>
      <c r="E74"/>
      <c r="F74"/>
      <c r="G74"/>
      <c r="H74"/>
      <c r="I74"/>
      <c r="J74"/>
      <c r="K74"/>
      <c r="L74"/>
      <c r="M74"/>
      <c r="N74"/>
      <c r="O74"/>
      <c r="P74"/>
      <c r="Q74"/>
      <c r="R74"/>
      <c r="S74"/>
      <c r="T74"/>
      <c r="U74"/>
    </row>
    <row r="75" spans="1:21" x14ac:dyDescent="0.3">
      <c r="A75" s="21"/>
      <c r="B75" s="21"/>
      <c r="C75" s="21"/>
      <c r="D75" s="21"/>
      <c r="E75" s="21"/>
      <c r="F75" s="21"/>
      <c r="G75" s="21"/>
      <c r="H75" s="21"/>
      <c r="I75" s="21"/>
      <c r="J75" s="21"/>
      <c r="K75" s="21"/>
      <c r="L75" s="21"/>
      <c r="M75" s="21"/>
      <c r="N75" s="21"/>
      <c r="O75" s="21"/>
      <c r="P75" s="21"/>
      <c r="Q75" s="21"/>
      <c r="R75" s="21"/>
      <c r="S75" s="21"/>
      <c r="T75" s="21"/>
      <c r="U75" s="21"/>
    </row>
    <row r="76" spans="1:21" x14ac:dyDescent="0.3">
      <c r="A76" s="21"/>
      <c r="B76" s="21"/>
      <c r="C76" s="21"/>
      <c r="D76" s="21"/>
      <c r="E76" s="21"/>
      <c r="F76" s="21"/>
      <c r="G76" s="21"/>
      <c r="H76" s="21"/>
      <c r="I76" s="22"/>
      <c r="J76" s="22"/>
      <c r="K76" s="22"/>
      <c r="L76" s="22"/>
      <c r="M76" s="22"/>
      <c r="N76" s="22"/>
      <c r="O76" s="22"/>
      <c r="P76" s="22"/>
      <c r="Q76" s="22"/>
      <c r="R76" s="21"/>
      <c r="S76" s="21"/>
      <c r="T76" s="21"/>
      <c r="U76" s="21"/>
    </row>
    <row r="80" spans="1:21" x14ac:dyDescent="0.3">
      <c r="I80" s="56"/>
    </row>
  </sheetData>
  <sheetProtection sheet="1" formatCells="0" formatColumns="0" formatRows="0"/>
  <mergeCells count="62">
    <mergeCell ref="C2:F2"/>
    <mergeCell ref="A6:U6"/>
    <mergeCell ref="E8:T8"/>
    <mergeCell ref="A12:F12"/>
    <mergeCell ref="G12:L12"/>
    <mergeCell ref="M12:Q12"/>
    <mergeCell ref="R12:U12"/>
    <mergeCell ref="D14:F14"/>
    <mergeCell ref="J14:L14"/>
    <mergeCell ref="P14:Q14"/>
    <mergeCell ref="R14:S14"/>
    <mergeCell ref="T14:U14"/>
    <mergeCell ref="D13:F13"/>
    <mergeCell ref="J13:L13"/>
    <mergeCell ref="P13:Q13"/>
    <mergeCell ref="R13:S13"/>
    <mergeCell ref="T13:U13"/>
    <mergeCell ref="D16:F16"/>
    <mergeCell ref="J16:L16"/>
    <mergeCell ref="P16:Q16"/>
    <mergeCell ref="R16:S18"/>
    <mergeCell ref="T16:U18"/>
    <mergeCell ref="D15:F15"/>
    <mergeCell ref="J15:L15"/>
    <mergeCell ref="P15:Q15"/>
    <mergeCell ref="R15:S15"/>
    <mergeCell ref="T15:U15"/>
    <mergeCell ref="D44:I44"/>
    <mergeCell ref="Q44:S44"/>
    <mergeCell ref="D17:F17"/>
    <mergeCell ref="P17:Q17"/>
    <mergeCell ref="P18:Q18"/>
    <mergeCell ref="I20:U20"/>
    <mergeCell ref="I21:U21"/>
    <mergeCell ref="I22:U22"/>
    <mergeCell ref="I23:U23"/>
    <mergeCell ref="I24:U24"/>
    <mergeCell ref="I25:U25"/>
    <mergeCell ref="G27:M27"/>
    <mergeCell ref="P27:R27"/>
    <mergeCell ref="D48:I48"/>
    <mergeCell ref="Q48:S48"/>
    <mergeCell ref="D49:I49"/>
    <mergeCell ref="Q49:S49"/>
    <mergeCell ref="D50:I50"/>
    <mergeCell ref="Q50:S50"/>
    <mergeCell ref="A53:U53"/>
    <mergeCell ref="A54:H54"/>
    <mergeCell ref="I54:O54"/>
    <mergeCell ref="P54:U54"/>
    <mergeCell ref="A55:H55"/>
    <mergeCell ref="I55:O55"/>
    <mergeCell ref="P55:U55"/>
    <mergeCell ref="A58:H58"/>
    <mergeCell ref="I58:O58"/>
    <mergeCell ref="P58:U58"/>
    <mergeCell ref="A56:H56"/>
    <mergeCell ref="I56:O56"/>
    <mergeCell ref="P56:U56"/>
    <mergeCell ref="A57:H57"/>
    <mergeCell ref="I57:O57"/>
    <mergeCell ref="P57:U57"/>
  </mergeCells>
  <pageMargins left="0.51181102362204722" right="0.51181102362204722" top="0.87791666666666668" bottom="0.74803149606299213" header="0.31496062992125984" footer="0.31496062992125984"/>
  <pageSetup paperSize="305" scale="86" orientation="portrait" verticalDpi="360" r:id="rId1"/>
  <headerFooter>
    <oddHeader xml:space="preserve">&amp;R
&amp;"Century Gothic,Bold"&amp;18LETTER OF INTENT    
 &amp;"-,Regular"&amp;11
</oddHeader>
    <oddFooter>&amp;C&amp;"Century Gothic,Regular"&amp;8Page &amp;P of &amp;N</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93185" r:id="rId4" name="Check Box 1">
              <controlPr defaultSize="0" autoFill="0" autoLine="0" autoPict="0">
                <anchor moveWithCells="1">
                  <from>
                    <xdr:col>11</xdr:col>
                    <xdr:colOff>304800</xdr:colOff>
                    <xdr:row>7</xdr:row>
                    <xdr:rowOff>209550</xdr:rowOff>
                  </from>
                  <to>
                    <xdr:col>14</xdr:col>
                    <xdr:colOff>171450</xdr:colOff>
                    <xdr:row>9</xdr:row>
                    <xdr:rowOff>0</xdr:rowOff>
                  </to>
                </anchor>
              </controlPr>
            </control>
          </mc:Choice>
        </mc:AlternateContent>
        <mc:AlternateContent xmlns:mc="http://schemas.openxmlformats.org/markup-compatibility/2006">
          <mc:Choice Requires="x14">
            <control shapeId="93186" r:id="rId5" name="Check Box 2">
              <controlPr defaultSize="0" autoFill="0" autoLine="0" autoPict="0">
                <anchor moveWithCells="1">
                  <from>
                    <xdr:col>11</xdr:col>
                    <xdr:colOff>304800</xdr:colOff>
                    <xdr:row>9</xdr:row>
                    <xdr:rowOff>0</xdr:rowOff>
                  </from>
                  <to>
                    <xdr:col>14</xdr:col>
                    <xdr:colOff>171450</xdr:colOff>
                    <xdr:row>10</xdr:row>
                    <xdr:rowOff>0</xdr:rowOff>
                  </to>
                </anchor>
              </controlPr>
            </control>
          </mc:Choice>
        </mc:AlternateContent>
        <mc:AlternateContent xmlns:mc="http://schemas.openxmlformats.org/markup-compatibility/2006">
          <mc:Choice Requires="x14">
            <control shapeId="93187" r:id="rId6" name="Check Box 3">
              <controlPr defaultSize="0" autoFill="0" autoLine="0" autoPict="0">
                <anchor moveWithCells="1">
                  <from>
                    <xdr:col>4</xdr:col>
                    <xdr:colOff>57150</xdr:colOff>
                    <xdr:row>8</xdr:row>
                    <xdr:rowOff>19050</xdr:rowOff>
                  </from>
                  <to>
                    <xdr:col>8</xdr:col>
                    <xdr:colOff>285750</xdr:colOff>
                    <xdr:row>9</xdr:row>
                    <xdr:rowOff>19050</xdr:rowOff>
                  </to>
                </anchor>
              </controlPr>
            </control>
          </mc:Choice>
        </mc:AlternateContent>
        <mc:AlternateContent xmlns:mc="http://schemas.openxmlformats.org/markup-compatibility/2006">
          <mc:Choice Requires="x14">
            <control shapeId="93188" r:id="rId7" name="Check Box 4">
              <controlPr defaultSize="0" autoFill="0" autoLine="0" autoPict="0">
                <anchor moveWithCells="1">
                  <from>
                    <xdr:col>4</xdr:col>
                    <xdr:colOff>57150</xdr:colOff>
                    <xdr:row>8</xdr:row>
                    <xdr:rowOff>209550</xdr:rowOff>
                  </from>
                  <to>
                    <xdr:col>8</xdr:col>
                    <xdr:colOff>285750</xdr:colOff>
                    <xdr:row>10</xdr:row>
                    <xdr:rowOff>0</xdr:rowOff>
                  </to>
                </anchor>
              </controlPr>
            </control>
          </mc:Choice>
        </mc:AlternateContent>
        <mc:AlternateContent xmlns:mc="http://schemas.openxmlformats.org/markup-compatibility/2006">
          <mc:Choice Requires="x14">
            <control shapeId="93189" r:id="rId8" name="Check Box 5">
              <controlPr defaultSize="0" autoFill="0" autoLine="0" autoPict="0">
                <anchor moveWithCells="1">
                  <from>
                    <xdr:col>17</xdr:col>
                    <xdr:colOff>476250</xdr:colOff>
                    <xdr:row>8</xdr:row>
                    <xdr:rowOff>0</xdr:rowOff>
                  </from>
                  <to>
                    <xdr:col>19</xdr:col>
                    <xdr:colOff>180975</xdr:colOff>
                    <xdr:row>9</xdr:row>
                    <xdr:rowOff>0</xdr:rowOff>
                  </to>
                </anchor>
              </controlPr>
            </control>
          </mc:Choice>
        </mc:AlternateContent>
        <mc:AlternateContent xmlns:mc="http://schemas.openxmlformats.org/markup-compatibility/2006">
          <mc:Choice Requires="x14">
            <control shapeId="93190" r:id="rId9" name="Check Box 6">
              <controlPr defaultSize="0" autoFill="0" autoLine="0" autoPict="0">
                <anchor moveWithCells="1">
                  <from>
                    <xdr:col>17</xdr:col>
                    <xdr:colOff>476250</xdr:colOff>
                    <xdr:row>9</xdr:row>
                    <xdr:rowOff>0</xdr:rowOff>
                  </from>
                  <to>
                    <xdr:col>19</xdr:col>
                    <xdr:colOff>180975</xdr:colOff>
                    <xdr:row>10</xdr:row>
                    <xdr:rowOff>0</xdr:rowOff>
                  </to>
                </anchor>
              </controlPr>
            </control>
          </mc:Choice>
        </mc:AlternateContent>
      </controls>
    </mc:Choice>
  </mc:AlternateContent>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4"/>
  <dimension ref="A1:U122"/>
  <sheetViews>
    <sheetView showZeros="0" view="pageLayout" topLeftCell="A24" zoomScaleNormal="100" zoomScaleSheetLayoutView="100" workbookViewId="0">
      <selection activeCell="O39" sqref="O39:R39"/>
    </sheetView>
  </sheetViews>
  <sheetFormatPr defaultColWidth="9.28515625" defaultRowHeight="16.5" x14ac:dyDescent="0.3"/>
  <cols>
    <col min="1" max="1" width="2.7109375" style="5" customWidth="1"/>
    <col min="2" max="2" width="1.28515625" style="5" customWidth="1"/>
    <col min="3" max="3" width="4.5703125" style="5" customWidth="1"/>
    <col min="4" max="4" width="2.7109375" style="5" customWidth="1"/>
    <col min="5" max="5" width="7" style="5" customWidth="1"/>
    <col min="6" max="6" width="5.28515625" style="5" customWidth="1"/>
    <col min="7" max="7" width="3.42578125" style="5" customWidth="1"/>
    <col min="8" max="8" width="4" style="5" customWidth="1"/>
    <col min="9" max="9" width="5.28515625" style="5" customWidth="1"/>
    <col min="10" max="10" width="3.28515625" style="5" customWidth="1"/>
    <col min="11" max="11" width="4.7109375" style="5" customWidth="1"/>
    <col min="12" max="13" width="5.7109375" style="5" customWidth="1"/>
    <col min="14" max="14" width="3.28515625" style="5" customWidth="1"/>
    <col min="15" max="15" width="4.42578125" style="5" customWidth="1"/>
    <col min="16" max="16" width="7" style="5" customWidth="1"/>
    <col min="17" max="17" width="5.28515625" style="5" customWidth="1"/>
    <col min="18" max="18" width="15" style="5" customWidth="1"/>
    <col min="19" max="19" width="2.7109375" style="5" customWidth="1"/>
    <col min="20" max="20" width="11.7109375" style="5" customWidth="1"/>
    <col min="21" max="21" width="2" style="5" customWidth="1"/>
    <col min="22" max="16384" width="9.28515625" style="5"/>
  </cols>
  <sheetData>
    <row r="1" spans="1:21" ht="14.25" customHeight="1" x14ac:dyDescent="0.3">
      <c r="U1" s="58"/>
    </row>
    <row r="2" spans="1:21" x14ac:dyDescent="0.3">
      <c r="A2" s="21" t="s">
        <v>829</v>
      </c>
      <c r="B2" s="21"/>
      <c r="C2" s="90"/>
      <c r="D2" s="89"/>
      <c r="E2" s="1236">
        <f>FORM!G30</f>
        <v>0</v>
      </c>
      <c r="F2" s="1236"/>
      <c r="G2" s="1236"/>
      <c r="H2" s="1236"/>
      <c r="I2" s="1236"/>
      <c r="J2" s="1236"/>
      <c r="K2" s="1236"/>
      <c r="L2" s="1236"/>
      <c r="M2" s="1236"/>
      <c r="N2" s="1236"/>
      <c r="O2" s="1236"/>
      <c r="P2" s="1236"/>
      <c r="Q2" s="1236"/>
      <c r="R2" s="21"/>
      <c r="S2" s="21"/>
      <c r="T2" s="21"/>
      <c r="U2" s="23" t="s">
        <v>830</v>
      </c>
    </row>
    <row r="3" spans="1:21" x14ac:dyDescent="0.3">
      <c r="A3" s="1234">
        <f>FORM!G34</f>
        <v>0</v>
      </c>
      <c r="B3" s="1234"/>
      <c r="C3" s="1234"/>
      <c r="D3" s="1234"/>
      <c r="E3" s="1234"/>
      <c r="F3" s="1234"/>
      <c r="G3" s="1234"/>
      <c r="H3" s="1234"/>
      <c r="I3" s="1234"/>
      <c r="J3" s="1234"/>
      <c r="K3" s="1234"/>
      <c r="L3" s="1234"/>
      <c r="M3" s="1234"/>
      <c r="N3" s="1234"/>
      <c r="O3" s="1234"/>
      <c r="P3" s="1234"/>
      <c r="Q3" s="1234"/>
      <c r="R3" s="21"/>
      <c r="S3" s="21"/>
      <c r="T3" s="21"/>
      <c r="U3" s="23" t="s">
        <v>831</v>
      </c>
    </row>
    <row r="4" spans="1:21" ht="16.5" customHeight="1" x14ac:dyDescent="0.3">
      <c r="A4" s="1233" t="s">
        <v>832</v>
      </c>
      <c r="B4" s="1233"/>
      <c r="C4" s="1233"/>
      <c r="D4" s="1233"/>
      <c r="E4" s="1233"/>
      <c r="F4" s="1233"/>
      <c r="G4" s="1233"/>
      <c r="H4" s="1233"/>
      <c r="I4" s="1233"/>
      <c r="J4" s="1233"/>
      <c r="K4" s="1233"/>
      <c r="L4" s="1233"/>
      <c r="M4" s="1233"/>
      <c r="N4" s="1233"/>
      <c r="O4" s="1233"/>
      <c r="P4" s="1233"/>
      <c r="Q4" s="1233"/>
      <c r="R4" s="1233"/>
      <c r="S4" s="1233"/>
      <c r="T4" s="1233"/>
      <c r="U4" s="1233"/>
    </row>
    <row r="5" spans="1:21" x14ac:dyDescent="0.3">
      <c r="A5" s="1233"/>
      <c r="B5" s="1233"/>
      <c r="C5" s="1233"/>
      <c r="D5" s="1233"/>
      <c r="E5" s="1233"/>
      <c r="F5" s="1233"/>
      <c r="G5" s="1233"/>
      <c r="H5" s="1233"/>
      <c r="I5" s="1233"/>
      <c r="J5" s="1233"/>
      <c r="K5" s="1233"/>
      <c r="L5" s="1233"/>
      <c r="M5" s="1233"/>
      <c r="N5" s="1233"/>
      <c r="O5" s="1233"/>
      <c r="P5" s="1233"/>
      <c r="Q5" s="1233"/>
      <c r="R5" s="1233"/>
      <c r="S5" s="1233"/>
      <c r="T5" s="1233"/>
      <c r="U5" s="1233"/>
    </row>
    <row r="6" spans="1:21" ht="9" customHeight="1" x14ac:dyDescent="0.3">
      <c r="A6" s="21"/>
      <c r="B6" s="21"/>
      <c r="C6" s="21"/>
      <c r="D6" s="21"/>
      <c r="E6" s="21"/>
      <c r="F6" s="21"/>
      <c r="G6" s="21"/>
      <c r="H6" s="21"/>
      <c r="I6" s="21"/>
      <c r="J6" s="21"/>
      <c r="K6" s="21"/>
      <c r="L6" s="21"/>
      <c r="M6" s="21"/>
      <c r="N6" s="21"/>
      <c r="O6" s="21"/>
      <c r="P6" s="21"/>
      <c r="Q6" s="21"/>
      <c r="R6" s="21"/>
      <c r="S6" s="21"/>
      <c r="T6" s="21"/>
      <c r="U6" s="21"/>
    </row>
    <row r="7" spans="1:21" ht="16.5" customHeight="1" x14ac:dyDescent="0.3">
      <c r="A7" s="21" t="s">
        <v>833</v>
      </c>
      <c r="B7" s="21"/>
      <c r="C7" s="21"/>
      <c r="D7" s="21"/>
      <c r="E7" s="21"/>
      <c r="F7" s="21"/>
      <c r="G7" s="21"/>
      <c r="H7" s="1234" t="str">
        <f>FORM!Z13</f>
        <v>WEE COMMUNITY DEVELOPERS, INC.</v>
      </c>
      <c r="I7" s="1234"/>
      <c r="J7" s="1234"/>
      <c r="K7" s="1234"/>
      <c r="L7" s="1234"/>
      <c r="M7" s="1234"/>
      <c r="N7" s="1234"/>
      <c r="O7" s="1234"/>
      <c r="P7" s="21"/>
      <c r="Q7" s="21"/>
      <c r="R7" s="21"/>
      <c r="S7" s="21"/>
      <c r="T7" s="21"/>
      <c r="U7" s="23" t="s">
        <v>834</v>
      </c>
    </row>
    <row r="8" spans="1:21" x14ac:dyDescent="0.3">
      <c r="A8" s="1235" t="s">
        <v>835</v>
      </c>
      <c r="B8" s="1235"/>
      <c r="C8" s="1235"/>
      <c r="D8" s="1235"/>
      <c r="E8" s="1235"/>
      <c r="F8" s="1235"/>
      <c r="G8" s="1235"/>
      <c r="H8" s="1235"/>
      <c r="I8" s="1235"/>
      <c r="J8" s="1235"/>
      <c r="K8" s="1235"/>
      <c r="L8" s="1235"/>
      <c r="M8" s="1235"/>
      <c r="N8" s="1235"/>
      <c r="O8" s="1235"/>
      <c r="P8" s="1235"/>
      <c r="Q8" s="1235"/>
      <c r="R8" s="1235"/>
      <c r="S8" s="1235"/>
      <c r="T8" s="1235"/>
      <c r="U8" s="1235"/>
    </row>
    <row r="9" spans="1:21" x14ac:dyDescent="0.3">
      <c r="A9" s="1240" t="str">
        <f>FORM!Z14</f>
        <v>166 A. Mabini Street, Addition Hills, San Juan City</v>
      </c>
      <c r="B9" s="1240"/>
      <c r="C9" s="1240"/>
      <c r="D9" s="1240"/>
      <c r="E9" s="1240"/>
      <c r="F9" s="1240"/>
      <c r="G9" s="1240"/>
      <c r="H9" s="1240"/>
      <c r="I9" s="1240"/>
      <c r="J9" s="1240"/>
      <c r="K9" s="1240"/>
      <c r="L9" s="1240"/>
      <c r="M9" s="1240"/>
      <c r="N9" s="1240"/>
      <c r="O9" s="1240"/>
      <c r="P9" s="1240"/>
      <c r="Q9" s="21"/>
      <c r="R9" s="21"/>
      <c r="S9" s="21"/>
      <c r="T9" s="21"/>
      <c r="U9" s="23" t="s">
        <v>836</v>
      </c>
    </row>
    <row r="10" spans="1:21" x14ac:dyDescent="0.3">
      <c r="A10" s="21" t="s">
        <v>837</v>
      </c>
      <c r="B10" s="21"/>
      <c r="C10" s="21"/>
      <c r="D10" s="21"/>
      <c r="E10" s="21"/>
      <c r="F10" s="21"/>
      <c r="G10" s="21"/>
      <c r="H10" s="21"/>
      <c r="I10" s="1234" t="str">
        <f>FORM!G11</f>
        <v>WEECOMM CENTRE</v>
      </c>
      <c r="J10" s="1234"/>
      <c r="K10" s="1234"/>
      <c r="L10" s="1234"/>
      <c r="M10" s="1234"/>
      <c r="N10" s="1234"/>
      <c r="O10" s="1234"/>
      <c r="P10" s="1234"/>
      <c r="Q10" s="1234"/>
      <c r="R10" s="1234"/>
      <c r="S10" s="1234"/>
      <c r="T10" s="1234"/>
      <c r="U10" s="1234"/>
    </row>
    <row r="11" spans="1:21" x14ac:dyDescent="0.3">
      <c r="A11" s="21" t="s">
        <v>838</v>
      </c>
      <c r="B11" s="21"/>
      <c r="C11" s="21"/>
      <c r="D11" s="21"/>
      <c r="E11" s="21"/>
      <c r="F11" s="21"/>
      <c r="G11" s="21"/>
      <c r="H11" s="21"/>
      <c r="I11" s="21"/>
      <c r="J11" s="21"/>
      <c r="K11" s="21"/>
      <c r="L11" s="21"/>
      <c r="M11" s="1229" t="str">
        <f>RA_Standard!M12</f>
        <v>#54 Tinio St. Barangay Addition Hills, Mandaluyong City</v>
      </c>
      <c r="N11" s="1229"/>
      <c r="O11" s="1229"/>
      <c r="P11" s="1229"/>
      <c r="Q11" s="1229"/>
      <c r="R11" s="1229"/>
      <c r="S11" s="1229"/>
      <c r="T11" s="1229"/>
      <c r="U11" s="1229"/>
    </row>
    <row r="12" spans="1:21" x14ac:dyDescent="0.3">
      <c r="A12" s="21" t="s">
        <v>839</v>
      </c>
      <c r="B12" s="21"/>
      <c r="C12" s="21"/>
      <c r="D12" s="21"/>
      <c r="E12" s="21"/>
      <c r="F12" s="21"/>
      <c r="G12" s="21"/>
      <c r="H12" s="21"/>
      <c r="I12" s="21"/>
      <c r="J12" s="21"/>
      <c r="K12" s="1241" t="str">
        <f>RA_SE30D!K12</f>
        <v>2-BR BARE</v>
      </c>
      <c r="L12" s="1234"/>
      <c r="M12" s="1234"/>
      <c r="N12" s="1234"/>
      <c r="O12" s="1234"/>
      <c r="P12" s="1234"/>
      <c r="Q12" s="1234"/>
      <c r="R12" s="1234"/>
      <c r="S12" s="1234"/>
      <c r="T12" s="1234"/>
      <c r="U12" s="1234"/>
    </row>
    <row r="13" spans="1:21" ht="13.5" customHeight="1" x14ac:dyDescent="0.3">
      <c r="A13" s="21" t="s">
        <v>840</v>
      </c>
      <c r="B13" s="21"/>
      <c r="C13" s="21"/>
      <c r="D13" s="21"/>
      <c r="E13" s="21"/>
      <c r="F13" s="21"/>
      <c r="G13" s="21"/>
      <c r="H13" s="21"/>
      <c r="I13" s="21"/>
      <c r="J13" s="21"/>
      <c r="K13" s="21"/>
      <c r="L13" s="21"/>
      <c r="M13" s="21"/>
      <c r="N13" s="21"/>
      <c r="O13" s="21"/>
      <c r="P13" s="21"/>
      <c r="Q13" s="21"/>
      <c r="R13" s="21"/>
      <c r="S13" s="21"/>
      <c r="T13" s="21"/>
      <c r="U13" s="21"/>
    </row>
    <row r="14" spans="1:21" x14ac:dyDescent="0.3">
      <c r="A14" s="21"/>
      <c r="B14" s="21"/>
      <c r="C14" s="21"/>
      <c r="D14" s="21"/>
      <c r="E14" s="21"/>
      <c r="F14" s="21"/>
      <c r="G14" s="21"/>
      <c r="H14" s="21"/>
      <c r="I14" s="21"/>
      <c r="J14" s="21"/>
      <c r="K14" s="21"/>
      <c r="L14" s="21"/>
      <c r="M14" s="21"/>
      <c r="N14" s="21"/>
      <c r="O14" s="21"/>
      <c r="P14" s="21"/>
      <c r="Q14" s="21"/>
      <c r="R14" s="21"/>
      <c r="S14" s="21"/>
      <c r="T14" s="21"/>
      <c r="U14" s="21"/>
    </row>
    <row r="15" spans="1:21" x14ac:dyDescent="0.3">
      <c r="A15" s="25" t="s">
        <v>781</v>
      </c>
      <c r="B15" s="26"/>
      <c r="C15" s="26"/>
      <c r="D15" s="24"/>
      <c r="E15" s="1229" t="str">
        <f>FORM!G11</f>
        <v>WEECOMM CENTRE</v>
      </c>
      <c r="F15" s="1229"/>
      <c r="G15" s="1229"/>
      <c r="H15" s="1229"/>
      <c r="I15" s="1229"/>
      <c r="J15" s="1229"/>
      <c r="K15" s="1229"/>
      <c r="L15" s="1229"/>
      <c r="M15" s="1229"/>
      <c r="N15" s="1229"/>
      <c r="O15" s="1229"/>
      <c r="P15" s="1229"/>
      <c r="Q15" s="1229"/>
      <c r="R15" s="1229"/>
      <c r="S15" s="1229"/>
      <c r="T15" s="1229"/>
      <c r="U15" s="62"/>
    </row>
    <row r="16" spans="1:21" x14ac:dyDescent="0.3">
      <c r="A16" s="27" t="s">
        <v>782</v>
      </c>
      <c r="B16" s="28"/>
      <c r="C16" s="28"/>
      <c r="D16" s="29"/>
      <c r="E16" s="30" t="s">
        <v>841</v>
      </c>
      <c r="F16" s="29"/>
      <c r="G16" s="29"/>
      <c r="H16" s="29"/>
      <c r="I16" s="29"/>
      <c r="J16" s="29"/>
      <c r="K16" s="29"/>
      <c r="L16" s="60" t="s">
        <v>842</v>
      </c>
      <c r="M16" s="29"/>
      <c r="N16" s="29"/>
      <c r="O16" s="29"/>
      <c r="P16" s="29"/>
      <c r="Q16" s="29"/>
      <c r="R16" s="29"/>
      <c r="S16" s="29"/>
      <c r="T16" s="30" t="s">
        <v>843</v>
      </c>
      <c r="U16" s="59"/>
    </row>
    <row r="17" spans="1:21" x14ac:dyDescent="0.3">
      <c r="A17" s="31"/>
      <c r="B17" s="8"/>
      <c r="C17" s="8"/>
      <c r="D17" s="8"/>
      <c r="E17" s="32" t="s">
        <v>844</v>
      </c>
      <c r="F17" s="8"/>
      <c r="G17" s="8"/>
      <c r="H17" s="8"/>
      <c r="I17" s="8"/>
      <c r="J17" s="8"/>
      <c r="K17" s="8"/>
      <c r="L17" s="32" t="s">
        <v>786</v>
      </c>
      <c r="M17" s="8"/>
      <c r="N17" s="8"/>
      <c r="O17" s="8"/>
      <c r="P17" s="8"/>
      <c r="Q17" s="8"/>
      <c r="R17" s="8"/>
      <c r="S17" s="8"/>
      <c r="T17" s="32" t="s">
        <v>845</v>
      </c>
      <c r="U17" s="33"/>
    </row>
    <row r="18" spans="1:21" x14ac:dyDescent="0.3">
      <c r="T18" s="5" t="s">
        <v>660</v>
      </c>
    </row>
    <row r="19" spans="1:21" x14ac:dyDescent="0.3">
      <c r="A19" s="1230" t="s">
        <v>784</v>
      </c>
      <c r="B19" s="1231"/>
      <c r="C19" s="1231"/>
      <c r="D19" s="1231"/>
      <c r="E19" s="1231"/>
      <c r="F19" s="1232"/>
      <c r="G19" s="1230" t="s">
        <v>267</v>
      </c>
      <c r="H19" s="1231"/>
      <c r="I19" s="1231"/>
      <c r="J19" s="1231"/>
      <c r="K19" s="1231"/>
      <c r="L19" s="1232"/>
      <c r="M19" s="1230" t="s">
        <v>785</v>
      </c>
      <c r="N19" s="1231"/>
      <c r="O19" s="1231"/>
      <c r="P19" s="1231"/>
      <c r="Q19" s="1232"/>
      <c r="R19" s="1230" t="s">
        <v>786</v>
      </c>
      <c r="S19" s="1231"/>
      <c r="T19" s="1231"/>
      <c r="U19" s="1232"/>
    </row>
    <row r="20" spans="1:21" x14ac:dyDescent="0.3">
      <c r="A20" s="40" t="s">
        <v>787</v>
      </c>
      <c r="B20" s="41"/>
      <c r="C20" s="41"/>
      <c r="D20" s="1193">
        <f>FORM!G14</f>
        <v>1</v>
      </c>
      <c r="E20" s="1194"/>
      <c r="F20" s="1195"/>
      <c r="G20" s="40" t="s">
        <v>787</v>
      </c>
      <c r="H20" s="41"/>
      <c r="I20" s="42"/>
      <c r="J20" s="1207"/>
      <c r="K20" s="1208"/>
      <c r="L20" s="1209"/>
      <c r="M20" s="40" t="s">
        <v>788</v>
      </c>
      <c r="N20" s="41"/>
      <c r="O20" s="42"/>
      <c r="P20" s="1210"/>
      <c r="Q20" s="1197"/>
      <c r="R20" s="1211" t="s">
        <v>787</v>
      </c>
      <c r="S20" s="1212"/>
      <c r="T20" s="1213"/>
      <c r="U20" s="1214"/>
    </row>
    <row r="21" spans="1:21" x14ac:dyDescent="0.3">
      <c r="A21" s="36" t="s">
        <v>789</v>
      </c>
      <c r="B21" s="37"/>
      <c r="C21" s="37"/>
      <c r="D21" s="1193" t="str">
        <f>'RA_Step up'!D22:E22</f>
        <v>GF</v>
      </c>
      <c r="E21" s="1194"/>
      <c r="F21" s="55"/>
      <c r="G21" s="40" t="s">
        <v>790</v>
      </c>
      <c r="H21" s="41"/>
      <c r="I21" s="42"/>
      <c r="J21" s="1207"/>
      <c r="K21" s="1208"/>
      <c r="L21" s="1209"/>
      <c r="M21" s="40" t="s">
        <v>791</v>
      </c>
      <c r="N21" s="41"/>
      <c r="O21" s="42"/>
      <c r="P21" s="1210"/>
      <c r="Q21" s="1197"/>
      <c r="R21" s="1211" t="s">
        <v>792</v>
      </c>
      <c r="S21" s="1212"/>
      <c r="T21" s="1213"/>
      <c r="U21" s="1214"/>
    </row>
    <row r="22" spans="1:21" x14ac:dyDescent="0.3">
      <c r="A22" s="40" t="s">
        <v>792</v>
      </c>
      <c r="B22" s="41"/>
      <c r="C22" s="42"/>
      <c r="D22" s="1193" t="str">
        <f>'RA_Step up'!D23:E23</f>
        <v>9G</v>
      </c>
      <c r="E22" s="1194"/>
      <c r="F22" s="55"/>
      <c r="G22" s="40" t="s">
        <v>793</v>
      </c>
      <c r="H22" s="41"/>
      <c r="I22" s="42"/>
      <c r="J22" s="1207"/>
      <c r="K22" s="1208"/>
      <c r="L22" s="1209"/>
      <c r="M22" s="40" t="s">
        <v>794</v>
      </c>
      <c r="N22" s="41"/>
      <c r="O22" s="42"/>
      <c r="P22" s="1210"/>
      <c r="Q22" s="1197"/>
      <c r="R22" s="1211" t="s">
        <v>795</v>
      </c>
      <c r="S22" s="1212"/>
      <c r="T22" s="1213"/>
      <c r="U22" s="1214"/>
    </row>
    <row r="23" spans="1:21" ht="16.5" customHeight="1" x14ac:dyDescent="0.3">
      <c r="A23" s="36" t="s">
        <v>80</v>
      </c>
      <c r="B23" s="37"/>
      <c r="C23" s="37"/>
      <c r="D23" s="1242">
        <f>'STANDARD COMP.'!E13</f>
        <v>108.78</v>
      </c>
      <c r="E23" s="1243"/>
      <c r="F23" s="55" t="s">
        <v>693</v>
      </c>
      <c r="G23" s="40" t="s">
        <v>795</v>
      </c>
      <c r="H23" s="41"/>
      <c r="I23" s="42"/>
      <c r="J23" s="1207"/>
      <c r="K23" s="1208"/>
      <c r="L23" s="1209"/>
      <c r="M23" s="36" t="s">
        <v>846</v>
      </c>
      <c r="N23" s="37"/>
      <c r="O23" s="37"/>
      <c r="P23" s="1210"/>
      <c r="Q23" s="1197"/>
      <c r="R23" s="1215" t="s">
        <v>796</v>
      </c>
      <c r="S23" s="1216"/>
      <c r="T23" s="1221"/>
      <c r="U23" s="1222"/>
    </row>
    <row r="24" spans="1:21" x14ac:dyDescent="0.3">
      <c r="A24" s="40" t="s">
        <v>797</v>
      </c>
      <c r="B24" s="41"/>
      <c r="C24" s="42"/>
      <c r="D24" s="1237" t="str">
        <f>K12</f>
        <v>2-BR BARE</v>
      </c>
      <c r="E24" s="1194"/>
      <c r="F24" s="1195"/>
      <c r="G24" s="40" t="s">
        <v>798</v>
      </c>
      <c r="H24" s="41"/>
      <c r="I24" s="42"/>
      <c r="J24" s="1207"/>
      <c r="K24" s="1208"/>
      <c r="L24" s="1209"/>
      <c r="M24" s="40" t="s">
        <v>800</v>
      </c>
      <c r="N24" s="41"/>
      <c r="O24" s="42"/>
      <c r="P24" s="1193"/>
      <c r="Q24" s="1195"/>
      <c r="R24" s="1219"/>
      <c r="S24" s="1220"/>
      <c r="T24" s="1225"/>
      <c r="U24" s="1226"/>
    </row>
    <row r="26" spans="1:21" x14ac:dyDescent="0.3">
      <c r="A26" s="40" t="s">
        <v>37</v>
      </c>
      <c r="B26" s="41"/>
      <c r="C26" s="41"/>
      <c r="D26" s="41"/>
      <c r="E26" s="41"/>
      <c r="F26" s="41"/>
      <c r="G26" s="41"/>
      <c r="H26" s="42"/>
      <c r="I26" s="1199">
        <f>'SPOT CASH_30 DAYS'!F16</f>
        <v>20466686.730335645</v>
      </c>
      <c r="J26" s="1200"/>
      <c r="K26" s="1200"/>
      <c r="L26" s="1200"/>
      <c r="M26" s="1200"/>
      <c r="N26" s="1200"/>
      <c r="O26" s="1200"/>
      <c r="P26" s="1200"/>
      <c r="Q26" s="1200"/>
      <c r="R26" s="1200"/>
      <c r="S26" s="1200"/>
      <c r="T26" s="1200"/>
      <c r="U26" s="1201"/>
    </row>
    <row r="27" spans="1:21" x14ac:dyDescent="0.3">
      <c r="A27" s="40" t="s">
        <v>801</v>
      </c>
      <c r="B27" s="41"/>
      <c r="C27" s="43"/>
      <c r="D27" s="43"/>
      <c r="E27" s="43"/>
      <c r="F27" s="43"/>
      <c r="G27" s="43"/>
      <c r="H27" s="44"/>
      <c r="I27" s="1202">
        <f>'SPOT CASH_30 DAYS'!F17+'SPOT CASH_30 DAYS'!F18</f>
        <v>0</v>
      </c>
      <c r="J27" s="1203"/>
      <c r="K27" s="1203"/>
      <c r="L27" s="1203"/>
      <c r="M27" s="1203"/>
      <c r="N27" s="1203"/>
      <c r="O27" s="1203"/>
      <c r="P27" s="1203"/>
      <c r="Q27" s="1203"/>
      <c r="R27" s="1203"/>
      <c r="S27" s="1203"/>
      <c r="T27" s="1203"/>
      <c r="U27" s="1204"/>
    </row>
    <row r="28" spans="1:21" x14ac:dyDescent="0.3">
      <c r="A28" s="52" t="s">
        <v>92</v>
      </c>
      <c r="B28" s="53"/>
      <c r="C28" s="54"/>
      <c r="D28" s="54"/>
      <c r="E28" s="54"/>
      <c r="F28" s="54"/>
      <c r="G28" s="54"/>
      <c r="H28" s="51"/>
      <c r="I28" s="1199">
        <f>'SPOT CASH_30 DAYS'!F19</f>
        <v>20466686.730335645</v>
      </c>
      <c r="J28" s="1200"/>
      <c r="K28" s="1200"/>
      <c r="L28" s="1200"/>
      <c r="M28" s="1200"/>
      <c r="N28" s="1200"/>
      <c r="O28" s="1200"/>
      <c r="P28" s="1200"/>
      <c r="Q28" s="1200"/>
      <c r="R28" s="1200"/>
      <c r="S28" s="1200"/>
      <c r="T28" s="1200"/>
      <c r="U28" s="1201"/>
    </row>
    <row r="29" spans="1:21" x14ac:dyDescent="0.3">
      <c r="A29" s="40" t="s">
        <v>802</v>
      </c>
      <c r="B29" s="41"/>
      <c r="C29" s="43"/>
      <c r="D29" s="43"/>
      <c r="E29" s="43"/>
      <c r="F29" s="43"/>
      <c r="G29" s="43"/>
      <c r="H29" s="44"/>
      <c r="I29" s="1199">
        <f>'SPOT CASH_30 DAYS'!F21</f>
        <v>1535001.5047751733</v>
      </c>
      <c r="J29" s="1200"/>
      <c r="K29" s="1200"/>
      <c r="L29" s="1200"/>
      <c r="M29" s="1200"/>
      <c r="N29" s="1200"/>
      <c r="O29" s="1200"/>
      <c r="P29" s="1200"/>
      <c r="Q29" s="1200"/>
      <c r="R29" s="1200"/>
      <c r="S29" s="1200"/>
      <c r="T29" s="1200"/>
      <c r="U29" s="1201"/>
    </row>
    <row r="30" spans="1:21" x14ac:dyDescent="0.3">
      <c r="A30" s="40" t="s">
        <v>803</v>
      </c>
      <c r="B30" s="41"/>
      <c r="C30" s="43"/>
      <c r="D30" s="43"/>
      <c r="E30" s="43"/>
      <c r="F30" s="43"/>
      <c r="G30" s="43"/>
      <c r="H30" s="44"/>
      <c r="I30" s="1199">
        <f>'SPOT CASH_30 DAYS'!F22</f>
        <v>2456002.4076402774</v>
      </c>
      <c r="J30" s="1200"/>
      <c r="K30" s="1200"/>
      <c r="L30" s="1200"/>
      <c r="M30" s="1200"/>
      <c r="N30" s="1200"/>
      <c r="O30" s="1200"/>
      <c r="P30" s="1200"/>
      <c r="Q30" s="1200"/>
      <c r="R30" s="1200"/>
      <c r="S30" s="1200"/>
      <c r="T30" s="1200"/>
      <c r="U30" s="1201"/>
    </row>
    <row r="31" spans="1:21" x14ac:dyDescent="0.3">
      <c r="A31" s="40" t="s">
        <v>41</v>
      </c>
      <c r="B31" s="41"/>
      <c r="C31" s="43"/>
      <c r="D31" s="43"/>
      <c r="E31" s="43"/>
      <c r="F31" s="43"/>
      <c r="G31" s="43"/>
      <c r="H31" s="44"/>
      <c r="I31" s="1199">
        <f>'SPOT CASH_30 DAYS'!F24</f>
        <v>24457690.642751098</v>
      </c>
      <c r="J31" s="1200"/>
      <c r="K31" s="1200"/>
      <c r="L31" s="1200"/>
      <c r="M31" s="1200"/>
      <c r="N31" s="1200"/>
      <c r="O31" s="1200"/>
      <c r="P31" s="1200"/>
      <c r="Q31" s="1200"/>
      <c r="R31" s="1200"/>
      <c r="S31" s="1200"/>
      <c r="T31" s="1200"/>
      <c r="U31" s="1201"/>
    </row>
    <row r="33" spans="1:21" x14ac:dyDescent="0.3">
      <c r="A33" s="74" t="s">
        <v>848</v>
      </c>
      <c r="B33" s="45"/>
      <c r="C33" s="45"/>
      <c r="D33" s="45"/>
      <c r="E33" s="45"/>
      <c r="F33" s="45"/>
      <c r="G33" s="46"/>
      <c r="H33" s="46"/>
      <c r="I33" s="46"/>
      <c r="J33" s="46"/>
      <c r="K33" s="46"/>
      <c r="L33" s="46"/>
      <c r="M33" s="46"/>
      <c r="N33" s="46"/>
      <c r="O33" s="46"/>
      <c r="P33" s="46"/>
      <c r="Q33" s="46"/>
      <c r="R33" s="46"/>
      <c r="S33" s="46"/>
      <c r="T33" s="46"/>
      <c r="U33" s="47"/>
    </row>
    <row r="34" spans="1:21" ht="4.5" customHeight="1" x14ac:dyDescent="0.3">
      <c r="A34" s="34"/>
      <c r="B34" s="18"/>
      <c r="C34" s="18"/>
      <c r="D34" s="18"/>
      <c r="E34" s="18"/>
      <c r="F34" s="18"/>
      <c r="G34" s="18"/>
      <c r="H34" s="18"/>
      <c r="I34" s="18"/>
      <c r="J34" s="18"/>
      <c r="K34" s="18"/>
      <c r="L34" s="18"/>
      <c r="M34" s="18"/>
      <c r="N34" s="18"/>
      <c r="O34" s="18"/>
      <c r="P34" s="18"/>
      <c r="Q34" s="18"/>
      <c r="R34" s="18"/>
      <c r="S34" s="18"/>
      <c r="T34" s="18"/>
      <c r="U34" s="35"/>
    </row>
    <row r="35" spans="1:21" x14ac:dyDescent="0.3">
      <c r="A35" s="34"/>
      <c r="B35" s="18"/>
      <c r="C35" s="18"/>
      <c r="D35" s="18" t="s">
        <v>849</v>
      </c>
      <c r="E35" s="18"/>
      <c r="F35" s="18"/>
      <c r="G35" s="18"/>
      <c r="I35" s="18"/>
      <c r="J35" s="18"/>
      <c r="K35" s="18"/>
      <c r="L35" s="18"/>
      <c r="M35" s="18" t="s">
        <v>850</v>
      </c>
      <c r="P35" s="18"/>
      <c r="Q35" s="18"/>
      <c r="R35" s="18"/>
      <c r="S35" s="18" t="s">
        <v>851</v>
      </c>
      <c r="T35" s="18"/>
      <c r="U35" s="35"/>
    </row>
    <row r="36" spans="1:21" ht="4.5" customHeight="1" x14ac:dyDescent="0.3">
      <c r="A36" s="75"/>
      <c r="B36" s="32"/>
      <c r="C36" s="32"/>
      <c r="D36" s="32"/>
      <c r="E36" s="32"/>
      <c r="F36" s="32"/>
      <c r="G36" s="32"/>
      <c r="H36" s="32"/>
      <c r="I36" s="32"/>
      <c r="J36" s="32"/>
      <c r="K36" s="32"/>
      <c r="L36" s="32"/>
      <c r="M36" s="32"/>
      <c r="N36" s="32"/>
      <c r="O36" s="32"/>
      <c r="P36" s="32"/>
      <c r="Q36" s="32"/>
      <c r="R36" s="32"/>
      <c r="S36" s="32"/>
      <c r="T36" s="32"/>
      <c r="U36" s="76"/>
    </row>
    <row r="37" spans="1:21" ht="11.25" customHeight="1" x14ac:dyDescent="0.3"/>
    <row r="38" spans="1:21" x14ac:dyDescent="0.3">
      <c r="A38" s="6" t="s">
        <v>852</v>
      </c>
    </row>
    <row r="39" spans="1:21" ht="13.5" customHeight="1" x14ac:dyDescent="0.3">
      <c r="A39" s="88" t="s">
        <v>853</v>
      </c>
      <c r="C39" s="1247" t="s">
        <v>854</v>
      </c>
      <c r="D39" s="1247"/>
      <c r="E39" s="1247"/>
      <c r="F39" s="1247"/>
      <c r="G39" s="1247"/>
      <c r="H39" s="1247"/>
      <c r="I39" s="1247"/>
      <c r="J39" s="1247"/>
      <c r="K39" s="1247"/>
      <c r="L39" s="1247"/>
      <c r="M39" s="1247"/>
      <c r="N39" s="1247"/>
      <c r="O39" s="1250" t="str">
        <f>IF(OR(LEN(FLOOR(T39,1))=13,FLOOR(T39,1)&lt;=0),"Out of range",PROPER(SUBSTITUTE(CONCATENATE(CHOOSE(MID(TEXT(INT(T39),REPT(0,12)),1,1)+1,"","one hundred ","two hundred ","three hundred ","four hundred ","five hundred ","six hundred ","seven hundred ","eight hundred ","nine hundred "),CHOOSE(MID(TEXT(INT(T39),REPT(0,12)),2,1)+1,"",CHOOSE(MID(TEXT(INT(T39),REPT(0,12)),3,1)+1,"ten","eleven","twelve","thirteen","fourteen","fifteen","sixteen","seventeen","eighteen","nineteen"),"twenty","thirty","forty","fifty","sixty","seventy","eighty","ninety"),IF(VALUE(MID(TEXT(INT(T39),REPT(0,12)),2,1))&gt;1,CHOOSE(MID(TEXT(INT(T39),REPT(0,12)),3,1)+1,"","-one","-two","-three","-four","-five","-six","-seven","-eight","-nine"),IF(VALUE(MID(TEXT(INT(T39),REPT(0,12)),2,1))=0,CHOOSE(MID(TEXT(INT(T39),REPT(0,12)),3,1)+1,"","one","two","three","four","five","six","seven","eight","nine"),"")),IF(T39&gt;=10^9," billion ",""),CHOOSE(MID(TEXT(INT(T39),REPT(0,12)),4,1)+1,"","one hundred ","two hundred ","three hundred ","four hundred ","five hundred ","six hundred ","seven hundred ","eight hundred ","nine hundred "),CHOOSE(MID(TEXT(INT(T39),REPT(0,12)),5,1)+1,"",CHOOSE(MID(TEXT(INT(T39),REPT(0,12)),6,1)+1,"ten","eleven","twelve","thirteen","fourteen","fifteen","sixteen","seventeen","eighteen","nineteen"),"twenty","thirty","forty","fifty","sixty","seventy","eighty","ninety"),IF(VALUE(MID(TEXT(INT(T39),REPT(0,12)),5,1))&gt;1,CHOOSE(MID(TEXT(INT(T39),REPT(0,12)),6,1)+1,"","-one","-two","-three","-four","-five","-six","-seven","-eight","-nine"),IF(VALUE(MID(TEXT(INT(T39),REPT(0,12)),5,1))=0,CHOOSE(MID(TEXT(INT(T39),REPT(0,12)),6,1)+1,"","one","two","three","four","five","six","seven","eight","nine"),"")),IF(VALUE(MID(TEXT(INT(T39),REPT(0,12)),4,3))&gt;0," million ",""),CHOOSE(MID(TEXT(INT(T39),REPT(0,12)),7,1)+1,"","one hundred ","two hundred ","three hundred ","four hundred ","five hundred ","six hundred ","seven hundred ","eight hundred ","nine hundred "),CHOOSE(MID(TEXT(INT(T39),REPT(0,12)),8,1)+1,"",CHOOSE(MID(TEXT(INT(T39),REPT(0,12)),9,1)+1,"ten","eleven","twelve","thirteen","fourteen","fifteen","sixteen","seventeen","eighteen","nineteen"),"twenty","thirty","forty","fifty","sixty","seventy","eighty","ninety"),IF(VALUE(MID(TEXT(INT(T39),REPT(0,12)),8,1))&gt;1,CHOOSE(MID(TEXT(INT(T39),REPT(0,12)),9,1)+1,"","-one","-two","-three","-four","-five","-six","-seven","-eight","-nine"),IF(VALUE(MID(TEXT(INT(T39),REPT(0,12)),8,1))=0,CHOOSE(MID(TEXT(INT(T39),REPT(0,12)),9,1)+1,"","one","two","three","four","five","six","seven","eight","nine"),"")),IF(VALUE(MID(TEXT(INT(T39),REPT(0,12)),7,3))," thousand ",""),CHOOSE(MID(TEXT(INT(T39),REPT(0,12)),10,1)+1,"","one hundred ","two hundred ","three hundred ","four hundred ","five hundred ","six hundred ","seven hundred ","eight hundred ","nine hundred "),CHOOSE(MID(TEXT(INT(T39),REPT(0,12)),11,1)+1,"",CHOOSE(MID(TEXT(INT(T39),REPT(0,12)),12,1)+1,"ten","eleven","twelve","thirteen","fourteen","fifteen","sixteen","seventeen","eighteen","nineteen"),"twenty","thirty","forty","fifty","sixty","seventy","eighty","ninety"),IF(VALUE(MID(TEXT(INT(T39),REPT(0,12)),11,1))&gt;1,CHOOSE(MID(TEXT(INT(T39),REPT(0,12)),12,1)+1,"","-one","-two","-three","-four","-five","-six","-seven","-eight","-nine"),IF(VALUE(MID(TEXT(INT(T39),REPT(0,12)),11,1))=0,CHOOSE(MID(TEXT(INT(T39),REPT(0,12)),12,1)+1,"","one","two","three","four","five","six","seven","eight","nine"),""))),"  "," ")&amp;IF(FLOOR(T39,1)&gt;1," PESOS"," dollar"))&amp;IF(ISERROR(FIND(".",T39,1)),""," and "&amp;PROPER(IF(LEN(LEFT(TRIM(MID(SUBSTITUTE([22]Sheet1!A2,".",REPT(" ",255)),255,200)),2))=1,CHOOSE(1*LEFT(TRIM(MID(SUBSTITUTE([22]Sheet1!A2,".",REPT(" ",255)),255,200)),2),"ten","twenty","thirty","forty","fifty","sixty","seventy","eighty","ninety")&amp;" cents","")&amp;CONCATENATE(CHOOSE(MID(TEXT(INT(LEFT(TRIM(MID(SUBSTITUTE([22]Sheet1!A2,".",REPT(" ",255)),255,200)),2)),REPT(0,12)),11,1)+1,"",CHOOSE(MID(TEXT(INT(LEFT(TRIM(MID(SUBSTITUTE([22]Sheet1!A2,".",REPT(" ",255)),255,200)),2)),REPT(0,12)),12,1)+1,"ten","eleven","twelve","thirteen","fourteen","fifteen","sixteen","seventeen","eighteen","nineteen")&amp;" cents","twenty","thirty","forty","fifty","sixty","seventy","eighty","ninety"),IF(VALUE(MID(TEXT(INT(LEFT(TRIM(MID(SUBSTITUTE([22]Sheet1!A2,".",REPT(" ",255)),255,200)),2)),REPT(0,12)),11,1))&gt;1,CHOOSE(MID(TEXT(INT(LEFT(TRIM(MID(SUBSTITUTE([22]Sheet1!A2,".",REPT(" ",255)),255,200)),2)),REPT(0,12)),12,1)+1,"","-one","-two","-three","-four","-five","-six","-seven","-eight","-nine")&amp;" cents",IF(LEFT(TRIM(MID(SUBSTITUTE([22]Sheet1!A2,".",REPT(" ",255)),255,200)),2)="01","one cent",IF(LEFT(TRIM(MID(SUBSTITUTE([22]Sheet1!A2,".",REPT(" ",255)),255,200)),1)="0",CHOOSE(MID(TEXT(INT(LEFT(TRIM(MID(SUBSTITUTE([22]Sheet1!A2,".",REPT(" ",255)),255,200)),2)),REPT(0,12)),12,1)+1,"","one","two","three","four","five","six","seven","eight","nine")&amp;" cents","")))))))</f>
        <v>Fifty Thousand  Pesos</v>
      </c>
      <c r="P39" s="1250"/>
      <c r="Q39" s="1250"/>
      <c r="R39" s="1250"/>
      <c r="S39" s="97" t="s">
        <v>855</v>
      </c>
      <c r="T39" s="83">
        <f>FORM!G24</f>
        <v>50000</v>
      </c>
      <c r="U39" s="97" t="s">
        <v>856</v>
      </c>
    </row>
    <row r="40" spans="1:21" ht="13.5" customHeight="1" x14ac:dyDescent="0.3">
      <c r="A40" s="77"/>
      <c r="C40" s="100"/>
      <c r="D40" s="100"/>
      <c r="E40" s="100"/>
      <c r="F40" s="100"/>
      <c r="G40" s="100"/>
      <c r="H40" s="100"/>
      <c r="I40" s="100"/>
      <c r="J40" s="100"/>
      <c r="K40" s="100"/>
      <c r="L40" s="100"/>
      <c r="M40" s="100"/>
      <c r="N40" s="100"/>
      <c r="O40" s="84"/>
      <c r="P40" s="84"/>
      <c r="Q40" s="84"/>
      <c r="R40" s="84"/>
      <c r="S40" s="97"/>
      <c r="T40" s="85"/>
      <c r="U40" s="97"/>
    </row>
    <row r="41" spans="1:21" ht="13.5" customHeight="1" x14ac:dyDescent="0.3">
      <c r="A41" s="77"/>
      <c r="C41" s="100"/>
      <c r="D41" s="100"/>
      <c r="E41" s="100"/>
      <c r="F41" s="100"/>
      <c r="G41" s="100"/>
      <c r="H41" s="100"/>
      <c r="I41" s="100"/>
      <c r="J41" s="100"/>
      <c r="K41" s="100"/>
      <c r="L41" s="100"/>
      <c r="M41" s="100"/>
      <c r="N41" s="100"/>
      <c r="O41" s="84"/>
      <c r="P41" s="84"/>
      <c r="Q41" s="84"/>
      <c r="R41" s="84"/>
      <c r="S41" s="97"/>
      <c r="T41" s="85"/>
      <c r="U41" s="97"/>
    </row>
    <row r="42" spans="1:21" ht="13.5" customHeight="1" x14ac:dyDescent="0.3">
      <c r="A42" s="77"/>
      <c r="C42" s="100"/>
      <c r="D42" s="100"/>
      <c r="E42" s="100"/>
      <c r="F42" s="100"/>
      <c r="G42" s="100"/>
      <c r="H42" s="100"/>
      <c r="I42" s="100"/>
      <c r="J42" s="100"/>
      <c r="K42" s="100"/>
      <c r="L42" s="100"/>
      <c r="M42" s="100"/>
      <c r="N42" s="100"/>
      <c r="O42" s="84"/>
      <c r="P42" s="84"/>
      <c r="Q42" s="84"/>
      <c r="R42" s="84"/>
      <c r="S42" s="97"/>
      <c r="T42" s="85"/>
      <c r="U42" s="97"/>
    </row>
    <row r="43" spans="1:21" ht="13.5" customHeight="1" x14ac:dyDescent="0.3">
      <c r="A43" s="77"/>
      <c r="C43" s="100"/>
      <c r="D43" s="100"/>
      <c r="E43" s="100"/>
      <c r="F43" s="100"/>
      <c r="G43" s="100"/>
      <c r="H43" s="100"/>
      <c r="I43" s="100"/>
      <c r="J43" s="100"/>
      <c r="K43" s="100"/>
      <c r="L43" s="100"/>
      <c r="M43" s="100"/>
      <c r="N43" s="100"/>
      <c r="O43" s="84"/>
      <c r="P43" s="84"/>
      <c r="Q43" s="84"/>
      <c r="R43" s="84"/>
      <c r="S43" s="97"/>
      <c r="T43" s="85"/>
      <c r="U43" s="97"/>
    </row>
    <row r="44" spans="1:21" ht="13.5" customHeight="1" x14ac:dyDescent="0.3">
      <c r="A44" s="77"/>
      <c r="C44" s="100"/>
      <c r="D44" s="100"/>
      <c r="E44" s="100"/>
      <c r="F44" s="100"/>
      <c r="G44" s="100"/>
      <c r="H44" s="100"/>
      <c r="I44" s="100"/>
      <c r="J44" s="100"/>
      <c r="K44" s="100"/>
      <c r="L44" s="100"/>
      <c r="M44" s="100"/>
      <c r="N44" s="100"/>
      <c r="O44" s="84"/>
      <c r="P44" s="84"/>
      <c r="Q44" s="84"/>
      <c r="R44" s="84"/>
      <c r="S44" s="97"/>
      <c r="T44" s="85"/>
      <c r="U44" s="97"/>
    </row>
    <row r="45" spans="1:21" ht="13.5" customHeight="1" x14ac:dyDescent="0.3">
      <c r="A45" s="77"/>
      <c r="C45" s="100"/>
      <c r="D45" s="100"/>
      <c r="E45" s="100"/>
      <c r="F45" s="100"/>
      <c r="G45" s="100"/>
      <c r="H45" s="100"/>
      <c r="I45" s="100"/>
      <c r="J45" s="100"/>
      <c r="K45" s="100"/>
      <c r="L45" s="100"/>
      <c r="M45" s="100"/>
      <c r="N45" s="100"/>
      <c r="O45" s="84"/>
      <c r="P45" s="84"/>
      <c r="Q45" s="84"/>
      <c r="R45" s="84"/>
      <c r="S45" s="97"/>
      <c r="T45" s="85"/>
      <c r="U45" s="97"/>
    </row>
    <row r="46" spans="1:21" ht="13.5" customHeight="1" x14ac:dyDescent="0.3">
      <c r="A46" s="77"/>
      <c r="C46" s="100"/>
      <c r="D46" s="100"/>
      <c r="E46" s="100"/>
      <c r="F46" s="100"/>
      <c r="G46" s="100"/>
      <c r="H46" s="100"/>
      <c r="I46" s="100"/>
      <c r="J46" s="100"/>
      <c r="K46" s="100"/>
      <c r="L46" s="100"/>
      <c r="M46" s="100"/>
      <c r="N46" s="100"/>
      <c r="O46" s="84"/>
      <c r="P46" s="84"/>
      <c r="Q46" s="84"/>
      <c r="R46" s="84"/>
      <c r="S46" s="97"/>
      <c r="T46" s="85"/>
      <c r="U46" s="97"/>
    </row>
    <row r="47" spans="1:21" ht="13.5" customHeight="1" x14ac:dyDescent="0.3">
      <c r="A47" s="77"/>
      <c r="C47" s="100"/>
      <c r="D47" s="100"/>
      <c r="E47" s="100"/>
      <c r="F47" s="100"/>
      <c r="G47" s="100"/>
      <c r="H47" s="100"/>
      <c r="I47" s="100"/>
      <c r="J47" s="100"/>
      <c r="K47" s="100"/>
      <c r="L47" s="100"/>
      <c r="M47" s="100"/>
      <c r="N47" s="100"/>
      <c r="O47" s="84"/>
      <c r="P47" s="84"/>
      <c r="Q47" s="84"/>
      <c r="R47" s="84"/>
      <c r="S47" s="97"/>
      <c r="T47" s="85"/>
      <c r="U47" s="97"/>
    </row>
    <row r="48" spans="1:21" ht="13.5" customHeight="1" x14ac:dyDescent="0.3">
      <c r="A48" s="77"/>
      <c r="C48" s="100"/>
      <c r="D48" s="100"/>
      <c r="E48" s="100"/>
      <c r="F48" s="100"/>
      <c r="G48" s="100"/>
      <c r="H48" s="100"/>
      <c r="I48" s="100"/>
      <c r="J48" s="100"/>
      <c r="K48" s="100"/>
      <c r="L48" s="100"/>
      <c r="M48" s="100"/>
      <c r="N48" s="100"/>
      <c r="O48" s="84"/>
      <c r="P48" s="84"/>
      <c r="Q48" s="84"/>
      <c r="R48" s="84"/>
      <c r="S48" s="97"/>
      <c r="T48" s="85"/>
      <c r="U48" s="97"/>
    </row>
    <row r="49" spans="1:21" ht="13.5" customHeight="1" x14ac:dyDescent="0.3">
      <c r="A49" s="77"/>
      <c r="C49" s="100"/>
      <c r="D49" s="100"/>
      <c r="E49" s="100"/>
      <c r="F49" s="100"/>
      <c r="G49" s="100"/>
      <c r="H49" s="100"/>
      <c r="I49" s="100"/>
      <c r="J49" s="100"/>
      <c r="K49" s="100"/>
      <c r="L49" s="100"/>
      <c r="M49" s="100"/>
      <c r="N49" s="100"/>
      <c r="O49" s="84"/>
      <c r="P49" s="84"/>
      <c r="Q49" s="84"/>
      <c r="R49" s="84"/>
      <c r="S49" s="97"/>
      <c r="T49" s="85"/>
      <c r="U49" s="97"/>
    </row>
    <row r="50" spans="1:21" ht="13.5" customHeight="1" x14ac:dyDescent="0.3">
      <c r="A50" s="77"/>
      <c r="C50" s="100"/>
      <c r="D50" s="100"/>
      <c r="E50" s="100"/>
      <c r="F50" s="100"/>
      <c r="G50" s="100"/>
      <c r="H50" s="100"/>
      <c r="I50" s="100"/>
      <c r="J50" s="100"/>
      <c r="K50" s="100"/>
      <c r="L50" s="100"/>
      <c r="M50" s="100"/>
      <c r="N50" s="100"/>
      <c r="O50" s="84"/>
      <c r="P50" s="84"/>
      <c r="Q50" s="84"/>
      <c r="R50" s="84"/>
      <c r="S50" s="97"/>
      <c r="T50" s="85"/>
      <c r="U50" s="97"/>
    </row>
    <row r="51" spans="1:21" ht="13.5" customHeight="1" x14ac:dyDescent="0.3">
      <c r="A51" s="77"/>
      <c r="C51" s="100"/>
      <c r="D51" s="100"/>
      <c r="E51" s="100"/>
      <c r="F51" s="100"/>
      <c r="G51" s="100"/>
      <c r="H51" s="100"/>
      <c r="I51" s="100"/>
      <c r="J51" s="100"/>
      <c r="K51" s="100"/>
      <c r="L51" s="100"/>
      <c r="M51" s="100"/>
      <c r="N51" s="100"/>
      <c r="O51" s="84"/>
      <c r="P51" s="84"/>
      <c r="Q51" s="84"/>
      <c r="R51" s="84"/>
      <c r="S51" s="97"/>
      <c r="T51" s="85"/>
      <c r="U51" s="97"/>
    </row>
    <row r="52" spans="1:21" ht="13.5" customHeight="1" x14ac:dyDescent="0.3">
      <c r="A52" s="77"/>
      <c r="C52" s="100"/>
      <c r="D52" s="100"/>
      <c r="E52" s="100"/>
      <c r="F52" s="100"/>
      <c r="G52" s="100"/>
      <c r="H52" s="100"/>
      <c r="I52" s="100"/>
      <c r="J52" s="100"/>
      <c r="K52" s="100"/>
      <c r="L52" s="100"/>
      <c r="M52" s="100"/>
      <c r="N52" s="100"/>
      <c r="O52" s="84"/>
      <c r="P52" s="84"/>
      <c r="Q52" s="84"/>
      <c r="R52" s="84"/>
      <c r="S52" s="97"/>
      <c r="T52" s="85"/>
      <c r="U52" s="97"/>
    </row>
    <row r="53" spans="1:21" ht="13.5" customHeight="1" x14ac:dyDescent="0.3">
      <c r="A53" s="77"/>
      <c r="C53" s="100"/>
      <c r="D53" s="100"/>
      <c r="E53" s="100"/>
      <c r="F53" s="100"/>
      <c r="G53" s="100"/>
      <c r="H53" s="100"/>
      <c r="I53" s="100"/>
      <c r="J53" s="100"/>
      <c r="K53" s="100"/>
      <c r="L53" s="100"/>
      <c r="M53" s="100"/>
      <c r="N53" s="100"/>
      <c r="O53" s="84"/>
      <c r="P53" s="84"/>
      <c r="Q53" s="84"/>
      <c r="R53" s="84"/>
      <c r="S53" s="97"/>
      <c r="T53" s="85"/>
      <c r="U53" s="97"/>
    </row>
    <row r="54" spans="1:21" ht="13.5" customHeight="1" x14ac:dyDescent="0.3">
      <c r="A54" s="77"/>
      <c r="C54" s="100"/>
      <c r="D54" s="100"/>
      <c r="E54" s="100"/>
      <c r="F54" s="100"/>
      <c r="G54" s="100"/>
      <c r="H54" s="100"/>
      <c r="I54" s="100"/>
      <c r="J54" s="100"/>
      <c r="K54" s="100"/>
      <c r="L54" s="100"/>
      <c r="M54" s="100"/>
      <c r="N54" s="100"/>
      <c r="O54" s="84"/>
      <c r="P54" s="84"/>
      <c r="Q54" s="84"/>
      <c r="R54" s="84"/>
      <c r="S54" s="97"/>
      <c r="T54" s="85"/>
      <c r="U54" s="97"/>
    </row>
    <row r="55" spans="1:21" ht="13.5" customHeight="1" x14ac:dyDescent="0.3">
      <c r="A55" s="77"/>
      <c r="C55" s="100"/>
      <c r="D55" s="100"/>
      <c r="E55" s="100"/>
      <c r="F55" s="100"/>
      <c r="G55" s="100"/>
      <c r="H55" s="100"/>
      <c r="I55" s="100"/>
      <c r="J55" s="100"/>
      <c r="K55" s="100"/>
      <c r="L55" s="100"/>
      <c r="M55" s="100"/>
      <c r="N55" s="100"/>
      <c r="O55" s="84"/>
      <c r="P55" s="84"/>
      <c r="Q55" s="84"/>
      <c r="R55" s="84"/>
      <c r="S55" s="97"/>
      <c r="T55" s="85"/>
      <c r="U55" s="97"/>
    </row>
    <row r="56" spans="1:21" ht="13.5" customHeight="1" x14ac:dyDescent="0.3">
      <c r="A56" s="77"/>
      <c r="C56" s="100"/>
      <c r="D56" s="100"/>
      <c r="E56" s="100"/>
      <c r="F56" s="100"/>
      <c r="G56" s="100"/>
      <c r="H56" s="100"/>
      <c r="I56" s="100"/>
      <c r="J56" s="100"/>
      <c r="K56" s="100"/>
      <c r="L56" s="100"/>
      <c r="M56" s="100"/>
      <c r="N56" s="100"/>
      <c r="O56" s="84"/>
      <c r="P56" s="84"/>
      <c r="Q56" s="84"/>
      <c r="R56" s="84"/>
      <c r="S56" s="97"/>
      <c r="T56" s="85"/>
      <c r="U56" s="97"/>
    </row>
    <row r="57" spans="1:21" ht="13.5" customHeight="1" x14ac:dyDescent="0.3">
      <c r="A57" s="77"/>
      <c r="C57" s="100"/>
      <c r="D57" s="100"/>
      <c r="E57" s="100"/>
      <c r="F57" s="100"/>
      <c r="G57" s="100"/>
      <c r="H57" s="100"/>
      <c r="I57" s="100"/>
      <c r="J57" s="100"/>
      <c r="K57" s="100"/>
      <c r="L57" s="100"/>
      <c r="M57" s="100"/>
      <c r="N57" s="100"/>
      <c r="O57" s="84"/>
      <c r="P57" s="84"/>
      <c r="Q57" s="84"/>
      <c r="R57" s="84"/>
      <c r="S57" s="97"/>
      <c r="T57" s="85"/>
      <c r="U57" s="97"/>
    </row>
    <row r="58" spans="1:21" ht="13.5" customHeight="1" x14ac:dyDescent="0.3">
      <c r="A58" s="77"/>
      <c r="C58" s="100"/>
      <c r="D58" s="100"/>
      <c r="E58" s="100"/>
      <c r="F58" s="100"/>
      <c r="G58" s="100"/>
      <c r="H58" s="100"/>
      <c r="I58" s="100"/>
      <c r="J58" s="100"/>
      <c r="K58" s="100"/>
      <c r="L58" s="100"/>
      <c r="M58" s="100"/>
      <c r="N58" s="100"/>
      <c r="O58" s="84"/>
      <c r="P58" s="84"/>
      <c r="Q58" s="84"/>
      <c r="R58" s="84"/>
      <c r="S58" s="97"/>
      <c r="T58" s="85"/>
      <c r="U58" s="97"/>
    </row>
    <row r="59" spans="1:21" ht="13.5" customHeight="1" x14ac:dyDescent="0.3">
      <c r="A59" s="77"/>
      <c r="C59" s="100"/>
      <c r="D59" s="100"/>
      <c r="E59" s="100"/>
      <c r="F59" s="100"/>
      <c r="G59" s="100"/>
      <c r="H59" s="100"/>
      <c r="I59" s="100"/>
      <c r="J59" s="100"/>
      <c r="K59" s="100"/>
      <c r="L59" s="100"/>
      <c r="M59" s="100"/>
      <c r="N59" s="100"/>
      <c r="O59" s="84"/>
      <c r="P59" s="84"/>
      <c r="Q59" s="84"/>
      <c r="R59" s="84"/>
      <c r="S59" s="97"/>
      <c r="T59" s="85"/>
      <c r="U59" s="97"/>
    </row>
    <row r="60" spans="1:21" ht="13.5" customHeight="1" x14ac:dyDescent="0.3">
      <c r="A60" s="77"/>
      <c r="C60" s="100"/>
      <c r="D60" s="100"/>
      <c r="E60" s="100"/>
      <c r="F60" s="100"/>
      <c r="G60" s="100"/>
      <c r="H60" s="100"/>
      <c r="I60" s="100"/>
      <c r="J60" s="100"/>
      <c r="K60" s="100"/>
      <c r="L60" s="100"/>
      <c r="M60" s="100"/>
      <c r="N60" s="100"/>
      <c r="O60" s="84"/>
      <c r="P60" s="84"/>
      <c r="Q60" s="84"/>
      <c r="R60" s="84"/>
      <c r="S60" s="97"/>
      <c r="T60" s="85"/>
      <c r="U60" s="97"/>
    </row>
    <row r="61" spans="1:21" ht="13.5" customHeight="1" x14ac:dyDescent="0.3">
      <c r="A61" s="77"/>
      <c r="C61" s="100"/>
      <c r="D61" s="100"/>
      <c r="E61" s="100"/>
      <c r="F61" s="100"/>
      <c r="G61" s="100"/>
      <c r="H61" s="100"/>
      <c r="I61" s="100"/>
      <c r="J61" s="100"/>
      <c r="K61" s="100"/>
      <c r="L61" s="100"/>
      <c r="M61" s="100"/>
      <c r="N61" s="100"/>
      <c r="O61" s="84"/>
      <c r="P61" s="84"/>
      <c r="Q61" s="84"/>
      <c r="R61" s="84"/>
      <c r="S61" s="97"/>
      <c r="T61" s="85"/>
      <c r="U61" s="97"/>
    </row>
    <row r="62" spans="1:21" ht="13.5" customHeight="1" x14ac:dyDescent="0.3">
      <c r="A62" s="77"/>
      <c r="C62" s="100"/>
      <c r="D62" s="100"/>
      <c r="E62" s="100"/>
      <c r="F62" s="100"/>
      <c r="G62" s="100"/>
      <c r="H62" s="100"/>
      <c r="I62" s="100"/>
      <c r="J62" s="100"/>
      <c r="K62" s="100"/>
      <c r="L62" s="100"/>
      <c r="M62" s="100"/>
      <c r="N62" s="100"/>
      <c r="O62" s="84"/>
      <c r="P62" s="84"/>
      <c r="Q62" s="84"/>
      <c r="R62" s="84"/>
      <c r="S62" s="97"/>
      <c r="T62" s="85"/>
      <c r="U62" s="97"/>
    </row>
    <row r="63" spans="1:21" ht="13.5" customHeight="1" x14ac:dyDescent="0.3">
      <c r="A63" s="77"/>
      <c r="C63" s="100"/>
      <c r="D63" s="100"/>
      <c r="E63" s="100"/>
      <c r="F63" s="100"/>
      <c r="G63" s="100"/>
      <c r="H63" s="100"/>
      <c r="I63" s="100"/>
      <c r="J63" s="100"/>
      <c r="K63" s="100"/>
      <c r="L63" s="100"/>
      <c r="M63" s="100"/>
      <c r="N63" s="100"/>
      <c r="O63" s="84"/>
      <c r="P63" s="84"/>
      <c r="Q63" s="84"/>
      <c r="R63" s="84"/>
      <c r="S63" s="97"/>
      <c r="T63" s="85"/>
      <c r="U63" s="97"/>
    </row>
    <row r="64" spans="1:21" ht="13.5" customHeight="1" x14ac:dyDescent="0.3">
      <c r="A64" s="77"/>
      <c r="C64" s="100"/>
      <c r="D64" s="100"/>
      <c r="E64" s="100"/>
      <c r="F64" s="100"/>
      <c r="G64" s="100"/>
      <c r="H64" s="100"/>
      <c r="I64" s="100"/>
      <c r="J64" s="100"/>
      <c r="K64" s="100"/>
      <c r="L64" s="100"/>
      <c r="M64" s="100"/>
      <c r="N64" s="100"/>
      <c r="O64" s="84"/>
      <c r="P64" s="84"/>
      <c r="Q64" s="84"/>
      <c r="R64" s="84"/>
      <c r="S64" s="97"/>
      <c r="T64" s="85"/>
      <c r="U64" s="97"/>
    </row>
    <row r="65" spans="1:21" ht="13.5" customHeight="1" x14ac:dyDescent="0.3">
      <c r="A65" s="77"/>
      <c r="C65" s="100"/>
      <c r="D65" s="100"/>
      <c r="E65" s="100"/>
      <c r="F65" s="100"/>
      <c r="G65" s="100"/>
      <c r="H65" s="100"/>
      <c r="I65" s="100"/>
      <c r="J65" s="100"/>
      <c r="K65" s="100"/>
      <c r="L65" s="100"/>
      <c r="M65" s="100"/>
      <c r="N65" s="100"/>
      <c r="O65" s="84"/>
      <c r="P65" s="84"/>
      <c r="Q65" s="84"/>
      <c r="R65" s="84"/>
      <c r="S65" s="97"/>
      <c r="T65" s="85"/>
      <c r="U65" s="97"/>
    </row>
    <row r="66" spans="1:21" ht="13.5" customHeight="1" x14ac:dyDescent="0.3">
      <c r="A66" s="77"/>
      <c r="C66" s="100"/>
      <c r="D66" s="100"/>
      <c r="E66" s="100"/>
      <c r="F66" s="100"/>
      <c r="G66" s="100"/>
      <c r="H66" s="100"/>
      <c r="I66" s="100"/>
      <c r="J66" s="100"/>
      <c r="K66" s="100"/>
      <c r="L66" s="100"/>
      <c r="M66" s="100"/>
      <c r="N66" s="100"/>
      <c r="O66" s="84"/>
      <c r="P66" s="84"/>
      <c r="Q66" s="84"/>
      <c r="R66" s="84"/>
      <c r="S66" s="97"/>
      <c r="T66" s="85"/>
      <c r="U66" s="97"/>
    </row>
    <row r="67" spans="1:21" ht="13.5" customHeight="1" x14ac:dyDescent="0.3">
      <c r="A67" s="77"/>
      <c r="C67" s="100"/>
      <c r="D67" s="100"/>
      <c r="E67" s="100"/>
      <c r="F67" s="100"/>
      <c r="G67" s="100"/>
      <c r="H67" s="100"/>
      <c r="I67" s="100"/>
      <c r="J67" s="100"/>
      <c r="K67" s="100"/>
      <c r="L67" s="100"/>
      <c r="M67" s="100"/>
      <c r="N67" s="100"/>
      <c r="O67" s="84"/>
      <c r="P67" s="84"/>
      <c r="Q67" s="84"/>
      <c r="R67" s="84"/>
      <c r="S67" s="97"/>
      <c r="T67" s="85"/>
      <c r="U67" s="97"/>
    </row>
    <row r="68" spans="1:21" ht="13.5" customHeight="1" x14ac:dyDescent="0.3">
      <c r="A68" s="77"/>
      <c r="C68" s="100"/>
      <c r="D68" s="100"/>
      <c r="E68" s="100"/>
      <c r="F68" s="100"/>
      <c r="G68" s="100"/>
      <c r="H68" s="100"/>
      <c r="I68" s="100"/>
      <c r="J68" s="100"/>
      <c r="K68" s="100"/>
      <c r="L68" s="100"/>
      <c r="M68" s="100"/>
      <c r="N68" s="100"/>
      <c r="O68" s="84"/>
      <c r="P68" s="84"/>
      <c r="Q68" s="84"/>
      <c r="R68" s="84"/>
      <c r="S68" s="97"/>
      <c r="T68" s="85"/>
      <c r="U68" s="97"/>
    </row>
    <row r="69" spans="1:21" ht="13.5" customHeight="1" x14ac:dyDescent="0.3">
      <c r="A69" s="77"/>
      <c r="C69" s="100"/>
      <c r="D69" s="100"/>
      <c r="E69" s="100"/>
      <c r="F69" s="100"/>
      <c r="G69" s="100"/>
      <c r="H69" s="100"/>
      <c r="I69" s="100"/>
      <c r="J69" s="100"/>
      <c r="K69" s="100"/>
      <c r="L69" s="100"/>
      <c r="M69" s="100"/>
      <c r="N69" s="100"/>
      <c r="O69" s="84"/>
      <c r="P69" s="84"/>
      <c r="Q69" s="84"/>
      <c r="R69" s="84"/>
      <c r="S69" s="97"/>
      <c r="T69" s="85"/>
      <c r="U69" s="97"/>
    </row>
    <row r="70" spans="1:21" ht="13.5" customHeight="1" x14ac:dyDescent="0.3">
      <c r="A70" s="77"/>
      <c r="C70" s="100"/>
      <c r="D70" s="100"/>
      <c r="E70" s="100"/>
      <c r="F70" s="100"/>
      <c r="G70" s="100"/>
      <c r="H70" s="100"/>
      <c r="I70" s="100"/>
      <c r="J70" s="100"/>
      <c r="K70" s="100"/>
      <c r="L70" s="100"/>
      <c r="M70" s="100"/>
      <c r="N70" s="100"/>
      <c r="O70" s="84"/>
      <c r="P70" s="84"/>
      <c r="Q70" s="84"/>
      <c r="R70" s="84"/>
      <c r="S70" s="97"/>
      <c r="T70" s="85"/>
      <c r="U70" s="97"/>
    </row>
    <row r="71" spans="1:21" ht="13.5" customHeight="1" x14ac:dyDescent="0.3">
      <c r="A71" s="77"/>
      <c r="C71" s="100"/>
      <c r="D71" s="100"/>
      <c r="E71" s="100"/>
      <c r="F71" s="100"/>
      <c r="G71" s="100"/>
      <c r="H71" s="100"/>
      <c r="I71" s="100"/>
      <c r="J71" s="100"/>
      <c r="K71" s="100"/>
      <c r="L71" s="100"/>
      <c r="M71" s="100"/>
      <c r="N71" s="100"/>
      <c r="O71" s="84"/>
      <c r="P71" s="84"/>
      <c r="Q71" s="84"/>
      <c r="R71" s="84"/>
      <c r="S71" s="97"/>
      <c r="T71" s="85"/>
      <c r="U71" s="97"/>
    </row>
    <row r="72" spans="1:21" ht="13.5" customHeight="1" x14ac:dyDescent="0.3">
      <c r="A72" s="77"/>
      <c r="C72" s="100"/>
      <c r="D72" s="100"/>
      <c r="E72" s="100"/>
      <c r="F72" s="100"/>
      <c r="G72" s="100"/>
      <c r="H72" s="100"/>
      <c r="I72" s="100"/>
      <c r="J72" s="100"/>
      <c r="K72" s="100"/>
      <c r="L72" s="100"/>
      <c r="M72" s="100"/>
      <c r="N72" s="100"/>
      <c r="O72" s="84"/>
      <c r="P72" s="84"/>
      <c r="Q72" s="84"/>
      <c r="R72" s="84"/>
      <c r="S72" s="97"/>
      <c r="T72" s="85"/>
      <c r="U72" s="97"/>
    </row>
    <row r="73" spans="1:21" ht="13.5" customHeight="1" x14ac:dyDescent="0.3">
      <c r="A73" s="77"/>
      <c r="C73" s="100"/>
      <c r="D73" s="100"/>
      <c r="E73" s="100"/>
      <c r="F73" s="100"/>
      <c r="G73" s="100"/>
      <c r="H73" s="100"/>
      <c r="I73" s="100"/>
      <c r="J73" s="100"/>
      <c r="K73" s="100"/>
      <c r="L73" s="100"/>
      <c r="M73" s="100"/>
      <c r="N73" s="100"/>
      <c r="O73" s="84"/>
      <c r="P73" s="84"/>
      <c r="Q73" s="84"/>
      <c r="R73" s="84"/>
      <c r="S73" s="97"/>
      <c r="T73" s="85"/>
      <c r="U73" s="97"/>
    </row>
    <row r="74" spans="1:21" ht="13.5" customHeight="1" x14ac:dyDescent="0.3">
      <c r="A74" s="77"/>
      <c r="C74" s="100"/>
      <c r="D74" s="100"/>
      <c r="E74" s="100"/>
      <c r="F74" s="100"/>
      <c r="G74" s="100"/>
      <c r="H74" s="100"/>
      <c r="I74" s="100"/>
      <c r="J74" s="100"/>
      <c r="K74" s="100"/>
      <c r="L74" s="100"/>
      <c r="M74" s="100"/>
      <c r="N74" s="100"/>
      <c r="O74" s="84"/>
      <c r="P74" s="84"/>
      <c r="Q74" s="84"/>
      <c r="R74" s="84"/>
      <c r="S74" s="97"/>
      <c r="T74" s="85"/>
      <c r="U74" s="97"/>
    </row>
    <row r="75" spans="1:21" ht="13.5" customHeight="1" x14ac:dyDescent="0.3">
      <c r="A75" s="77"/>
      <c r="C75" s="100"/>
      <c r="D75" s="100"/>
      <c r="E75" s="100"/>
      <c r="F75" s="100"/>
      <c r="G75" s="100"/>
      <c r="H75" s="100"/>
      <c r="I75" s="100"/>
      <c r="J75" s="100"/>
      <c r="K75" s="100"/>
      <c r="L75" s="100"/>
      <c r="M75" s="100"/>
      <c r="N75" s="100"/>
      <c r="O75" s="84"/>
      <c r="P75" s="84"/>
      <c r="Q75" s="84"/>
      <c r="R75" s="84"/>
      <c r="S75" s="97"/>
      <c r="T75" s="85"/>
      <c r="U75" s="97"/>
    </row>
    <row r="76" spans="1:21" ht="13.5" customHeight="1" x14ac:dyDescent="0.3">
      <c r="A76" s="77"/>
      <c r="C76" s="100"/>
      <c r="D76" s="100"/>
      <c r="E76" s="100"/>
      <c r="F76" s="100"/>
      <c r="G76" s="100"/>
      <c r="H76" s="100"/>
      <c r="I76" s="100"/>
      <c r="J76" s="100"/>
      <c r="K76" s="100"/>
      <c r="L76" s="100"/>
      <c r="M76" s="100"/>
      <c r="N76" s="100"/>
      <c r="O76" s="84"/>
      <c r="P76" s="84"/>
      <c r="Q76" s="84"/>
      <c r="R76" s="84"/>
      <c r="S76" s="97"/>
      <c r="T76" s="85"/>
      <c r="U76" s="97"/>
    </row>
    <row r="77" spans="1:21" ht="13.5" customHeight="1" x14ac:dyDescent="0.3">
      <c r="A77" s="77"/>
      <c r="C77" s="100"/>
      <c r="D77" s="100"/>
      <c r="E77" s="100"/>
      <c r="F77" s="100"/>
      <c r="G77" s="100"/>
      <c r="H77" s="100"/>
      <c r="I77" s="100"/>
      <c r="J77" s="100"/>
      <c r="K77" s="100"/>
      <c r="L77" s="100"/>
      <c r="M77" s="100"/>
      <c r="N77" s="100"/>
      <c r="O77" s="84"/>
      <c r="P77" s="84"/>
      <c r="Q77" s="84"/>
      <c r="R77" s="84"/>
      <c r="S77" s="97"/>
      <c r="T77" s="85"/>
      <c r="U77" s="97"/>
    </row>
    <row r="78" spans="1:21" x14ac:dyDescent="0.3">
      <c r="A78" s="77"/>
      <c r="C78" s="100"/>
      <c r="D78" s="100"/>
      <c r="E78" s="100"/>
      <c r="F78" s="100"/>
      <c r="G78" s="100"/>
      <c r="H78" s="100"/>
      <c r="I78" s="100"/>
      <c r="J78" s="100"/>
      <c r="K78" s="100"/>
      <c r="L78" s="100"/>
      <c r="M78" s="100"/>
      <c r="N78" s="100"/>
      <c r="O78" s="84"/>
      <c r="P78" s="84"/>
      <c r="Q78" s="84"/>
      <c r="R78" s="84"/>
      <c r="S78" s="97"/>
      <c r="T78" s="85"/>
      <c r="U78" s="97"/>
    </row>
    <row r="79" spans="1:21" x14ac:dyDescent="0.3">
      <c r="A79" s="77"/>
      <c r="C79" s="100"/>
      <c r="D79" s="100"/>
      <c r="E79" s="100"/>
      <c r="F79" s="100"/>
      <c r="G79" s="100"/>
      <c r="H79" s="100"/>
      <c r="I79" s="100"/>
      <c r="J79" s="100"/>
      <c r="K79" s="100"/>
      <c r="L79" s="100"/>
      <c r="M79" s="100"/>
      <c r="N79" s="100"/>
      <c r="O79" s="84"/>
      <c r="P79" s="84"/>
      <c r="Q79" s="84"/>
      <c r="R79" s="84"/>
      <c r="S79" s="97"/>
      <c r="T79" s="85"/>
      <c r="U79" s="97"/>
    </row>
    <row r="80" spans="1:21" x14ac:dyDescent="0.3">
      <c r="A80" s="77"/>
      <c r="C80" s="100"/>
      <c r="D80" s="100"/>
      <c r="E80" s="100"/>
      <c r="F80" s="100"/>
      <c r="G80" s="100"/>
      <c r="H80" s="100"/>
      <c r="I80" s="100"/>
      <c r="J80" s="100"/>
      <c r="K80" s="100"/>
      <c r="L80" s="100"/>
      <c r="M80" s="100"/>
      <c r="N80" s="100"/>
      <c r="O80" s="84"/>
      <c r="P80" s="84"/>
      <c r="Q80" s="84"/>
      <c r="R80" s="84"/>
      <c r="S80" s="97"/>
      <c r="T80" s="85"/>
      <c r="U80" s="97"/>
    </row>
    <row r="81" spans="1:21" x14ac:dyDescent="0.3">
      <c r="A81" s="77"/>
      <c r="C81" s="100"/>
      <c r="D81" s="100"/>
      <c r="E81" s="100"/>
      <c r="F81" s="100"/>
      <c r="G81" s="100"/>
      <c r="H81" s="100"/>
      <c r="I81" s="100"/>
      <c r="J81" s="100"/>
      <c r="K81" s="100"/>
      <c r="L81" s="100"/>
      <c r="M81" s="100"/>
      <c r="N81" s="100"/>
      <c r="O81" s="84"/>
      <c r="P81" s="84"/>
      <c r="Q81" s="84"/>
      <c r="R81" s="84"/>
      <c r="S81" s="97"/>
      <c r="T81" s="85"/>
      <c r="U81" s="97"/>
    </row>
    <row r="82" spans="1:21" x14ac:dyDescent="0.3">
      <c r="A82" s="77"/>
      <c r="C82" s="100"/>
      <c r="D82" s="100"/>
      <c r="E82" s="100"/>
      <c r="F82" s="100"/>
      <c r="G82" s="100"/>
      <c r="H82" s="100"/>
      <c r="I82" s="100"/>
      <c r="J82" s="100"/>
      <c r="K82" s="100"/>
      <c r="L82" s="100"/>
      <c r="M82" s="100"/>
      <c r="N82" s="100"/>
      <c r="O82" s="84"/>
      <c r="P82" s="84"/>
      <c r="Q82" s="84"/>
      <c r="R82" s="84"/>
      <c r="S82" s="97"/>
      <c r="T82" s="85"/>
      <c r="U82" s="97"/>
    </row>
    <row r="83" spans="1:21" ht="6.75" customHeight="1" x14ac:dyDescent="0.3">
      <c r="A83" s="50"/>
      <c r="B83" s="50"/>
      <c r="C83" s="50"/>
      <c r="D83" s="50"/>
      <c r="E83" s="50"/>
      <c r="F83" s="50"/>
      <c r="G83" s="50"/>
      <c r="H83" s="50"/>
      <c r="I83" s="50"/>
      <c r="J83" s="50"/>
      <c r="K83" s="50"/>
      <c r="L83" s="50"/>
      <c r="M83" s="50"/>
      <c r="N83" s="50"/>
      <c r="O83" s="50"/>
      <c r="P83" s="50"/>
      <c r="Q83" s="50"/>
      <c r="R83" s="50"/>
      <c r="S83" s="50"/>
      <c r="T83" s="50"/>
      <c r="U83" s="50"/>
    </row>
    <row r="84" spans="1:21" x14ac:dyDescent="0.3">
      <c r="A84" s="64"/>
      <c r="B84" s="65" t="s">
        <v>857</v>
      </c>
      <c r="C84" s="66"/>
      <c r="D84" s="66"/>
      <c r="E84" s="66"/>
      <c r="F84" s="66"/>
      <c r="G84" s="66"/>
      <c r="H84" s="66"/>
      <c r="I84" s="66"/>
      <c r="J84" s="66"/>
      <c r="K84" s="66"/>
      <c r="L84" s="66"/>
      <c r="M84" s="66"/>
      <c r="N84" s="66"/>
      <c r="O84" s="66"/>
      <c r="P84" s="66"/>
      <c r="Q84" s="66"/>
      <c r="R84" s="66"/>
      <c r="S84" s="66"/>
      <c r="T84" s="66"/>
      <c r="U84" s="67"/>
    </row>
    <row r="85" spans="1:21" ht="6.75" customHeight="1" x14ac:dyDescent="0.3">
      <c r="A85" s="68"/>
      <c r="B85" s="63"/>
      <c r="C85" s="63"/>
      <c r="D85" s="63"/>
      <c r="E85" s="63"/>
      <c r="F85" s="63"/>
      <c r="G85" s="63"/>
      <c r="H85" s="63"/>
      <c r="I85" s="63"/>
      <c r="J85" s="63"/>
      <c r="K85" s="63"/>
      <c r="L85" s="63"/>
      <c r="M85" s="63"/>
      <c r="N85" s="63"/>
      <c r="O85" s="63"/>
      <c r="P85" s="63"/>
      <c r="Q85" s="63"/>
      <c r="R85" s="63"/>
      <c r="S85" s="63"/>
      <c r="T85" s="63"/>
      <c r="U85" s="69"/>
    </row>
    <row r="86" spans="1:21" x14ac:dyDescent="0.3">
      <c r="A86" s="338"/>
      <c r="B86" s="340"/>
      <c r="C86" s="341" t="s">
        <v>858</v>
      </c>
      <c r="D86" s="340"/>
      <c r="E86" s="340"/>
      <c r="F86" s="340"/>
      <c r="G86" s="340"/>
      <c r="H86" s="340"/>
      <c r="I86" s="340"/>
      <c r="J86" s="340"/>
      <c r="K86" s="341" t="s">
        <v>859</v>
      </c>
      <c r="L86" s="340"/>
      <c r="M86" s="340"/>
      <c r="N86" s="340"/>
      <c r="O86" s="340"/>
      <c r="P86" s="340"/>
      <c r="Q86" s="340"/>
      <c r="R86" s="341" t="s">
        <v>860</v>
      </c>
      <c r="S86" s="341"/>
      <c r="T86" s="341"/>
      <c r="U86" s="69"/>
    </row>
    <row r="87" spans="1:21" x14ac:dyDescent="0.3">
      <c r="A87" s="338"/>
      <c r="B87" s="339"/>
      <c r="C87" s="63" t="s">
        <v>861</v>
      </c>
      <c r="D87" s="340"/>
      <c r="E87" s="1248"/>
      <c r="F87" s="1248"/>
      <c r="G87" s="1248"/>
      <c r="H87" s="340"/>
      <c r="I87" s="340"/>
      <c r="J87" s="339"/>
      <c r="K87" s="63" t="s">
        <v>862</v>
      </c>
      <c r="L87" s="340"/>
      <c r="M87" s="1248"/>
      <c r="N87" s="1248"/>
      <c r="O87" s="1248"/>
      <c r="P87" s="340"/>
      <c r="Q87" s="339"/>
      <c r="R87" s="63" t="s">
        <v>863</v>
      </c>
      <c r="S87" s="1248"/>
      <c r="T87" s="1248"/>
      <c r="U87" s="69"/>
    </row>
    <row r="88" spans="1:21" x14ac:dyDescent="0.3">
      <c r="A88" s="338"/>
      <c r="B88" s="339"/>
      <c r="C88" s="63" t="s">
        <v>864</v>
      </c>
      <c r="D88" s="340"/>
      <c r="E88" s="1249"/>
      <c r="F88" s="1249"/>
      <c r="G88" s="1249"/>
      <c r="H88" s="340"/>
      <c r="I88" s="340"/>
      <c r="J88" s="339"/>
      <c r="K88" s="63" t="s">
        <v>865</v>
      </c>
      <c r="L88" s="340"/>
      <c r="M88" s="1248"/>
      <c r="N88" s="1248"/>
      <c r="O88" s="1248"/>
      <c r="P88" s="340"/>
      <c r="Q88" s="339"/>
      <c r="R88" s="63" t="s">
        <v>866</v>
      </c>
      <c r="S88" s="1248"/>
      <c r="T88" s="1248"/>
      <c r="U88" s="69"/>
    </row>
    <row r="89" spans="1:21" x14ac:dyDescent="0.3">
      <c r="A89" s="338"/>
      <c r="B89" s="340"/>
      <c r="C89" s="340"/>
      <c r="D89" s="340"/>
      <c r="E89" s="340"/>
      <c r="F89" s="340"/>
      <c r="G89" s="340"/>
      <c r="H89" s="340"/>
      <c r="I89" s="340"/>
      <c r="J89" s="340"/>
      <c r="K89" s="340"/>
      <c r="L89" s="340"/>
      <c r="M89" s="340"/>
      <c r="N89" s="340"/>
      <c r="O89" s="340"/>
      <c r="P89" s="340"/>
      <c r="Q89" s="339"/>
      <c r="R89" s="63" t="s">
        <v>867</v>
      </c>
      <c r="S89" s="1248"/>
      <c r="T89" s="1248"/>
      <c r="U89" s="69"/>
    </row>
    <row r="90" spans="1:21" ht="6" customHeight="1" x14ac:dyDescent="0.3">
      <c r="A90" s="71"/>
      <c r="B90" s="72"/>
      <c r="C90" s="72"/>
      <c r="D90" s="72"/>
      <c r="E90" s="72"/>
      <c r="F90" s="72"/>
      <c r="G90" s="72"/>
      <c r="H90" s="72"/>
      <c r="I90" s="72"/>
      <c r="J90" s="72"/>
      <c r="K90" s="72"/>
      <c r="L90" s="72"/>
      <c r="M90" s="72"/>
      <c r="N90" s="72"/>
      <c r="O90" s="72"/>
      <c r="P90" s="72"/>
      <c r="Q90" s="72"/>
      <c r="R90" s="72"/>
      <c r="S90" s="72"/>
      <c r="T90" s="72"/>
      <c r="U90" s="73"/>
    </row>
    <row r="92" spans="1:21" x14ac:dyDescent="0.3">
      <c r="A92" s="1183" t="s">
        <v>821</v>
      </c>
      <c r="B92" s="1184"/>
      <c r="C92" s="1184"/>
      <c r="D92" s="1184"/>
      <c r="E92" s="1184"/>
      <c r="F92" s="1184"/>
      <c r="G92" s="1184"/>
      <c r="H92" s="1184"/>
      <c r="I92" s="1184"/>
      <c r="J92" s="1184"/>
      <c r="K92" s="1184"/>
      <c r="L92" s="1184"/>
      <c r="M92" s="1184"/>
      <c r="N92" s="1184"/>
      <c r="O92" s="1184"/>
      <c r="P92" s="1184"/>
      <c r="Q92" s="1184"/>
      <c r="R92" s="1184"/>
      <c r="S92" s="1184"/>
      <c r="T92" s="1184"/>
      <c r="U92" s="1185"/>
    </row>
    <row r="93" spans="1:21" x14ac:dyDescent="0.3">
      <c r="A93" s="1186" t="s">
        <v>822</v>
      </c>
      <c r="B93" s="1186"/>
      <c r="C93" s="1186"/>
      <c r="D93" s="1186"/>
      <c r="E93" s="1186"/>
      <c r="F93" s="1186"/>
      <c r="G93" s="1186"/>
      <c r="H93" s="1186"/>
      <c r="I93" s="1186" t="s">
        <v>823</v>
      </c>
      <c r="J93" s="1186"/>
      <c r="K93" s="1186"/>
      <c r="L93" s="1186"/>
      <c r="M93" s="1186"/>
      <c r="N93" s="1186"/>
      <c r="O93" s="1186"/>
      <c r="P93" s="1187" t="s">
        <v>824</v>
      </c>
      <c r="Q93" s="1187"/>
      <c r="R93" s="1187"/>
      <c r="S93" s="1187"/>
      <c r="T93" s="1187"/>
      <c r="U93" s="1187"/>
    </row>
    <row r="94" spans="1:21" x14ac:dyDescent="0.3">
      <c r="A94" s="1182" t="str">
        <f>RA_Standard!A97</f>
        <v>Brokerage/Realty</v>
      </c>
      <c r="B94" s="1182"/>
      <c r="C94" s="1182"/>
      <c r="D94" s="1182"/>
      <c r="E94" s="1182"/>
      <c r="F94" s="1182"/>
      <c r="G94" s="1182"/>
      <c r="H94" s="1182"/>
      <c r="I94" s="1244">
        <f>LOI_SC30D!I55</f>
        <v>0</v>
      </c>
      <c r="J94" s="1244"/>
      <c r="K94" s="1244"/>
      <c r="L94" s="1244"/>
      <c r="M94" s="1244"/>
      <c r="N94" s="1244"/>
      <c r="O94" s="1244"/>
      <c r="P94" s="1244">
        <f>LOI_SC30D!P55</f>
        <v>0</v>
      </c>
      <c r="Q94" s="1244"/>
      <c r="R94" s="1244"/>
      <c r="S94" s="1244"/>
      <c r="T94" s="1244"/>
      <c r="U94" s="1244"/>
    </row>
    <row r="95" spans="1:21" x14ac:dyDescent="0.3">
      <c r="A95" s="1182" t="str">
        <f>RA_Standard!A98</f>
        <v xml:space="preserve">Broker Head / AVP </v>
      </c>
      <c r="B95" s="1182"/>
      <c r="C95" s="1182"/>
      <c r="D95" s="1182"/>
      <c r="E95" s="1182"/>
      <c r="F95" s="1182"/>
      <c r="G95" s="1182"/>
      <c r="H95" s="1182"/>
      <c r="I95" s="1244">
        <f>LOI_SC30D!I56</f>
        <v>0</v>
      </c>
      <c r="J95" s="1244"/>
      <c r="K95" s="1244"/>
      <c r="L95" s="1244"/>
      <c r="M95" s="1244"/>
      <c r="N95" s="1244"/>
      <c r="O95" s="1244"/>
      <c r="P95" s="1244">
        <f>LOI_SC30D!P56</f>
        <v>0</v>
      </c>
      <c r="Q95" s="1244"/>
      <c r="R95" s="1244"/>
      <c r="S95" s="1244"/>
      <c r="T95" s="1244"/>
      <c r="U95" s="1244"/>
    </row>
    <row r="96" spans="1:21" x14ac:dyDescent="0.3">
      <c r="A96" s="1182" t="str">
        <f>RA_Standard!A99</f>
        <v>Sales Manager</v>
      </c>
      <c r="B96" s="1182"/>
      <c r="C96" s="1182"/>
      <c r="D96" s="1182"/>
      <c r="E96" s="1182"/>
      <c r="F96" s="1182"/>
      <c r="G96" s="1182"/>
      <c r="H96" s="1182"/>
      <c r="I96" s="1244">
        <f>LOI_SC30D!I57</f>
        <v>0</v>
      </c>
      <c r="J96" s="1244"/>
      <c r="K96" s="1244"/>
      <c r="L96" s="1244"/>
      <c r="M96" s="1244"/>
      <c r="N96" s="1244"/>
      <c r="O96" s="1244"/>
      <c r="P96" s="1244">
        <f>LOI_SC30D!P57</f>
        <v>0</v>
      </c>
      <c r="Q96" s="1244"/>
      <c r="R96" s="1244"/>
      <c r="S96" s="1244"/>
      <c r="T96" s="1244"/>
      <c r="U96" s="1244"/>
    </row>
    <row r="97" spans="1:21" x14ac:dyDescent="0.3">
      <c r="A97" s="1182" t="str">
        <f>RA_Standard!A100</f>
        <v>Sales Agent / Property Consultant</v>
      </c>
      <c r="B97" s="1182"/>
      <c r="C97" s="1182"/>
      <c r="D97" s="1182"/>
      <c r="E97" s="1182"/>
      <c r="F97" s="1182"/>
      <c r="G97" s="1182"/>
      <c r="H97" s="1182"/>
      <c r="I97" s="1244">
        <f>LOI_SC30D!I58</f>
        <v>0</v>
      </c>
      <c r="J97" s="1244"/>
      <c r="K97" s="1244"/>
      <c r="L97" s="1244"/>
      <c r="M97" s="1244"/>
      <c r="N97" s="1244"/>
      <c r="O97" s="1244"/>
      <c r="P97" s="1244">
        <f>LOI_SC30D!P58</f>
        <v>0</v>
      </c>
      <c r="Q97" s="1244"/>
      <c r="R97" s="1244"/>
      <c r="S97" s="1244"/>
      <c r="T97" s="1244"/>
      <c r="U97" s="1244"/>
    </row>
    <row r="100" spans="1:21" x14ac:dyDescent="0.3">
      <c r="A100" s="1251" t="s">
        <v>868</v>
      </c>
      <c r="B100" s="1251"/>
      <c r="C100" s="1251"/>
      <c r="D100" s="1251"/>
      <c r="E100" s="1251"/>
      <c r="F100" s="1251"/>
      <c r="G100" s="1251"/>
      <c r="H100" s="1251"/>
      <c r="I100" s="1251"/>
      <c r="J100" s="1251"/>
      <c r="K100" s="1251"/>
      <c r="L100" s="1251"/>
      <c r="M100" s="1251"/>
      <c r="N100" s="1251"/>
      <c r="O100" s="1251"/>
      <c r="P100" s="1251"/>
      <c r="Q100" s="1251"/>
      <c r="R100" s="1251"/>
      <c r="S100" s="1251"/>
      <c r="T100" s="1251"/>
      <c r="U100" s="1251"/>
    </row>
    <row r="111" spans="1:21" x14ac:dyDescent="0.3">
      <c r="I111" s="1240">
        <f>E2</f>
        <v>0</v>
      </c>
      <c r="J111" s="1240"/>
      <c r="K111" s="1240"/>
      <c r="L111" s="1240"/>
      <c r="M111" s="1240"/>
      <c r="N111" s="1240"/>
      <c r="O111" s="1240"/>
      <c r="P111" s="1240"/>
      <c r="Q111" s="1240"/>
    </row>
    <row r="112" spans="1:21" ht="25.5" customHeight="1" x14ac:dyDescent="0.3">
      <c r="A112" s="1245" t="s">
        <v>869</v>
      </c>
      <c r="B112" s="1245"/>
      <c r="C112" s="1245"/>
      <c r="D112" s="1245"/>
      <c r="E112" s="1245"/>
      <c r="F112" s="1245"/>
      <c r="G112" s="1245"/>
      <c r="H112" s="1245"/>
      <c r="I112" s="1245"/>
      <c r="J112" s="1245"/>
      <c r="K112" s="1245"/>
      <c r="L112" s="1245"/>
      <c r="M112" s="1245"/>
      <c r="N112" s="1245"/>
      <c r="O112" s="1245"/>
      <c r="P112" s="1245"/>
      <c r="Q112" s="1245"/>
      <c r="R112" s="1245"/>
      <c r="S112" s="1245"/>
      <c r="T112" s="1245"/>
      <c r="U112" s="1245"/>
    </row>
    <row r="113" spans="1:21" x14ac:dyDescent="0.3">
      <c r="A113" s="21"/>
      <c r="B113" s="21"/>
      <c r="C113" s="21"/>
      <c r="D113" s="21"/>
      <c r="E113" s="21"/>
      <c r="F113" s="21"/>
      <c r="G113" s="21"/>
      <c r="H113" s="21"/>
      <c r="I113" s="21"/>
      <c r="J113" s="21"/>
      <c r="K113" s="21"/>
      <c r="L113" s="21"/>
      <c r="M113" s="21"/>
      <c r="N113" s="21"/>
      <c r="O113" s="21"/>
      <c r="P113" s="21"/>
      <c r="Q113" s="21"/>
      <c r="R113" s="21"/>
      <c r="S113" s="21"/>
      <c r="T113" s="21"/>
      <c r="U113" s="21"/>
    </row>
    <row r="114" spans="1:21" x14ac:dyDescent="0.3">
      <c r="A114" s="21"/>
      <c r="B114" s="21"/>
      <c r="C114" s="21"/>
      <c r="D114" s="21"/>
      <c r="E114" s="21"/>
      <c r="F114" s="21"/>
      <c r="G114" s="21"/>
      <c r="H114" s="21"/>
      <c r="I114" s="21"/>
      <c r="J114" s="21"/>
      <c r="K114" s="21"/>
      <c r="L114" s="21"/>
      <c r="M114" s="21"/>
      <c r="N114" s="21"/>
      <c r="O114" s="21"/>
      <c r="P114" s="21"/>
      <c r="Q114" s="21"/>
      <c r="R114" s="21"/>
      <c r="S114" s="21"/>
      <c r="T114" s="21"/>
      <c r="U114" s="21"/>
    </row>
    <row r="115" spans="1:21" x14ac:dyDescent="0.3">
      <c r="A115" s="1239" t="s">
        <v>870</v>
      </c>
      <c r="B115" s="1239"/>
      <c r="C115" s="1239"/>
      <c r="D115" s="1239"/>
      <c r="E115" s="1239"/>
      <c r="F115" s="1239"/>
      <c r="G115" s="1239"/>
      <c r="H115" s="1239"/>
      <c r="I115" s="1239"/>
      <c r="J115" s="1239"/>
      <c r="K115" s="1239"/>
      <c r="L115" s="1239"/>
      <c r="M115" s="1239"/>
      <c r="N115" s="1239"/>
      <c r="O115" s="1239"/>
      <c r="P115" s="1239"/>
      <c r="Q115" s="1239"/>
      <c r="R115" s="1239"/>
      <c r="S115" s="1239"/>
      <c r="T115" s="1239"/>
      <c r="U115" s="1239"/>
    </row>
    <row r="116" spans="1:21" ht="21.75" customHeight="1" x14ac:dyDescent="0.3">
      <c r="A116" s="1238" t="str">
        <f>H7</f>
        <v>WEE COMMUNITY DEVELOPERS, INC.</v>
      </c>
      <c r="B116" s="1238"/>
      <c r="C116" s="1238"/>
      <c r="D116" s="1238"/>
      <c r="E116" s="1238"/>
      <c r="F116" s="1238"/>
      <c r="G116" s="1238"/>
      <c r="H116" s="1238"/>
      <c r="I116" s="1238"/>
      <c r="J116" s="1238"/>
      <c r="K116" s="1238"/>
      <c r="L116" s="1238"/>
      <c r="M116" s="1238"/>
      <c r="N116" s="1238"/>
      <c r="O116" s="1238"/>
      <c r="P116" s="1238"/>
      <c r="Q116" s="1238"/>
      <c r="R116" s="1238"/>
      <c r="S116" s="1238"/>
      <c r="T116" s="1238"/>
      <c r="U116" s="1238"/>
    </row>
    <row r="117" spans="1:21" x14ac:dyDescent="0.3">
      <c r="A117" s="21"/>
      <c r="B117" s="21"/>
      <c r="C117" s="21"/>
      <c r="D117" s="21"/>
      <c r="E117" s="21"/>
      <c r="F117" s="21"/>
      <c r="G117" s="21"/>
      <c r="H117" s="21"/>
      <c r="I117" s="21"/>
      <c r="J117" s="21"/>
      <c r="K117" s="21"/>
      <c r="L117" s="21"/>
      <c r="M117" s="21"/>
      <c r="N117" s="21"/>
      <c r="O117" s="21"/>
      <c r="P117" s="21"/>
      <c r="Q117" s="21"/>
      <c r="R117" s="21"/>
      <c r="S117" s="21"/>
      <c r="T117" s="21"/>
      <c r="U117" s="21"/>
    </row>
    <row r="118" spans="1:21" x14ac:dyDescent="0.3">
      <c r="A118" s="21"/>
      <c r="B118" s="21"/>
      <c r="C118" s="21"/>
      <c r="D118" s="21"/>
      <c r="E118" s="21"/>
      <c r="F118" s="21"/>
      <c r="G118" s="21"/>
      <c r="H118" s="21"/>
      <c r="I118" s="22"/>
      <c r="J118" s="22"/>
      <c r="K118" s="22"/>
      <c r="L118" s="22"/>
      <c r="M118" s="22"/>
      <c r="N118" s="22"/>
      <c r="O118" s="22"/>
      <c r="P118" s="22"/>
      <c r="Q118" s="22"/>
      <c r="R118" s="21"/>
      <c r="S118" s="21"/>
      <c r="T118" s="21"/>
      <c r="U118" s="21"/>
    </row>
    <row r="122" spans="1:21" x14ac:dyDescent="0.3">
      <c r="I122" s="56"/>
    </row>
  </sheetData>
  <sheetProtection sheet="1" formatCells="0" formatColumns="0" formatRows="0" selectLockedCells="1"/>
  <mergeCells count="73">
    <mergeCell ref="D23:E23"/>
    <mergeCell ref="J23:L23"/>
    <mergeCell ref="P23:Q23"/>
    <mergeCell ref="D22:E22"/>
    <mergeCell ref="R23:S24"/>
    <mergeCell ref="D24:F24"/>
    <mergeCell ref="J24:L24"/>
    <mergeCell ref="P24:Q24"/>
    <mergeCell ref="I30:U30"/>
    <mergeCell ref="A19:F19"/>
    <mergeCell ref="G19:L19"/>
    <mergeCell ref="M19:Q19"/>
    <mergeCell ref="R19:U19"/>
    <mergeCell ref="D20:F20"/>
    <mergeCell ref="J20:L20"/>
    <mergeCell ref="P20:Q20"/>
    <mergeCell ref="T20:U20"/>
    <mergeCell ref="R20:S20"/>
    <mergeCell ref="D21:E21"/>
    <mergeCell ref="J21:L21"/>
    <mergeCell ref="P21:Q21"/>
    <mergeCell ref="T21:U21"/>
    <mergeCell ref="I26:U26"/>
    <mergeCell ref="J22:L22"/>
    <mergeCell ref="A9:P9"/>
    <mergeCell ref="I10:U10"/>
    <mergeCell ref="M11:U11"/>
    <mergeCell ref="K12:U12"/>
    <mergeCell ref="E15:T15"/>
    <mergeCell ref="A3:Q3"/>
    <mergeCell ref="A4:U5"/>
    <mergeCell ref="A8:U8"/>
    <mergeCell ref="E2:Q2"/>
    <mergeCell ref="H7:O7"/>
    <mergeCell ref="R21:S21"/>
    <mergeCell ref="R22:S22"/>
    <mergeCell ref="I28:U28"/>
    <mergeCell ref="I29:U29"/>
    <mergeCell ref="P22:Q22"/>
    <mergeCell ref="T22:U22"/>
    <mergeCell ref="T23:U24"/>
    <mergeCell ref="I27:U27"/>
    <mergeCell ref="I31:U31"/>
    <mergeCell ref="C39:N39"/>
    <mergeCell ref="A93:H93"/>
    <mergeCell ref="I93:O93"/>
    <mergeCell ref="P93:U93"/>
    <mergeCell ref="O39:R39"/>
    <mergeCell ref="E87:G87"/>
    <mergeCell ref="E88:G88"/>
    <mergeCell ref="A92:U92"/>
    <mergeCell ref="S87:T87"/>
    <mergeCell ref="S88:T88"/>
    <mergeCell ref="S89:T89"/>
    <mergeCell ref="M87:O87"/>
    <mergeCell ref="M88:O88"/>
    <mergeCell ref="A94:H94"/>
    <mergeCell ref="I94:O94"/>
    <mergeCell ref="P94:U94"/>
    <mergeCell ref="A95:H95"/>
    <mergeCell ref="I95:O95"/>
    <mergeCell ref="P95:U95"/>
    <mergeCell ref="A96:H96"/>
    <mergeCell ref="I96:O96"/>
    <mergeCell ref="P96:U96"/>
    <mergeCell ref="A116:U116"/>
    <mergeCell ref="A97:H97"/>
    <mergeCell ref="I97:O97"/>
    <mergeCell ref="P97:U97"/>
    <mergeCell ref="A112:U112"/>
    <mergeCell ref="A115:U115"/>
    <mergeCell ref="I111:Q111"/>
    <mergeCell ref="A100:U100"/>
  </mergeCells>
  <pageMargins left="0.51181102362204722" right="0.51181102362204722" top="1.1811023622047245" bottom="0.74803149606299213" header="0.31496062992125984" footer="0.31496062992125984"/>
  <pageSetup paperSize="14" scale="86" orientation="portrait" r:id="rId1"/>
  <headerFooter>
    <oddHeader xml:space="preserve">&amp;R
&amp;"Century Gothic,Bold"&amp;18RESERVATION AGREEMENT
</oddHeader>
    <oddFooter>&amp;C&amp;"Century Gothic,Regular"&amp;8Page &amp;P of &amp;N</oddFooter>
  </headerFooter>
  <rowBreaks count="1" manualBreakCount="1">
    <brk id="60" max="20" man="1"/>
  </rowBreaks>
  <drawing r:id="rId2"/>
  <legacyDrawing r:id="rId3"/>
  <mc:AlternateContent xmlns:mc="http://schemas.openxmlformats.org/markup-compatibility/2006">
    <mc:Choice Requires="x14">
      <controls>
        <mc:AlternateContent xmlns:mc="http://schemas.openxmlformats.org/markup-compatibility/2006">
          <mc:Choice Requires="x14">
            <control shapeId="18445" r:id="rId4" name="Check Box 13">
              <controlPr defaultSize="0" autoFill="0" autoLine="0" autoPict="0">
                <anchor moveWithCells="1">
                  <from>
                    <xdr:col>2</xdr:col>
                    <xdr:colOff>38100</xdr:colOff>
                    <xdr:row>34</xdr:row>
                    <xdr:rowOff>19050</xdr:rowOff>
                  </from>
                  <to>
                    <xdr:col>2</xdr:col>
                    <xdr:colOff>285750</xdr:colOff>
                    <xdr:row>35</xdr:row>
                    <xdr:rowOff>19050</xdr:rowOff>
                  </to>
                </anchor>
              </controlPr>
            </control>
          </mc:Choice>
        </mc:AlternateContent>
        <mc:AlternateContent xmlns:mc="http://schemas.openxmlformats.org/markup-compatibility/2006">
          <mc:Choice Requires="x14">
            <control shapeId="18447" r:id="rId5" name="Check Box 15">
              <controlPr defaultSize="0" autoFill="0" autoLine="0" autoPict="0">
                <anchor moveWithCells="1">
                  <from>
                    <xdr:col>11</xdr:col>
                    <xdr:colOff>190500</xdr:colOff>
                    <xdr:row>34</xdr:row>
                    <xdr:rowOff>0</xdr:rowOff>
                  </from>
                  <to>
                    <xdr:col>12</xdr:col>
                    <xdr:colOff>19050</xdr:colOff>
                    <xdr:row>35</xdr:row>
                    <xdr:rowOff>19050</xdr:rowOff>
                  </to>
                </anchor>
              </controlPr>
            </control>
          </mc:Choice>
        </mc:AlternateContent>
        <mc:AlternateContent xmlns:mc="http://schemas.openxmlformats.org/markup-compatibility/2006">
          <mc:Choice Requires="x14">
            <control shapeId="18448" r:id="rId6" name="Check Box 16">
              <controlPr defaultSize="0" autoFill="0" autoLine="0" autoPict="0">
                <anchor moveWithCells="1">
                  <from>
                    <xdr:col>2</xdr:col>
                    <xdr:colOff>257175</xdr:colOff>
                    <xdr:row>16</xdr:row>
                    <xdr:rowOff>0</xdr:rowOff>
                  </from>
                  <to>
                    <xdr:col>3</xdr:col>
                    <xdr:colOff>171450</xdr:colOff>
                    <xdr:row>17</xdr:row>
                    <xdr:rowOff>19050</xdr:rowOff>
                  </to>
                </anchor>
              </controlPr>
            </control>
          </mc:Choice>
        </mc:AlternateContent>
        <mc:AlternateContent xmlns:mc="http://schemas.openxmlformats.org/markup-compatibility/2006">
          <mc:Choice Requires="x14">
            <control shapeId="18449" r:id="rId7" name="Check Box 17">
              <controlPr defaultSize="0" autoFill="0" autoLine="0" autoPict="0">
                <anchor moveWithCells="1">
                  <from>
                    <xdr:col>2</xdr:col>
                    <xdr:colOff>257175</xdr:colOff>
                    <xdr:row>15</xdr:row>
                    <xdr:rowOff>19050</xdr:rowOff>
                  </from>
                  <to>
                    <xdr:col>3</xdr:col>
                    <xdr:colOff>171450</xdr:colOff>
                    <xdr:row>16</xdr:row>
                    <xdr:rowOff>19050</xdr:rowOff>
                  </to>
                </anchor>
              </controlPr>
            </control>
          </mc:Choice>
        </mc:AlternateContent>
        <mc:AlternateContent xmlns:mc="http://schemas.openxmlformats.org/markup-compatibility/2006">
          <mc:Choice Requires="x14">
            <control shapeId="18450" r:id="rId8" name="Check Box 18">
              <controlPr defaultSize="0" autoFill="0" autoLine="0" autoPict="0">
                <anchor moveWithCells="1">
                  <from>
                    <xdr:col>10</xdr:col>
                    <xdr:colOff>133350</xdr:colOff>
                    <xdr:row>15</xdr:row>
                    <xdr:rowOff>209550</xdr:rowOff>
                  </from>
                  <to>
                    <xdr:col>11</xdr:col>
                    <xdr:colOff>28575</xdr:colOff>
                    <xdr:row>17</xdr:row>
                    <xdr:rowOff>0</xdr:rowOff>
                  </to>
                </anchor>
              </controlPr>
            </control>
          </mc:Choice>
        </mc:AlternateContent>
        <mc:AlternateContent xmlns:mc="http://schemas.openxmlformats.org/markup-compatibility/2006">
          <mc:Choice Requires="x14">
            <control shapeId="18451" r:id="rId9" name="Check Box 19">
              <controlPr defaultSize="0" autoFill="0" autoLine="0" autoPict="0">
                <anchor moveWithCells="1">
                  <from>
                    <xdr:col>10</xdr:col>
                    <xdr:colOff>133350</xdr:colOff>
                    <xdr:row>15</xdr:row>
                    <xdr:rowOff>0</xdr:rowOff>
                  </from>
                  <to>
                    <xdr:col>11</xdr:col>
                    <xdr:colOff>28575</xdr:colOff>
                    <xdr:row>16</xdr:row>
                    <xdr:rowOff>19050</xdr:rowOff>
                  </to>
                </anchor>
              </controlPr>
            </control>
          </mc:Choice>
        </mc:AlternateContent>
        <mc:AlternateContent xmlns:mc="http://schemas.openxmlformats.org/markup-compatibility/2006">
          <mc:Choice Requires="x14">
            <control shapeId="18452" r:id="rId10" name="Check Box 20">
              <controlPr defaultSize="0" autoFill="0" autoLine="0" autoPict="0">
                <anchor moveWithCells="1">
                  <from>
                    <xdr:col>17</xdr:col>
                    <xdr:colOff>1057275</xdr:colOff>
                    <xdr:row>15</xdr:row>
                    <xdr:rowOff>19050</xdr:rowOff>
                  </from>
                  <to>
                    <xdr:col>19</xdr:col>
                    <xdr:colOff>28575</xdr:colOff>
                    <xdr:row>16</xdr:row>
                    <xdr:rowOff>19050</xdr:rowOff>
                  </to>
                </anchor>
              </controlPr>
            </control>
          </mc:Choice>
        </mc:AlternateContent>
        <mc:AlternateContent xmlns:mc="http://schemas.openxmlformats.org/markup-compatibility/2006">
          <mc:Choice Requires="x14">
            <control shapeId="18453" r:id="rId11" name="Check Box 21">
              <controlPr defaultSize="0" autoFill="0" autoLine="0" autoPict="0">
                <anchor moveWithCells="1">
                  <from>
                    <xdr:col>0</xdr:col>
                    <xdr:colOff>66675</xdr:colOff>
                    <xdr:row>84</xdr:row>
                    <xdr:rowOff>66675</xdr:rowOff>
                  </from>
                  <to>
                    <xdr:col>2</xdr:col>
                    <xdr:colOff>19050</xdr:colOff>
                    <xdr:row>86</xdr:row>
                    <xdr:rowOff>0</xdr:rowOff>
                  </to>
                </anchor>
              </controlPr>
            </control>
          </mc:Choice>
        </mc:AlternateContent>
        <mc:AlternateContent xmlns:mc="http://schemas.openxmlformats.org/markup-compatibility/2006">
          <mc:Choice Requires="x14">
            <control shapeId="18454" r:id="rId12" name="Check Box 22">
              <controlPr defaultSize="0" autoFill="0" autoLine="0" autoPict="0">
                <anchor moveWithCells="1">
                  <from>
                    <xdr:col>9</xdr:col>
                    <xdr:colOff>19050</xdr:colOff>
                    <xdr:row>85</xdr:row>
                    <xdr:rowOff>0</xdr:rowOff>
                  </from>
                  <to>
                    <xdr:col>10</xdr:col>
                    <xdr:colOff>0</xdr:colOff>
                    <xdr:row>86</xdr:row>
                    <xdr:rowOff>0</xdr:rowOff>
                  </to>
                </anchor>
              </controlPr>
            </control>
          </mc:Choice>
        </mc:AlternateContent>
        <mc:AlternateContent xmlns:mc="http://schemas.openxmlformats.org/markup-compatibility/2006">
          <mc:Choice Requires="x14">
            <control shapeId="18455" r:id="rId13" name="Check Box 23">
              <controlPr defaultSize="0" autoFill="0" autoLine="0" autoPict="0">
                <anchor moveWithCells="1">
                  <from>
                    <xdr:col>16</xdr:col>
                    <xdr:colOff>142875</xdr:colOff>
                    <xdr:row>85</xdr:row>
                    <xdr:rowOff>0</xdr:rowOff>
                  </from>
                  <to>
                    <xdr:col>17</xdr:col>
                    <xdr:colOff>0</xdr:colOff>
                    <xdr:row>86</xdr:row>
                    <xdr:rowOff>19050</xdr:rowOff>
                  </to>
                </anchor>
              </controlPr>
            </control>
          </mc:Choice>
        </mc:AlternateContent>
        <mc:AlternateContent xmlns:mc="http://schemas.openxmlformats.org/markup-compatibility/2006">
          <mc:Choice Requires="x14">
            <control shapeId="18456" r:id="rId14" name="Check Box 24">
              <controlPr defaultSize="0" autoFill="0" autoLine="0" autoPict="0">
                <anchor moveWithCells="1">
                  <from>
                    <xdr:col>17</xdr:col>
                    <xdr:colOff>1057275</xdr:colOff>
                    <xdr:row>15</xdr:row>
                    <xdr:rowOff>209550</xdr:rowOff>
                  </from>
                  <to>
                    <xdr:col>19</xdr:col>
                    <xdr:colOff>28575</xdr:colOff>
                    <xdr:row>17</xdr:row>
                    <xdr:rowOff>0</xdr:rowOff>
                  </to>
                </anchor>
              </controlPr>
            </control>
          </mc:Choice>
        </mc:AlternateContent>
        <mc:AlternateContent xmlns:mc="http://schemas.openxmlformats.org/markup-compatibility/2006">
          <mc:Choice Requires="x14">
            <control shapeId="18457" r:id="rId15" name="Check Box 25">
              <controlPr defaultSize="0" autoFill="0" autoLine="0" autoPict="0">
                <anchor moveWithCells="1">
                  <from>
                    <xdr:col>17</xdr:col>
                    <xdr:colOff>866775</xdr:colOff>
                    <xdr:row>34</xdr:row>
                    <xdr:rowOff>0</xdr:rowOff>
                  </from>
                  <to>
                    <xdr:col>18</xdr:col>
                    <xdr:colOff>28575</xdr:colOff>
                    <xdr:row>35</xdr:row>
                    <xdr:rowOff>19050</xdr:rowOff>
                  </to>
                </anchor>
              </controlPr>
            </control>
          </mc:Choice>
        </mc:AlternateContent>
        <mc:AlternateContent xmlns:mc="http://schemas.openxmlformats.org/markup-compatibility/2006">
          <mc:Choice Requires="x14">
            <control shapeId="18459" r:id="rId16" name="Check Box 27">
              <controlPr defaultSize="0" autoFill="0" autoLine="0" autoPict="0">
                <anchor moveWithCells="1">
                  <from>
                    <xdr:col>0</xdr:col>
                    <xdr:colOff>95250</xdr:colOff>
                    <xdr:row>86</xdr:row>
                    <xdr:rowOff>0</xdr:rowOff>
                  </from>
                  <to>
                    <xdr:col>2</xdr:col>
                    <xdr:colOff>57150</xdr:colOff>
                    <xdr:row>87</xdr:row>
                    <xdr:rowOff>0</xdr:rowOff>
                  </to>
                </anchor>
              </controlPr>
            </control>
          </mc:Choice>
        </mc:AlternateContent>
        <mc:AlternateContent xmlns:mc="http://schemas.openxmlformats.org/markup-compatibility/2006">
          <mc:Choice Requires="x14">
            <control shapeId="18460" r:id="rId17" name="Check Box 28">
              <controlPr defaultSize="0" autoFill="0" autoLine="0" autoPict="0">
                <anchor moveWithCells="1">
                  <from>
                    <xdr:col>0</xdr:col>
                    <xdr:colOff>95250</xdr:colOff>
                    <xdr:row>86</xdr:row>
                    <xdr:rowOff>209550</xdr:rowOff>
                  </from>
                  <to>
                    <xdr:col>2</xdr:col>
                    <xdr:colOff>57150</xdr:colOff>
                    <xdr:row>88</xdr:row>
                    <xdr:rowOff>0</xdr:rowOff>
                  </to>
                </anchor>
              </controlPr>
            </control>
          </mc:Choice>
        </mc:AlternateContent>
        <mc:AlternateContent xmlns:mc="http://schemas.openxmlformats.org/markup-compatibility/2006">
          <mc:Choice Requires="x14">
            <control shapeId="18461" r:id="rId18" name="Check Box 29">
              <controlPr defaultSize="0" autoFill="0" autoLine="0" autoPict="0">
                <anchor moveWithCells="1">
                  <from>
                    <xdr:col>9</xdr:col>
                    <xdr:colOff>57150</xdr:colOff>
                    <xdr:row>86</xdr:row>
                    <xdr:rowOff>0</xdr:rowOff>
                  </from>
                  <to>
                    <xdr:col>10</xdr:col>
                    <xdr:colOff>38100</xdr:colOff>
                    <xdr:row>87</xdr:row>
                    <xdr:rowOff>0</xdr:rowOff>
                  </to>
                </anchor>
              </controlPr>
            </control>
          </mc:Choice>
        </mc:AlternateContent>
        <mc:AlternateContent xmlns:mc="http://schemas.openxmlformats.org/markup-compatibility/2006">
          <mc:Choice Requires="x14">
            <control shapeId="18462" r:id="rId19" name="Check Box 30">
              <controlPr defaultSize="0" autoFill="0" autoLine="0" autoPict="0">
                <anchor moveWithCells="1">
                  <from>
                    <xdr:col>9</xdr:col>
                    <xdr:colOff>57150</xdr:colOff>
                    <xdr:row>86</xdr:row>
                    <xdr:rowOff>171450</xdr:rowOff>
                  </from>
                  <to>
                    <xdr:col>10</xdr:col>
                    <xdr:colOff>38100</xdr:colOff>
                    <xdr:row>88</xdr:row>
                    <xdr:rowOff>0</xdr:rowOff>
                  </to>
                </anchor>
              </controlPr>
            </control>
          </mc:Choice>
        </mc:AlternateContent>
        <mc:AlternateContent xmlns:mc="http://schemas.openxmlformats.org/markup-compatibility/2006">
          <mc:Choice Requires="x14">
            <control shapeId="18463" r:id="rId20" name="Check Box 31">
              <controlPr defaultSize="0" autoFill="0" autoLine="0" autoPict="0">
                <anchor moveWithCells="1">
                  <from>
                    <xdr:col>16</xdr:col>
                    <xdr:colOff>171450</xdr:colOff>
                    <xdr:row>86</xdr:row>
                    <xdr:rowOff>0</xdr:rowOff>
                  </from>
                  <to>
                    <xdr:col>17</xdr:col>
                    <xdr:colOff>28575</xdr:colOff>
                    <xdr:row>87</xdr:row>
                    <xdr:rowOff>0</xdr:rowOff>
                  </to>
                </anchor>
              </controlPr>
            </control>
          </mc:Choice>
        </mc:AlternateContent>
        <mc:AlternateContent xmlns:mc="http://schemas.openxmlformats.org/markup-compatibility/2006">
          <mc:Choice Requires="x14">
            <control shapeId="18464" r:id="rId21" name="Check Box 32">
              <controlPr defaultSize="0" autoFill="0" autoLine="0" autoPict="0">
                <anchor moveWithCells="1">
                  <from>
                    <xdr:col>16</xdr:col>
                    <xdr:colOff>171450</xdr:colOff>
                    <xdr:row>86</xdr:row>
                    <xdr:rowOff>209550</xdr:rowOff>
                  </from>
                  <to>
                    <xdr:col>17</xdr:col>
                    <xdr:colOff>28575</xdr:colOff>
                    <xdr:row>88</xdr:row>
                    <xdr:rowOff>0</xdr:rowOff>
                  </to>
                </anchor>
              </controlPr>
            </control>
          </mc:Choice>
        </mc:AlternateContent>
        <mc:AlternateContent xmlns:mc="http://schemas.openxmlformats.org/markup-compatibility/2006">
          <mc:Choice Requires="x14">
            <control shapeId="18465" r:id="rId22" name="Check Box 33">
              <controlPr defaultSize="0" autoFill="0" autoLine="0" autoPict="0">
                <anchor moveWithCells="1">
                  <from>
                    <xdr:col>16</xdr:col>
                    <xdr:colOff>171450</xdr:colOff>
                    <xdr:row>87</xdr:row>
                    <xdr:rowOff>190500</xdr:rowOff>
                  </from>
                  <to>
                    <xdr:col>17</xdr:col>
                    <xdr:colOff>28575</xdr:colOff>
                    <xdr:row>89</xdr:row>
                    <xdr:rowOff>0</xdr:rowOff>
                  </to>
                </anchor>
              </controlPr>
            </control>
          </mc:Choice>
        </mc:AlternateContent>
      </controls>
    </mc:Choice>
  </mc:AlternateContent>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117207-302C-415E-A7F4-09E1B33C3ECF}">
  <sheetPr codeName="Sheet32"/>
  <dimension ref="A1:U80"/>
  <sheetViews>
    <sheetView showGridLines="0" showZeros="0" view="pageBreakPreview" topLeftCell="A13" zoomScale="115" zoomScaleNormal="100" zoomScaleSheetLayoutView="115" workbookViewId="0">
      <selection activeCell="X25" sqref="X25"/>
    </sheetView>
  </sheetViews>
  <sheetFormatPr defaultColWidth="9.28515625" defaultRowHeight="16.5" x14ac:dyDescent="0.3"/>
  <cols>
    <col min="1" max="1" width="3.28515625" style="5" customWidth="1"/>
    <col min="2" max="2" width="1.28515625" style="5" customWidth="1"/>
    <col min="3" max="3" width="4.5703125" style="5" customWidth="1"/>
    <col min="4" max="4" width="2.7109375" style="5" customWidth="1"/>
    <col min="5" max="5" width="7" style="5" customWidth="1"/>
    <col min="6" max="6" width="4.28515625" style="5" customWidth="1"/>
    <col min="7" max="7" width="3.42578125" style="5" customWidth="1"/>
    <col min="8" max="8" width="3.28515625" style="5" customWidth="1"/>
    <col min="9" max="9" width="5.28515625" style="5" customWidth="1"/>
    <col min="10" max="10" width="3.28515625" style="5" customWidth="1"/>
    <col min="11" max="11" width="4.7109375" style="5" customWidth="1"/>
    <col min="12" max="12" width="5.7109375" style="5" customWidth="1"/>
    <col min="13" max="13" width="7" style="5" customWidth="1"/>
    <col min="14" max="14" width="3.28515625" style="5" customWidth="1"/>
    <col min="15" max="15" width="4.42578125" style="5" customWidth="1"/>
    <col min="16" max="16" width="7" style="5" customWidth="1"/>
    <col min="17" max="17" width="5.28515625" style="5" customWidth="1"/>
    <col min="18" max="18" width="15.7109375" style="5" customWidth="1"/>
    <col min="19" max="19" width="2.42578125" style="5" customWidth="1"/>
    <col min="20" max="20" width="12.7109375" style="5" customWidth="1"/>
    <col min="21" max="21" width="1.28515625" style="5" customWidth="1"/>
    <col min="22" max="16384" width="9.28515625" style="5"/>
  </cols>
  <sheetData>
    <row r="1" spans="1:21" ht="7.5" customHeight="1" x14ac:dyDescent="0.3">
      <c r="U1" s="58"/>
    </row>
    <row r="2" spans="1:21" s="18" customFormat="1" ht="14.25" x14ac:dyDescent="0.3">
      <c r="A2" s="18" t="s">
        <v>778</v>
      </c>
      <c r="C2" s="1227">
        <f>FORM!G22</f>
        <v>45870</v>
      </c>
      <c r="D2" s="1227"/>
      <c r="E2" s="1227"/>
      <c r="F2" s="1227"/>
    </row>
    <row r="3" spans="1:21" s="18" customFormat="1" ht="13.5" x14ac:dyDescent="0.3"/>
    <row r="4" spans="1:21" s="18" customFormat="1" ht="14.25" x14ac:dyDescent="0.3">
      <c r="A4" s="655" t="s">
        <v>779</v>
      </c>
    </row>
    <row r="5" spans="1:21" s="18" customFormat="1" ht="9" customHeight="1" x14ac:dyDescent="0.3"/>
    <row r="6" spans="1:21" s="18" customFormat="1" ht="16.5" customHeight="1" x14ac:dyDescent="0.3">
      <c r="A6" s="1228" t="s">
        <v>780</v>
      </c>
      <c r="B6" s="1228"/>
      <c r="C6" s="1228"/>
      <c r="D6" s="1228"/>
      <c r="E6" s="1228"/>
      <c r="F6" s="1228"/>
      <c r="G6" s="1228"/>
      <c r="H6" s="1228"/>
      <c r="I6" s="1228"/>
      <c r="J6" s="1228"/>
      <c r="K6" s="1228"/>
      <c r="L6" s="1228"/>
      <c r="M6" s="1228"/>
      <c r="N6" s="1228"/>
      <c r="O6" s="1228"/>
      <c r="P6" s="1228"/>
      <c r="Q6" s="1228"/>
      <c r="R6" s="1228"/>
      <c r="S6" s="1228"/>
      <c r="T6" s="1228"/>
      <c r="U6" s="1228"/>
    </row>
    <row r="7" spans="1:21" ht="8.25" customHeight="1" x14ac:dyDescent="0.3">
      <c r="A7" s="21"/>
      <c r="B7" s="21"/>
      <c r="C7" s="21"/>
      <c r="D7" s="21"/>
      <c r="E7" s="21"/>
      <c r="F7" s="21"/>
      <c r="G7" s="21"/>
      <c r="H7" s="21"/>
      <c r="I7" s="21"/>
      <c r="J7" s="21"/>
      <c r="K7" s="21"/>
      <c r="L7" s="21"/>
      <c r="M7" s="21"/>
      <c r="N7" s="21"/>
      <c r="O7" s="21"/>
      <c r="P7" s="21"/>
      <c r="Q7" s="21"/>
      <c r="R7" s="21"/>
      <c r="S7" s="21"/>
      <c r="T7" s="21"/>
      <c r="U7" s="21"/>
    </row>
    <row r="8" spans="1:21" x14ac:dyDescent="0.3">
      <c r="A8" s="25" t="s">
        <v>781</v>
      </c>
      <c r="B8" s="26"/>
      <c r="C8" s="26"/>
      <c r="D8" s="24"/>
      <c r="E8" s="1229" t="str">
        <f>FORM!G11</f>
        <v>WEECOMM CENTRE</v>
      </c>
      <c r="F8" s="1229"/>
      <c r="G8" s="1229"/>
      <c r="H8" s="1229"/>
      <c r="I8" s="1229"/>
      <c r="J8" s="1229"/>
      <c r="K8" s="1229"/>
      <c r="L8" s="1229"/>
      <c r="M8" s="1229"/>
      <c r="N8" s="1229"/>
      <c r="O8" s="1229"/>
      <c r="P8" s="1229"/>
      <c r="Q8" s="1229"/>
      <c r="R8" s="1229"/>
      <c r="S8" s="1229"/>
      <c r="T8" s="1229"/>
      <c r="U8" s="62"/>
    </row>
    <row r="9" spans="1:21" x14ac:dyDescent="0.3">
      <c r="A9" s="27" t="s">
        <v>782</v>
      </c>
      <c r="B9" s="28"/>
      <c r="C9" s="28"/>
      <c r="D9" s="29"/>
      <c r="E9" s="30" t="s">
        <v>783</v>
      </c>
      <c r="F9" s="29"/>
      <c r="G9" s="29"/>
      <c r="H9" s="29"/>
      <c r="I9" s="29"/>
      <c r="J9" s="29"/>
      <c r="K9" s="29"/>
      <c r="L9" s="60"/>
      <c r="M9" s="29"/>
      <c r="N9" s="29"/>
      <c r="O9" s="29"/>
      <c r="P9" s="29"/>
      <c r="Q9" s="29"/>
      <c r="R9" s="29"/>
      <c r="S9" s="29"/>
      <c r="T9" s="30"/>
      <c r="U9" s="59"/>
    </row>
    <row r="10" spans="1:21" x14ac:dyDescent="0.3">
      <c r="A10" s="31"/>
      <c r="B10" s="8"/>
      <c r="C10" s="8"/>
      <c r="D10" s="8"/>
      <c r="E10" s="32"/>
      <c r="F10" s="8"/>
      <c r="G10" s="8"/>
      <c r="H10" s="8"/>
      <c r="I10" s="8"/>
      <c r="J10" s="8"/>
      <c r="K10" s="8"/>
      <c r="L10" s="32"/>
      <c r="M10" s="8"/>
      <c r="N10" s="8"/>
      <c r="O10" s="8"/>
      <c r="P10" s="8"/>
      <c r="Q10" s="8"/>
      <c r="R10" s="8"/>
      <c r="S10" s="8"/>
      <c r="T10" s="32"/>
      <c r="U10" s="33"/>
    </row>
    <row r="11" spans="1:21" ht="7.5" customHeight="1" x14ac:dyDescent="0.3">
      <c r="T11" s="5" t="s">
        <v>660</v>
      </c>
    </row>
    <row r="12" spans="1:21" x14ac:dyDescent="0.3">
      <c r="A12" s="1230" t="s">
        <v>784</v>
      </c>
      <c r="B12" s="1231"/>
      <c r="C12" s="1231"/>
      <c r="D12" s="1231"/>
      <c r="E12" s="1231"/>
      <c r="F12" s="1232"/>
      <c r="G12" s="1230" t="s">
        <v>267</v>
      </c>
      <c r="H12" s="1231"/>
      <c r="I12" s="1231"/>
      <c r="J12" s="1231"/>
      <c r="K12" s="1231"/>
      <c r="L12" s="1232"/>
      <c r="M12" s="1230" t="s">
        <v>785</v>
      </c>
      <c r="N12" s="1231"/>
      <c r="O12" s="1231"/>
      <c r="P12" s="1231"/>
      <c r="Q12" s="1232"/>
      <c r="R12" s="1230" t="s">
        <v>786</v>
      </c>
      <c r="S12" s="1231"/>
      <c r="T12" s="1231"/>
      <c r="U12" s="1232"/>
    </row>
    <row r="13" spans="1:21" x14ac:dyDescent="0.3">
      <c r="A13" s="40" t="s">
        <v>787</v>
      </c>
      <c r="B13" s="41"/>
      <c r="C13" s="41"/>
      <c r="D13" s="1193">
        <f>RA_Standard!D21</f>
        <v>1</v>
      </c>
      <c r="E13" s="1194"/>
      <c r="F13" s="1195"/>
      <c r="G13" s="40" t="s">
        <v>787</v>
      </c>
      <c r="H13" s="41"/>
      <c r="I13" s="42"/>
      <c r="J13" s="1207"/>
      <c r="K13" s="1208"/>
      <c r="L13" s="1209"/>
      <c r="M13" s="40" t="s">
        <v>788</v>
      </c>
      <c r="N13" s="41"/>
      <c r="O13" s="42"/>
      <c r="P13" s="1210"/>
      <c r="Q13" s="1197"/>
      <c r="R13" s="1211" t="s">
        <v>787</v>
      </c>
      <c r="S13" s="1212"/>
      <c r="T13" s="1213"/>
      <c r="U13" s="1214"/>
    </row>
    <row r="14" spans="1:21" x14ac:dyDescent="0.3">
      <c r="A14" s="36" t="s">
        <v>789</v>
      </c>
      <c r="B14" s="37"/>
      <c r="C14" s="37"/>
      <c r="D14" s="1193" t="str">
        <f>RA_Standard!D22</f>
        <v>GF</v>
      </c>
      <c r="E14" s="1194"/>
      <c r="F14" s="1195"/>
      <c r="G14" s="40" t="s">
        <v>790</v>
      </c>
      <c r="H14" s="41"/>
      <c r="I14" s="42"/>
      <c r="J14" s="1207"/>
      <c r="K14" s="1208"/>
      <c r="L14" s="1209"/>
      <c r="M14" s="40" t="s">
        <v>791</v>
      </c>
      <c r="N14" s="41"/>
      <c r="O14" s="42"/>
      <c r="P14" s="1210"/>
      <c r="Q14" s="1197"/>
      <c r="R14" s="1211" t="s">
        <v>792</v>
      </c>
      <c r="S14" s="1212"/>
      <c r="T14" s="1213"/>
      <c r="U14" s="1214"/>
    </row>
    <row r="15" spans="1:21" x14ac:dyDescent="0.3">
      <c r="A15" s="40" t="s">
        <v>792</v>
      </c>
      <c r="B15" s="41"/>
      <c r="C15" s="42"/>
      <c r="D15" s="1193" t="str">
        <f>RA_Standard!D23</f>
        <v>9G</v>
      </c>
      <c r="E15" s="1194"/>
      <c r="F15" s="1195"/>
      <c r="G15" s="40" t="s">
        <v>793</v>
      </c>
      <c r="H15" s="41"/>
      <c r="I15" s="42"/>
      <c r="J15" s="1207"/>
      <c r="K15" s="1208"/>
      <c r="L15" s="1209"/>
      <c r="M15" s="40" t="s">
        <v>794</v>
      </c>
      <c r="N15" s="41"/>
      <c r="O15" s="42"/>
      <c r="P15" s="1210"/>
      <c r="Q15" s="1197"/>
      <c r="R15" s="1211" t="s">
        <v>795</v>
      </c>
      <c r="S15" s="1212"/>
      <c r="T15" s="1213"/>
      <c r="U15" s="1214"/>
    </row>
    <row r="16" spans="1:21" ht="16.5" customHeight="1" x14ac:dyDescent="0.3">
      <c r="A16" s="36" t="s">
        <v>80</v>
      </c>
      <c r="B16" s="40"/>
      <c r="C16" s="42"/>
      <c r="D16" s="1193">
        <f>RA_Standard!D24</f>
        <v>108.78</v>
      </c>
      <c r="E16" s="1194"/>
      <c r="F16" s="1195"/>
      <c r="G16" s="40" t="s">
        <v>795</v>
      </c>
      <c r="H16" s="41"/>
      <c r="I16" s="42"/>
      <c r="J16" s="1207"/>
      <c r="K16" s="1208"/>
      <c r="L16" s="1209"/>
      <c r="M16" s="36" t="s">
        <v>80</v>
      </c>
      <c r="N16" s="37"/>
      <c r="O16" s="37"/>
      <c r="P16" s="1196"/>
      <c r="Q16" s="1197"/>
      <c r="R16" s="1215" t="s">
        <v>796</v>
      </c>
      <c r="S16" s="1216"/>
      <c r="T16" s="1221"/>
      <c r="U16" s="1222"/>
    </row>
    <row r="17" spans="1:21" ht="16.5" customHeight="1" x14ac:dyDescent="0.3">
      <c r="A17" s="40" t="s">
        <v>797</v>
      </c>
      <c r="B17" s="37"/>
      <c r="C17" s="37"/>
      <c r="D17" s="1193" t="str">
        <f>RA_Standard!D25</f>
        <v>2-BR BARE</v>
      </c>
      <c r="E17" s="1194"/>
      <c r="F17" s="1195"/>
      <c r="G17" s="40" t="s">
        <v>798</v>
      </c>
      <c r="H17" s="41"/>
      <c r="I17" s="42"/>
      <c r="J17" s="698"/>
      <c r="K17" s="699"/>
      <c r="L17" s="700"/>
      <c r="M17" s="36" t="s">
        <v>799</v>
      </c>
      <c r="N17" s="37"/>
      <c r="O17" s="37"/>
      <c r="P17" s="1196"/>
      <c r="Q17" s="1197"/>
      <c r="R17" s="1217"/>
      <c r="S17" s="1218"/>
      <c r="T17" s="1223"/>
      <c r="U17" s="1224"/>
    </row>
    <row r="18" spans="1:21" x14ac:dyDescent="0.3">
      <c r="B18"/>
      <c r="C18"/>
      <c r="D18"/>
      <c r="E18"/>
      <c r="F18"/>
      <c r="G18"/>
      <c r="H18"/>
      <c r="I18"/>
      <c r="J18"/>
      <c r="K18"/>
      <c r="L18"/>
      <c r="M18" s="40" t="s">
        <v>800</v>
      </c>
      <c r="N18" s="41"/>
      <c r="O18" s="42"/>
      <c r="P18" s="1198"/>
      <c r="Q18" s="1195"/>
      <c r="R18" s="1219"/>
      <c r="S18" s="1220"/>
      <c r="T18" s="1225"/>
      <c r="U18" s="1226"/>
    </row>
    <row r="19" spans="1:21" ht="7.5" customHeight="1" x14ac:dyDescent="0.3"/>
    <row r="20" spans="1:21" x14ac:dyDescent="0.3">
      <c r="A20" s="40" t="s">
        <v>37</v>
      </c>
      <c r="B20" s="41"/>
      <c r="C20" s="41"/>
      <c r="D20" s="41"/>
      <c r="E20" s="41"/>
      <c r="F20" s="41"/>
      <c r="G20" s="41"/>
      <c r="H20" s="42"/>
      <c r="I20" s="1199">
        <f>RA_SC60D!I26</f>
        <v>20466686.730335645</v>
      </c>
      <c r="J20" s="1200"/>
      <c r="K20" s="1200"/>
      <c r="L20" s="1200"/>
      <c r="M20" s="1200"/>
      <c r="N20" s="1200"/>
      <c r="O20" s="1200"/>
      <c r="P20" s="1200"/>
      <c r="Q20" s="1200"/>
      <c r="R20" s="1200"/>
      <c r="S20" s="1200"/>
      <c r="T20" s="1200"/>
      <c r="U20" s="1201"/>
    </row>
    <row r="21" spans="1:21" x14ac:dyDescent="0.3">
      <c r="A21" s="40" t="s">
        <v>801</v>
      </c>
      <c r="B21" s="41"/>
      <c r="C21" s="43"/>
      <c r="D21" s="43"/>
      <c r="E21" s="43"/>
      <c r="F21" s="43"/>
      <c r="G21" s="43"/>
      <c r="H21" s="44"/>
      <c r="I21" s="1199">
        <f>RA_SC60D!I27</f>
        <v>0</v>
      </c>
      <c r="J21" s="1200"/>
      <c r="K21" s="1200"/>
      <c r="L21" s="1200"/>
      <c r="M21" s="1200"/>
      <c r="N21" s="1200"/>
      <c r="O21" s="1200"/>
      <c r="P21" s="1200"/>
      <c r="Q21" s="1200"/>
      <c r="R21" s="1200"/>
      <c r="S21" s="1200"/>
      <c r="T21" s="1200"/>
      <c r="U21" s="1201"/>
    </row>
    <row r="22" spans="1:21" x14ac:dyDescent="0.3">
      <c r="A22" s="52" t="s">
        <v>92</v>
      </c>
      <c r="B22" s="53"/>
      <c r="C22" s="54"/>
      <c r="D22" s="54"/>
      <c r="E22" s="54"/>
      <c r="F22" s="54"/>
      <c r="G22" s="54"/>
      <c r="H22" s="51"/>
      <c r="I22" s="1199">
        <f>RA_SC60D!I28</f>
        <v>20466686.730335645</v>
      </c>
      <c r="J22" s="1200"/>
      <c r="K22" s="1200"/>
      <c r="L22" s="1200"/>
      <c r="M22" s="1200"/>
      <c r="N22" s="1200"/>
      <c r="O22" s="1200"/>
      <c r="P22" s="1200"/>
      <c r="Q22" s="1200"/>
      <c r="R22" s="1200"/>
      <c r="S22" s="1200"/>
      <c r="T22" s="1200"/>
      <c r="U22" s="1201"/>
    </row>
    <row r="23" spans="1:21" x14ac:dyDescent="0.3">
      <c r="A23" s="40" t="s">
        <v>802</v>
      </c>
      <c r="B23" s="41"/>
      <c r="C23" s="43"/>
      <c r="D23" s="43"/>
      <c r="E23" s="43"/>
      <c r="F23" s="43"/>
      <c r="G23" s="43"/>
      <c r="H23" s="44"/>
      <c r="I23" s="1199">
        <f>RA_SC60D!I29</f>
        <v>1535001.5047751733</v>
      </c>
      <c r="J23" s="1200"/>
      <c r="K23" s="1200"/>
      <c r="L23" s="1200"/>
      <c r="M23" s="1200"/>
      <c r="N23" s="1200"/>
      <c r="O23" s="1200"/>
      <c r="P23" s="1200"/>
      <c r="Q23" s="1200"/>
      <c r="R23" s="1200"/>
      <c r="S23" s="1200"/>
      <c r="T23" s="1200"/>
      <c r="U23" s="1201"/>
    </row>
    <row r="24" spans="1:21" x14ac:dyDescent="0.3">
      <c r="A24" s="40" t="s">
        <v>803</v>
      </c>
      <c r="B24" s="41"/>
      <c r="C24" s="43"/>
      <c r="D24" s="43"/>
      <c r="E24" s="43"/>
      <c r="F24" s="43"/>
      <c r="G24" s="43"/>
      <c r="H24" s="44"/>
      <c r="I24" s="1199">
        <f>RA_SC60D!I30</f>
        <v>2456002.4076402774</v>
      </c>
      <c r="J24" s="1200"/>
      <c r="K24" s="1200"/>
      <c r="L24" s="1200"/>
      <c r="M24" s="1200"/>
      <c r="N24" s="1200"/>
      <c r="O24" s="1200"/>
      <c r="P24" s="1200"/>
      <c r="Q24" s="1200"/>
      <c r="R24" s="1200"/>
      <c r="S24" s="1200"/>
      <c r="T24" s="1200"/>
      <c r="U24" s="1201"/>
    </row>
    <row r="25" spans="1:21" x14ac:dyDescent="0.3">
      <c r="A25" s="40" t="s">
        <v>41</v>
      </c>
      <c r="B25" s="41"/>
      <c r="C25" s="43"/>
      <c r="D25" s="43"/>
      <c r="E25" s="43"/>
      <c r="F25" s="43"/>
      <c r="G25" s="43"/>
      <c r="H25" s="44"/>
      <c r="I25" s="1199">
        <f>RA_SC60D!I31</f>
        <v>24457690.642751098</v>
      </c>
      <c r="J25" s="1200"/>
      <c r="K25" s="1200"/>
      <c r="L25" s="1200"/>
      <c r="M25" s="1200"/>
      <c r="N25" s="1200"/>
      <c r="O25" s="1200"/>
      <c r="P25" s="1200"/>
      <c r="Q25" s="1200"/>
      <c r="R25" s="1200"/>
      <c r="S25" s="1200"/>
      <c r="T25" s="1200"/>
      <c r="U25" s="1201"/>
    </row>
    <row r="26" spans="1:21" ht="7.5" customHeight="1" x14ac:dyDescent="0.3"/>
    <row r="27" spans="1:21" x14ac:dyDescent="0.3">
      <c r="A27" s="18" t="s">
        <v>804</v>
      </c>
      <c r="B27" s="18"/>
      <c r="C27" s="18"/>
      <c r="D27" s="18"/>
      <c r="E27" s="18"/>
      <c r="F27" s="18"/>
      <c r="G27" s="1205" t="str">
        <f>IF(OR(LEN(FLOOR(P27,1))=13,FLOOR(P27,1)&lt;=0),"Out of range",PROPER(SUBSTITUTE(CONCATENATE(CHOOSE(MID(TEXT(INT(P27),REPT(0,12)),1,1)+1,"","one hundred ","two hundred ","three hundred ","four hundred ","five hundred ","six hundred ","seven hundred ","eight hundred ","nine hundred "),CHOOSE(MID(TEXT(INT(P27),REPT(0,12)),2,1)+1,"",CHOOSE(MID(TEXT(INT(P27),REPT(0,12)),3,1)+1,"ten","eleven","twelve","thirteen","fourteen","fifteen","sixteen","seventeen","eighteen","nineteen"),"twenty","thirty","forty","fifty","sixty","seventy","eighty","ninety"),IF(VALUE(MID(TEXT(INT(P27),REPT(0,12)),2,1))&gt;1,CHOOSE(MID(TEXT(INT(P27),REPT(0,12)),3,1)+1,"","-one","-two","-three","-four","-five","-six","-seven","-eight","-nine"),IF(VALUE(MID(TEXT(INT(P27),REPT(0,12)),2,1))=0,CHOOSE(MID(TEXT(INT(P27),REPT(0,12)),3,1)+1,"","one","two","three","four","five","six","seven","eight","nine"),"")),IF(P27&gt;=10^9," billion ",""),CHOOSE(MID(TEXT(INT(P27),REPT(0,12)),4,1)+1,"","one hundred ","two hundred ","three hundred ","four hundred ","five hundred ","six hundred ","seven hundred ","eight hundred ","nine hundred "),CHOOSE(MID(TEXT(INT(P27),REPT(0,12)),5,1)+1,"",CHOOSE(MID(TEXT(INT(P27),REPT(0,12)),6,1)+1,"ten","eleven","twelve","thirteen","fourteen","fifteen","sixteen","seventeen","eighteen","nineteen"),"twenty","thirty","forty","fifty","sixty","seventy","eighty","ninety"),IF(VALUE(MID(TEXT(INT(P27),REPT(0,12)),5,1))&gt;1,CHOOSE(MID(TEXT(INT(P27),REPT(0,12)),6,1)+1,"","-one","-two","-three","-four","-five","-six","-seven","-eight","-nine"),IF(VALUE(MID(TEXT(INT(P27),REPT(0,12)),5,1))=0,CHOOSE(MID(TEXT(INT(P27),REPT(0,12)),6,1)+1,"","one","two","three","four","five","six","seven","eight","nine"),"")),IF(VALUE(MID(TEXT(INT(P27),REPT(0,12)),4,3))&gt;0," million ",""),CHOOSE(MID(TEXT(INT(P27),REPT(0,12)),7,1)+1,"","one hundred ","two hundred ","three hundred ","four hundred ","five hundred ","six hundred ","seven hundred ","eight hundred ","nine hundred "),CHOOSE(MID(TEXT(INT(P27),REPT(0,12)),8,1)+1,"",CHOOSE(MID(TEXT(INT(P27),REPT(0,12)),9,1)+1,"ten","eleven","twelve","thirteen","fourteen","fifteen","sixteen","seventeen","eighteen","nineteen"),"twenty","thirty","forty","fifty","sixty","seventy","eighty","ninety"),IF(VALUE(MID(TEXT(INT(P27),REPT(0,12)),8,1))&gt;1,CHOOSE(MID(TEXT(INT(P27),REPT(0,12)),9,1)+1,"","-one","-two","-three","-four","-five","-six","-seven","-eight","-nine"),IF(VALUE(MID(TEXT(INT(P27),REPT(0,12)),8,1))=0,CHOOSE(MID(TEXT(INT(P27),REPT(0,12)),9,1)+1,"","one","two","three","four","five","six","seven","eight","nine"),"")),IF(VALUE(MID(TEXT(INT(P27),REPT(0,12)),7,3))," thousand ",""),CHOOSE(MID(TEXT(INT(P27),REPT(0,12)),10,1)+1,"","one hundred ","two hundred ","three hundred ","four hundred ","five hundred ","six hundred ","seven hundred ","eight hundred ","nine hundred "),CHOOSE(MID(TEXT(INT(P27),REPT(0,12)),11,1)+1,"",CHOOSE(MID(TEXT(INT(P27),REPT(0,12)),12,1)+1,"ten","eleven","twelve","thirteen","fourteen","fifteen","sixteen","seventeen","eighteen","nineteen"),"twenty","thirty","forty","fifty","sixty","seventy","eighty","ninety"),IF(VALUE(MID(TEXT(INT(P27),REPT(0,12)),11,1))&gt;1,CHOOSE(MID(TEXT(INT(P27),REPT(0,12)),12,1)+1,"","-one","-two","-three","-four","-five","-six","-seven","-eight","-nine"),IF(VALUE(MID(TEXT(INT(P27),REPT(0,12)),11,1))=0,CHOOSE(MID(TEXT(INT(P27),REPT(0,12)),12,1)+1,"","one","two","three","four","five","six","seven","eight","nine"),""))),"  "," ")&amp;IF(FLOOR(P27,1)&gt;1," PESOS"," dollar"))&amp;IF(ISERROR(FIND(".",P27,1)),""," and "&amp;PROPER(IF(LEN(LEFT(TRIM(MID(SUBSTITUTE([22]Sheet1!A2,".",REPT(" ",255)),255,200)),2))=1,CHOOSE(1*LEFT(TRIM(MID(SUBSTITUTE([22]Sheet1!A2,".",REPT(" ",255)),255,200)),2),"ten","twenty","thirty","forty","fifty","sixty","seventy","eighty","ninety")&amp;" cents","")&amp;CONCATENATE(CHOOSE(MID(TEXT(INT(LEFT(TRIM(MID(SUBSTITUTE([22]Sheet1!A2,".",REPT(" ",255)),255,200)),2)),REPT(0,12)),11,1)+1,"",CHOOSE(MID(TEXT(INT(LEFT(TRIM(MID(SUBSTITUTE([22]Sheet1!A2,".",REPT(" ",255)),255,200)),2)),REPT(0,12)),12,1)+1,"ten","eleven","twelve","thirteen","fourteen","fifteen","sixteen","seventeen","eighteen","nineteen")&amp;" cents","twenty","thirty","forty","fifty","sixty","seventy","eighty","ninety"),IF(VALUE(MID(TEXT(INT(LEFT(TRIM(MID(SUBSTITUTE([22]Sheet1!A2,".",REPT(" ",255)),255,200)),2)),REPT(0,12)),11,1))&gt;1,CHOOSE(MID(TEXT(INT(LEFT(TRIM(MID(SUBSTITUTE([22]Sheet1!A2,".",REPT(" ",255)),255,200)),2)),REPT(0,12)),12,1)+1,"","-one","-two","-three","-four","-five","-six","-seven","-eight","-nine")&amp;" cents",IF(LEFT(TRIM(MID(SUBSTITUTE([22]Sheet1!A2,".",REPT(" ",255)),255,200)),2)="01","one cent",IF(LEFT(TRIM(MID(SUBSTITUTE([22]Sheet1!A2,".",REPT(" ",255)),255,200)),1)="0",CHOOSE(MID(TEXT(INT(LEFT(TRIM(MID(SUBSTITUTE([22]Sheet1!A2,".",REPT(" ",255)),255,200)),2)),REPT(0,12)),12,1)+1,"","one","two","three","four","five","six","seven","eight","nine")&amp;" cents","")))))))</f>
        <v>Fifty Thousand  Pesos</v>
      </c>
      <c r="H27" s="1205"/>
      <c r="I27" s="1205"/>
      <c r="J27" s="1205"/>
      <c r="K27" s="1205"/>
      <c r="L27" s="1205"/>
      <c r="M27" s="1205"/>
      <c r="N27" s="18"/>
      <c r="O27" s="701" t="s">
        <v>805</v>
      </c>
      <c r="P27" s="1205">
        <f>FORM!G24</f>
        <v>50000</v>
      </c>
      <c r="Q27" s="1205"/>
      <c r="R27" s="1205"/>
      <c r="S27" s="18" t="s">
        <v>806</v>
      </c>
      <c r="T27" s="18"/>
      <c r="U27" s="18"/>
    </row>
    <row r="28" spans="1:21" ht="7.5" customHeight="1" x14ac:dyDescent="0.3">
      <c r="A28" s="77"/>
      <c r="B28" s="78"/>
      <c r="C28" s="78"/>
      <c r="D28" s="78"/>
      <c r="E28" s="78"/>
      <c r="F28" s="78"/>
      <c r="G28" s="78"/>
      <c r="H28" s="78"/>
      <c r="I28" s="78"/>
      <c r="J28" s="78"/>
      <c r="K28" s="78"/>
      <c r="L28" s="78"/>
      <c r="M28" s="78"/>
      <c r="N28" s="78"/>
      <c r="O28" s="84"/>
      <c r="P28" s="84"/>
      <c r="Q28" s="84"/>
      <c r="R28" s="84"/>
      <c r="S28" s="61"/>
      <c r="T28" s="85"/>
      <c r="U28" s="61"/>
    </row>
    <row r="29" spans="1:21" ht="13.5" customHeight="1" x14ac:dyDescent="0.3">
      <c r="A29" s="18" t="s">
        <v>807</v>
      </c>
      <c r="B29" s="78"/>
      <c r="C29" s="78"/>
      <c r="D29" s="78"/>
      <c r="E29" s="78"/>
      <c r="F29" s="78"/>
      <c r="G29" s="78"/>
      <c r="H29" s="78"/>
      <c r="I29" s="78"/>
      <c r="J29" s="78"/>
      <c r="K29" s="78"/>
      <c r="L29" s="78"/>
      <c r="M29" s="78"/>
      <c r="N29" s="78"/>
      <c r="O29" s="84"/>
      <c r="P29" s="84"/>
      <c r="Q29" s="84"/>
      <c r="R29" s="84"/>
      <c r="S29" s="61"/>
      <c r="T29" s="85"/>
      <c r="U29" s="61"/>
    </row>
    <row r="30" spans="1:21" ht="13.5" customHeight="1" x14ac:dyDescent="0.3">
      <c r="A30" s="702" t="s">
        <v>808</v>
      </c>
      <c r="B30" s="78"/>
      <c r="C30" s="78"/>
      <c r="D30" s="78"/>
      <c r="E30" s="78"/>
      <c r="F30" s="78"/>
      <c r="G30" s="78"/>
      <c r="H30" s="78"/>
      <c r="I30" s="78"/>
      <c r="J30" s="78"/>
      <c r="K30" s="78"/>
      <c r="L30" s="78"/>
      <c r="M30" s="78"/>
      <c r="N30" s="78"/>
      <c r="O30" s="84"/>
      <c r="P30" s="84"/>
      <c r="Q30" s="84"/>
      <c r="R30" s="84"/>
      <c r="S30" s="61"/>
      <c r="T30" s="85"/>
      <c r="U30" s="61"/>
    </row>
    <row r="31" spans="1:21" ht="13.5" customHeight="1" x14ac:dyDescent="0.3">
      <c r="A31" s="702" t="s">
        <v>809</v>
      </c>
      <c r="B31" s="78"/>
      <c r="C31" s="78"/>
      <c r="D31" s="78"/>
      <c r="E31" s="78"/>
      <c r="F31" s="78"/>
      <c r="G31" s="78"/>
      <c r="H31" s="78"/>
      <c r="I31" s="78"/>
      <c r="J31" s="78"/>
      <c r="K31" s="78"/>
      <c r="L31" s="78"/>
      <c r="M31" s="78"/>
      <c r="N31" s="78"/>
      <c r="O31" s="84"/>
      <c r="P31" s="84"/>
      <c r="Q31" s="84"/>
      <c r="R31" s="84"/>
      <c r="S31" s="61"/>
      <c r="T31" s="85"/>
      <c r="U31" s="61"/>
    </row>
    <row r="32" spans="1:21" ht="7.5" customHeight="1" x14ac:dyDescent="0.3">
      <c r="A32" s="77"/>
      <c r="B32" s="78"/>
      <c r="C32" s="78"/>
      <c r="D32" s="78"/>
      <c r="E32" s="78"/>
      <c r="F32" s="78"/>
      <c r="G32" s="78"/>
      <c r="H32" s="78"/>
      <c r="I32" s="78"/>
      <c r="J32" s="78"/>
      <c r="K32" s="78"/>
      <c r="L32" s="78"/>
      <c r="M32" s="78"/>
      <c r="N32" s="78"/>
      <c r="O32" s="84"/>
      <c r="P32" s="84"/>
      <c r="Q32" s="84"/>
      <c r="R32" s="84"/>
      <c r="S32" s="61"/>
      <c r="T32" s="85"/>
      <c r="U32" s="61"/>
    </row>
    <row r="33" spans="1:21" ht="13.5" customHeight="1" x14ac:dyDescent="0.3">
      <c r="A33" s="701" t="s">
        <v>810</v>
      </c>
      <c r="B33" s="78"/>
      <c r="C33" s="78"/>
      <c r="D33" s="78"/>
      <c r="E33" s="78"/>
      <c r="F33" s="78"/>
      <c r="G33" s="78"/>
      <c r="H33" s="78"/>
      <c r="I33" s="78"/>
      <c r="J33" s="78"/>
      <c r="K33" s="78"/>
      <c r="L33" s="78"/>
      <c r="M33" s="78"/>
      <c r="N33" s="78"/>
      <c r="O33" s="84"/>
      <c r="P33" s="84"/>
      <c r="Q33" s="84"/>
      <c r="R33" s="84"/>
      <c r="S33" s="61"/>
      <c r="T33" s="85"/>
      <c r="U33" s="61"/>
    </row>
    <row r="34" spans="1:21" ht="13.5" customHeight="1" x14ac:dyDescent="0.3">
      <c r="A34" s="701" t="s">
        <v>811</v>
      </c>
      <c r="B34" s="78"/>
      <c r="C34" s="78"/>
      <c r="D34" s="78"/>
      <c r="E34" s="78"/>
      <c r="F34" s="78"/>
      <c r="G34" s="78"/>
      <c r="H34" s="78"/>
      <c r="I34" s="78"/>
      <c r="J34" s="78"/>
      <c r="K34" s="78"/>
      <c r="L34" s="78"/>
      <c r="M34" s="78"/>
      <c r="N34" s="78"/>
      <c r="O34" s="84"/>
      <c r="P34" s="84"/>
      <c r="Q34" s="84"/>
      <c r="R34" s="84"/>
      <c r="S34" s="61"/>
      <c r="T34" s="85"/>
      <c r="U34" s="61"/>
    </row>
    <row r="35" spans="1:21" ht="7.5" customHeight="1" x14ac:dyDescent="0.3">
      <c r="A35" s="77"/>
      <c r="B35" s="78"/>
      <c r="C35" s="78"/>
      <c r="D35" s="78"/>
      <c r="E35" s="78"/>
      <c r="F35" s="78"/>
      <c r="G35" s="78"/>
      <c r="H35" s="78"/>
      <c r="I35" s="78"/>
      <c r="J35" s="78"/>
      <c r="K35" s="78"/>
      <c r="L35" s="78"/>
      <c r="M35" s="78"/>
      <c r="N35" s="78"/>
      <c r="O35" s="84"/>
      <c r="P35" s="84"/>
      <c r="Q35" s="84"/>
      <c r="R35" s="84"/>
      <c r="S35" s="61"/>
      <c r="T35" s="85"/>
      <c r="U35" s="61"/>
    </row>
    <row r="36" spans="1:21" ht="13.5" customHeight="1" x14ac:dyDescent="0.3">
      <c r="A36" s="702" t="s">
        <v>812</v>
      </c>
      <c r="B36" s="78"/>
      <c r="C36" s="78"/>
      <c r="D36" s="78"/>
      <c r="E36" s="78"/>
      <c r="F36" s="78"/>
      <c r="G36" s="78"/>
      <c r="H36" s="78"/>
      <c r="I36" s="78"/>
      <c r="J36" s="78"/>
      <c r="K36" s="78"/>
      <c r="L36" s="78"/>
      <c r="M36" s="78"/>
      <c r="N36" s="78"/>
      <c r="O36" s="84"/>
      <c r="P36" s="84"/>
      <c r="Q36" s="84"/>
      <c r="R36" s="84"/>
      <c r="S36" s="61"/>
      <c r="T36" s="85"/>
      <c r="U36" s="61"/>
    </row>
    <row r="37" spans="1:21" ht="7.5" customHeight="1" x14ac:dyDescent="0.3">
      <c r="A37" s="77"/>
      <c r="B37" s="78"/>
      <c r="C37" s="78"/>
      <c r="D37" s="78"/>
      <c r="E37" s="78"/>
      <c r="F37" s="78"/>
      <c r="G37" s="78"/>
      <c r="H37" s="78"/>
      <c r="I37" s="78"/>
      <c r="J37" s="78"/>
      <c r="K37" s="78"/>
      <c r="L37" s="78"/>
      <c r="M37" s="78"/>
      <c r="N37" s="78"/>
      <c r="O37" s="84"/>
      <c r="P37" s="84"/>
      <c r="Q37" s="84"/>
      <c r="R37" s="84"/>
      <c r="S37" s="61"/>
      <c r="T37" s="85"/>
      <c r="U37" s="61"/>
    </row>
    <row r="38" spans="1:21" ht="13.5" customHeight="1" x14ac:dyDescent="0.3">
      <c r="A38" s="701" t="s">
        <v>813</v>
      </c>
      <c r="B38" s="78"/>
      <c r="C38" s="78"/>
      <c r="D38" s="78"/>
      <c r="E38" s="78"/>
      <c r="F38" s="78"/>
      <c r="G38" s="78"/>
      <c r="H38" s="78"/>
      <c r="I38" s="78"/>
      <c r="J38" s="78"/>
      <c r="K38" s="78"/>
      <c r="L38" s="78"/>
      <c r="M38" s="78"/>
      <c r="N38" s="78"/>
      <c r="O38" s="84"/>
      <c r="P38" s="84"/>
      <c r="Q38" s="84"/>
      <c r="R38" s="84"/>
      <c r="S38" s="61"/>
      <c r="T38" s="85"/>
      <c r="U38" s="61"/>
    </row>
    <row r="39" spans="1:21" ht="13.5" customHeight="1" x14ac:dyDescent="0.3">
      <c r="A39" s="703" t="s">
        <v>814</v>
      </c>
      <c r="B39" s="78"/>
      <c r="C39" s="78"/>
      <c r="D39" s="78"/>
      <c r="E39" s="78"/>
      <c r="F39" s="78"/>
      <c r="G39" s="78"/>
      <c r="H39" s="78"/>
      <c r="I39" s="78"/>
      <c r="J39" s="78"/>
      <c r="K39" s="78"/>
      <c r="L39" s="78"/>
      <c r="M39" s="78"/>
      <c r="N39" s="78"/>
      <c r="O39" s="84"/>
      <c r="P39" s="84"/>
      <c r="Q39" s="84"/>
      <c r="R39" s="84"/>
      <c r="S39" s="61"/>
      <c r="T39" s="85"/>
      <c r="U39" s="61"/>
    </row>
    <row r="40" spans="1:21" ht="13.5" customHeight="1" x14ac:dyDescent="0.3">
      <c r="A40" s="703" t="s">
        <v>815</v>
      </c>
      <c r="B40" s="78"/>
      <c r="C40" s="78"/>
      <c r="D40" s="78"/>
      <c r="E40" s="78"/>
      <c r="F40" s="78"/>
      <c r="G40" s="78"/>
      <c r="H40" s="78"/>
      <c r="I40" s="78"/>
      <c r="J40" s="78"/>
      <c r="K40" s="78"/>
      <c r="L40" s="78"/>
      <c r="M40" s="78"/>
      <c r="N40" s="78"/>
      <c r="O40" s="84"/>
      <c r="P40" s="84"/>
      <c r="Q40" s="84"/>
      <c r="R40" s="84"/>
      <c r="S40" s="61"/>
      <c r="T40" s="85"/>
      <c r="U40" s="61"/>
    </row>
    <row r="41" spans="1:21" ht="13.5" customHeight="1" x14ac:dyDescent="0.3">
      <c r="A41" s="77"/>
      <c r="B41" s="78"/>
      <c r="C41" s="78"/>
      <c r="D41" s="78"/>
      <c r="E41" s="78"/>
      <c r="F41" s="78"/>
      <c r="G41" s="78"/>
      <c r="H41" s="78"/>
      <c r="I41" s="78"/>
      <c r="J41" s="78"/>
      <c r="K41" s="78"/>
      <c r="L41" s="78"/>
      <c r="M41" s="78"/>
      <c r="N41" s="78"/>
      <c r="O41" s="84"/>
      <c r="P41" s="84"/>
      <c r="Q41" s="84"/>
      <c r="R41" s="84"/>
      <c r="S41" s="61"/>
      <c r="T41" s="85"/>
      <c r="U41" s="61"/>
    </row>
    <row r="42" spans="1:21" ht="13.5" customHeight="1" x14ac:dyDescent="0.3">
      <c r="A42" s="702" t="s">
        <v>816</v>
      </c>
      <c r="B42" s="78"/>
      <c r="C42" s="78"/>
      <c r="D42" s="78"/>
      <c r="E42" s="78"/>
      <c r="F42" s="78"/>
      <c r="G42" s="78"/>
      <c r="H42" s="78"/>
      <c r="I42" s="78"/>
      <c r="J42" s="78"/>
      <c r="K42" s="78"/>
      <c r="L42" s="78"/>
      <c r="M42" s="78"/>
      <c r="N42" s="78"/>
      <c r="O42" s="84"/>
      <c r="P42" s="84"/>
      <c r="Q42" s="84"/>
      <c r="R42" s="84"/>
      <c r="S42" s="61"/>
      <c r="T42" s="85"/>
      <c r="U42" s="61"/>
    </row>
    <row r="43" spans="1:21" ht="13.5" customHeight="1" x14ac:dyDescent="0.3">
      <c r="A43" s="77"/>
      <c r="B43" s="78"/>
      <c r="C43" s="78"/>
      <c r="D43" s="78"/>
      <c r="E43" s="78"/>
      <c r="F43" s="78"/>
      <c r="G43" s="78"/>
      <c r="H43" s="78"/>
      <c r="I43" s="78"/>
      <c r="J43" s="78"/>
      <c r="K43" s="78"/>
      <c r="L43" s="78"/>
      <c r="M43" s="78"/>
      <c r="N43" s="78"/>
      <c r="O43" s="84"/>
      <c r="P43" s="84"/>
      <c r="Q43" s="84"/>
      <c r="R43" s="84"/>
      <c r="S43" s="61"/>
      <c r="T43" s="85"/>
      <c r="U43" s="61"/>
    </row>
    <row r="44" spans="1:21" ht="13.5" customHeight="1" x14ac:dyDescent="0.3">
      <c r="A44" s="704"/>
      <c r="B44" s="705"/>
      <c r="C44" s="705"/>
      <c r="D44" s="1191" t="s">
        <v>817</v>
      </c>
      <c r="E44" s="1191"/>
      <c r="F44" s="1191"/>
      <c r="G44" s="1191"/>
      <c r="H44" s="1191"/>
      <c r="I44" s="1191"/>
      <c r="J44" s="705"/>
      <c r="K44" s="705"/>
      <c r="L44" s="705"/>
      <c r="M44" s="705"/>
      <c r="N44" s="705"/>
      <c r="O44" s="706"/>
      <c r="P44" s="706"/>
      <c r="Q44" s="1192" t="s">
        <v>774</v>
      </c>
      <c r="R44" s="1192"/>
      <c r="S44" s="1192"/>
      <c r="T44" s="707"/>
      <c r="U44" s="61"/>
    </row>
    <row r="45" spans="1:21" ht="13.5" customHeight="1" x14ac:dyDescent="0.3">
      <c r="A45" s="704"/>
      <c r="B45" s="705"/>
      <c r="C45" s="705"/>
      <c r="D45" s="705"/>
      <c r="E45" s="705"/>
      <c r="F45" s="705"/>
      <c r="G45" s="705"/>
      <c r="H45" s="705"/>
      <c r="I45" s="705"/>
      <c r="J45" s="705"/>
      <c r="K45" s="705"/>
      <c r="L45" s="705"/>
      <c r="M45" s="705"/>
      <c r="N45" s="705"/>
      <c r="O45" s="706"/>
      <c r="P45" s="706"/>
      <c r="Q45" s="706"/>
      <c r="R45" s="706"/>
      <c r="S45" s="708"/>
      <c r="T45" s="707"/>
      <c r="U45" s="61"/>
    </row>
    <row r="46" spans="1:21" ht="13.5" customHeight="1" x14ac:dyDescent="0.3">
      <c r="A46" s="704"/>
      <c r="B46" s="705"/>
      <c r="C46" s="705"/>
      <c r="D46" s="705"/>
      <c r="E46" s="705"/>
      <c r="F46" s="705"/>
      <c r="G46" s="705"/>
      <c r="H46" s="705"/>
      <c r="I46" s="705"/>
      <c r="J46" s="705"/>
      <c r="K46" s="705"/>
      <c r="L46" s="705"/>
      <c r="M46" s="705"/>
      <c r="N46" s="705"/>
      <c r="O46" s="706"/>
      <c r="P46" s="706"/>
      <c r="Q46" s="706"/>
      <c r="R46" s="706"/>
      <c r="S46" s="708"/>
      <c r="T46" s="707"/>
      <c r="U46" s="61"/>
    </row>
    <row r="47" spans="1:21" ht="13.5" customHeight="1" x14ac:dyDescent="0.3">
      <c r="A47" s="704"/>
      <c r="B47" s="705"/>
      <c r="C47" s="705"/>
      <c r="D47" s="705"/>
      <c r="E47" s="705"/>
      <c r="F47" s="705"/>
      <c r="G47" s="705"/>
      <c r="H47" s="705"/>
      <c r="I47" s="705"/>
      <c r="J47" s="705"/>
      <c r="K47" s="705"/>
      <c r="L47" s="705"/>
      <c r="M47" s="705"/>
      <c r="N47" s="705"/>
      <c r="O47" s="706"/>
      <c r="P47" s="706"/>
      <c r="Q47" s="706"/>
      <c r="R47" s="706"/>
      <c r="S47" s="708"/>
      <c r="T47" s="707"/>
      <c r="U47" s="61"/>
    </row>
    <row r="48" spans="1:21" x14ac:dyDescent="0.3">
      <c r="A48" s="50"/>
      <c r="B48" s="50"/>
      <c r="C48" s="50"/>
      <c r="D48" s="1188">
        <f>FORM!G30</f>
        <v>0</v>
      </c>
      <c r="E48" s="1188"/>
      <c r="F48" s="1188"/>
      <c r="G48" s="1188"/>
      <c r="H48" s="1188"/>
      <c r="I48" s="1188"/>
      <c r="J48" s="50"/>
      <c r="K48" s="50"/>
      <c r="L48" s="50"/>
      <c r="M48" s="50"/>
      <c r="N48" s="50"/>
      <c r="O48" s="50"/>
      <c r="P48" s="50"/>
      <c r="Q48" s="1188" t="str">
        <f>FORM!G32</f>
        <v>Seller</v>
      </c>
      <c r="R48" s="1188"/>
      <c r="S48" s="1188"/>
      <c r="T48" s="50"/>
      <c r="U48" s="50"/>
    </row>
    <row r="49" spans="1:21" x14ac:dyDescent="0.3">
      <c r="A49" s="50"/>
      <c r="B49" s="50"/>
      <c r="C49" s="50"/>
      <c r="D49" s="1189" t="s">
        <v>818</v>
      </c>
      <c r="E49" s="1189"/>
      <c r="F49" s="1189"/>
      <c r="G49" s="1189"/>
      <c r="H49" s="1189"/>
      <c r="I49" s="1189"/>
      <c r="J49" s="50"/>
      <c r="K49" s="50"/>
      <c r="L49" s="50"/>
      <c r="M49" s="50"/>
      <c r="N49" s="50"/>
      <c r="O49" s="50"/>
      <c r="P49" s="50"/>
      <c r="Q49" s="1189" t="s">
        <v>818</v>
      </c>
      <c r="R49" s="1189"/>
      <c r="S49" s="1189"/>
      <c r="T49" s="50"/>
      <c r="U49" s="50"/>
    </row>
    <row r="50" spans="1:21" x14ac:dyDescent="0.3">
      <c r="A50" s="50"/>
      <c r="B50" s="50"/>
      <c r="C50" s="50"/>
      <c r="D50" s="1190" t="s">
        <v>819</v>
      </c>
      <c r="E50" s="1190"/>
      <c r="F50" s="1190"/>
      <c r="G50" s="1190"/>
      <c r="H50" s="1190"/>
      <c r="I50" s="1190"/>
      <c r="J50" s="50"/>
      <c r="K50" s="50"/>
      <c r="L50" s="50"/>
      <c r="M50" s="50"/>
      <c r="N50" s="50"/>
      <c r="O50" s="50"/>
      <c r="P50" s="50"/>
      <c r="Q50" s="1190" t="s">
        <v>820</v>
      </c>
      <c r="R50" s="1190"/>
      <c r="S50" s="1190"/>
      <c r="T50" s="50"/>
      <c r="U50" s="50"/>
    </row>
    <row r="51" spans="1:21" x14ac:dyDescent="0.3">
      <c r="A51" s="50"/>
      <c r="B51" s="50"/>
      <c r="C51" s="50"/>
      <c r="D51" s="50"/>
      <c r="E51" s="50"/>
      <c r="F51" s="50"/>
      <c r="G51" s="50"/>
      <c r="H51" s="50"/>
      <c r="I51" s="50"/>
      <c r="J51" s="50"/>
      <c r="K51" s="50"/>
      <c r="L51" s="50"/>
      <c r="M51" s="50"/>
      <c r="N51" s="50"/>
      <c r="O51" s="50"/>
      <c r="P51" s="50"/>
      <c r="Q51" s="50"/>
      <c r="R51" s="50"/>
      <c r="S51" s="50"/>
      <c r="T51" s="50"/>
      <c r="U51" s="50"/>
    </row>
    <row r="53" spans="1:21" x14ac:dyDescent="0.3">
      <c r="A53" s="1183" t="s">
        <v>821</v>
      </c>
      <c r="B53" s="1184"/>
      <c r="C53" s="1184"/>
      <c r="D53" s="1184"/>
      <c r="E53" s="1184"/>
      <c r="F53" s="1184"/>
      <c r="G53" s="1184"/>
      <c r="H53" s="1184"/>
      <c r="I53" s="1184"/>
      <c r="J53" s="1184"/>
      <c r="K53" s="1184"/>
      <c r="L53" s="1184"/>
      <c r="M53" s="1184"/>
      <c r="N53" s="1184"/>
      <c r="O53" s="1184"/>
      <c r="P53" s="1184"/>
      <c r="Q53" s="1184"/>
      <c r="R53" s="1184"/>
      <c r="S53" s="1184"/>
      <c r="T53" s="1184"/>
      <c r="U53" s="1185"/>
    </row>
    <row r="54" spans="1:21" x14ac:dyDescent="0.3">
      <c r="A54" s="1186" t="s">
        <v>822</v>
      </c>
      <c r="B54" s="1186"/>
      <c r="C54" s="1186"/>
      <c r="D54" s="1186"/>
      <c r="E54" s="1186"/>
      <c r="F54" s="1186"/>
      <c r="G54" s="1186"/>
      <c r="H54" s="1186"/>
      <c r="I54" s="1186" t="s">
        <v>823</v>
      </c>
      <c r="J54" s="1186"/>
      <c r="K54" s="1186"/>
      <c r="L54" s="1186"/>
      <c r="M54" s="1186"/>
      <c r="N54" s="1186"/>
      <c r="O54" s="1186"/>
      <c r="P54" s="1187" t="s">
        <v>824</v>
      </c>
      <c r="Q54" s="1187"/>
      <c r="R54" s="1187"/>
      <c r="S54" s="1187"/>
      <c r="T54" s="1187"/>
      <c r="U54" s="1187"/>
    </row>
    <row r="55" spans="1:21" x14ac:dyDescent="0.3">
      <c r="A55" s="1182" t="s">
        <v>825</v>
      </c>
      <c r="B55" s="1182"/>
      <c r="C55" s="1182"/>
      <c r="D55" s="1182"/>
      <c r="E55" s="1182"/>
      <c r="F55" s="1182"/>
      <c r="G55" s="1182"/>
      <c r="H55" s="1182"/>
      <c r="I55" s="1182">
        <f>FORM!J47</f>
        <v>0</v>
      </c>
      <c r="J55" s="1182"/>
      <c r="K55" s="1182"/>
      <c r="L55" s="1182"/>
      <c r="M55" s="1182"/>
      <c r="N55" s="1182"/>
      <c r="O55" s="1182"/>
      <c r="P55" s="1182">
        <f>FORM!Q47</f>
        <v>0</v>
      </c>
      <c r="Q55" s="1182"/>
      <c r="R55" s="1182"/>
      <c r="S55" s="1182"/>
      <c r="T55" s="1182"/>
      <c r="U55" s="1182"/>
    </row>
    <row r="56" spans="1:21" x14ac:dyDescent="0.3">
      <c r="A56" s="1182" t="s">
        <v>826</v>
      </c>
      <c r="B56" s="1182"/>
      <c r="C56" s="1182"/>
      <c r="D56" s="1182"/>
      <c r="E56" s="1182"/>
      <c r="F56" s="1182"/>
      <c r="G56" s="1182"/>
      <c r="H56" s="1182"/>
      <c r="I56" s="1182">
        <f>FORM!J48</f>
        <v>0</v>
      </c>
      <c r="J56" s="1182"/>
      <c r="K56" s="1182"/>
      <c r="L56" s="1182"/>
      <c r="M56" s="1182"/>
      <c r="N56" s="1182"/>
      <c r="O56" s="1182"/>
      <c r="P56" s="1182">
        <f>FORM!Q48</f>
        <v>0</v>
      </c>
      <c r="Q56" s="1182"/>
      <c r="R56" s="1182"/>
      <c r="S56" s="1182"/>
      <c r="T56" s="1182"/>
      <c r="U56" s="1182"/>
    </row>
    <row r="57" spans="1:21" x14ac:dyDescent="0.3">
      <c r="A57" s="1182" t="s">
        <v>827</v>
      </c>
      <c r="B57" s="1182"/>
      <c r="C57" s="1182"/>
      <c r="D57" s="1182"/>
      <c r="E57" s="1182"/>
      <c r="F57" s="1182"/>
      <c r="G57" s="1182"/>
      <c r="H57" s="1182"/>
      <c r="I57" s="1182">
        <f>FORM!J49</f>
        <v>0</v>
      </c>
      <c r="J57" s="1182"/>
      <c r="K57" s="1182"/>
      <c r="L57" s="1182"/>
      <c r="M57" s="1182"/>
      <c r="N57" s="1182"/>
      <c r="O57" s="1182"/>
      <c r="P57" s="1182">
        <f>FORM!Q49</f>
        <v>0</v>
      </c>
      <c r="Q57" s="1182"/>
      <c r="R57" s="1182"/>
      <c r="S57" s="1182"/>
      <c r="T57" s="1182"/>
      <c r="U57" s="1182"/>
    </row>
    <row r="58" spans="1:21" x14ac:dyDescent="0.3">
      <c r="A58" s="1182" t="s">
        <v>828</v>
      </c>
      <c r="B58" s="1182"/>
      <c r="C58" s="1182"/>
      <c r="D58" s="1182"/>
      <c r="E58" s="1182"/>
      <c r="F58" s="1182"/>
      <c r="G58" s="1182"/>
      <c r="H58" s="1182"/>
      <c r="I58" s="1182">
        <f>FORM!J50</f>
        <v>0</v>
      </c>
      <c r="J58" s="1182"/>
      <c r="K58" s="1182"/>
      <c r="L58" s="1182"/>
      <c r="M58" s="1182"/>
      <c r="N58" s="1182"/>
      <c r="O58" s="1182"/>
      <c r="P58" s="1182">
        <f>FORM!Q50</f>
        <v>0</v>
      </c>
      <c r="Q58" s="1182"/>
      <c r="R58" s="1182"/>
      <c r="S58" s="1182"/>
      <c r="T58" s="1182"/>
      <c r="U58" s="1182"/>
    </row>
    <row r="60" spans="1:21" x14ac:dyDescent="0.3">
      <c r="A60"/>
      <c r="B60"/>
      <c r="C60"/>
      <c r="D60"/>
      <c r="E60"/>
      <c r="F60"/>
      <c r="G60"/>
      <c r="H60"/>
      <c r="I60"/>
      <c r="J60"/>
      <c r="K60"/>
      <c r="L60"/>
      <c r="M60"/>
      <c r="N60"/>
      <c r="O60"/>
      <c r="P60"/>
      <c r="Q60"/>
      <c r="R60"/>
      <c r="S60"/>
      <c r="T60"/>
      <c r="U60"/>
    </row>
    <row r="68" spans="1:21" x14ac:dyDescent="0.3">
      <c r="A68"/>
      <c r="B68"/>
      <c r="C68"/>
      <c r="D68"/>
      <c r="E68"/>
      <c r="F68"/>
      <c r="G68"/>
      <c r="H68"/>
      <c r="I68"/>
      <c r="J68"/>
      <c r="K68"/>
      <c r="L68"/>
      <c r="M68"/>
      <c r="N68"/>
      <c r="O68"/>
      <c r="P68"/>
      <c r="Q68"/>
      <c r="R68"/>
      <c r="S68"/>
      <c r="T68"/>
      <c r="U68"/>
    </row>
    <row r="69" spans="1:21" x14ac:dyDescent="0.3">
      <c r="A69"/>
      <c r="B69"/>
      <c r="C69"/>
      <c r="D69"/>
      <c r="E69"/>
      <c r="F69"/>
      <c r="G69"/>
      <c r="H69"/>
      <c r="I69"/>
      <c r="J69"/>
      <c r="K69"/>
      <c r="L69"/>
      <c r="M69"/>
      <c r="N69"/>
      <c r="O69"/>
      <c r="P69"/>
      <c r="Q69"/>
      <c r="R69"/>
      <c r="S69"/>
      <c r="T69"/>
      <c r="U69"/>
    </row>
    <row r="70" spans="1:21" ht="25.5" customHeight="1" x14ac:dyDescent="0.3">
      <c r="A70"/>
      <c r="B70"/>
      <c r="C70"/>
      <c r="D70"/>
      <c r="E70"/>
      <c r="F70"/>
      <c r="G70"/>
      <c r="H70"/>
      <c r="I70"/>
      <c r="J70"/>
      <c r="K70"/>
      <c r="L70"/>
      <c r="M70"/>
      <c r="N70"/>
      <c r="O70"/>
      <c r="P70"/>
      <c r="Q70"/>
      <c r="R70"/>
      <c r="S70"/>
      <c r="T70"/>
      <c r="U70"/>
    </row>
    <row r="71" spans="1:21" x14ac:dyDescent="0.3">
      <c r="A71"/>
      <c r="B71"/>
      <c r="C71"/>
      <c r="D71"/>
      <c r="E71"/>
      <c r="F71"/>
      <c r="G71"/>
      <c r="H71"/>
      <c r="I71"/>
      <c r="J71"/>
      <c r="K71"/>
      <c r="L71"/>
      <c r="M71"/>
      <c r="N71"/>
      <c r="O71"/>
      <c r="P71"/>
      <c r="Q71"/>
      <c r="R71"/>
      <c r="S71"/>
      <c r="T71"/>
      <c r="U71"/>
    </row>
    <row r="72" spans="1:21" x14ac:dyDescent="0.3">
      <c r="A72"/>
      <c r="B72"/>
      <c r="C72"/>
      <c r="D72"/>
      <c r="E72"/>
      <c r="F72"/>
      <c r="G72"/>
      <c r="H72"/>
      <c r="I72"/>
      <c r="J72"/>
      <c r="K72"/>
      <c r="L72"/>
      <c r="M72"/>
      <c r="N72"/>
      <c r="O72"/>
      <c r="P72"/>
      <c r="Q72"/>
      <c r="R72"/>
      <c r="S72"/>
      <c r="T72"/>
      <c r="U72"/>
    </row>
    <row r="73" spans="1:21" x14ac:dyDescent="0.3">
      <c r="A73"/>
      <c r="B73"/>
      <c r="C73"/>
      <c r="D73"/>
      <c r="E73"/>
      <c r="F73"/>
      <c r="G73"/>
      <c r="H73"/>
      <c r="I73"/>
      <c r="J73"/>
      <c r="K73"/>
      <c r="L73"/>
      <c r="M73"/>
      <c r="N73"/>
      <c r="O73"/>
      <c r="P73"/>
      <c r="Q73"/>
      <c r="R73"/>
      <c r="S73"/>
      <c r="T73"/>
      <c r="U73"/>
    </row>
    <row r="74" spans="1:21" ht="21.75" customHeight="1" x14ac:dyDescent="0.3">
      <c r="A74"/>
      <c r="B74"/>
      <c r="C74"/>
      <c r="D74"/>
      <c r="E74"/>
      <c r="F74"/>
      <c r="G74"/>
      <c r="H74"/>
      <c r="I74"/>
      <c r="J74"/>
      <c r="K74"/>
      <c r="L74"/>
      <c r="M74"/>
      <c r="N74"/>
      <c r="O74"/>
      <c r="P74"/>
      <c r="Q74"/>
      <c r="R74"/>
      <c r="S74"/>
      <c r="T74"/>
      <c r="U74"/>
    </row>
    <row r="75" spans="1:21" x14ac:dyDescent="0.3">
      <c r="A75" s="21"/>
      <c r="B75" s="21"/>
      <c r="C75" s="21"/>
      <c r="D75" s="21"/>
      <c r="E75" s="21"/>
      <c r="F75" s="21"/>
      <c r="G75" s="21"/>
      <c r="H75" s="21"/>
      <c r="I75" s="21"/>
      <c r="J75" s="21"/>
      <c r="K75" s="21"/>
      <c r="L75" s="21"/>
      <c r="M75" s="21"/>
      <c r="N75" s="21"/>
      <c r="O75" s="21"/>
      <c r="P75" s="21"/>
      <c r="Q75" s="21"/>
      <c r="R75" s="21"/>
      <c r="S75" s="21"/>
      <c r="T75" s="21"/>
      <c r="U75" s="21"/>
    </row>
    <row r="76" spans="1:21" x14ac:dyDescent="0.3">
      <c r="A76" s="21"/>
      <c r="B76" s="21"/>
      <c r="C76" s="21"/>
      <c r="D76" s="21"/>
      <c r="E76" s="21"/>
      <c r="F76" s="21"/>
      <c r="G76" s="21"/>
      <c r="H76" s="21"/>
      <c r="I76" s="22"/>
      <c r="J76" s="22"/>
      <c r="K76" s="22"/>
      <c r="L76" s="22"/>
      <c r="M76" s="22"/>
      <c r="N76" s="22"/>
      <c r="O76" s="22"/>
      <c r="P76" s="22"/>
      <c r="Q76" s="22"/>
      <c r="R76" s="21"/>
      <c r="S76" s="21"/>
      <c r="T76" s="21"/>
      <c r="U76" s="21"/>
    </row>
    <row r="80" spans="1:21" x14ac:dyDescent="0.3">
      <c r="I80" s="56"/>
    </row>
  </sheetData>
  <sheetProtection sheet="1" formatCells="0" formatColumns="0" formatRows="0"/>
  <mergeCells count="62">
    <mergeCell ref="C2:F2"/>
    <mergeCell ref="A6:U6"/>
    <mergeCell ref="E8:T8"/>
    <mergeCell ref="A12:F12"/>
    <mergeCell ref="G12:L12"/>
    <mergeCell ref="M12:Q12"/>
    <mergeCell ref="R12:U12"/>
    <mergeCell ref="D14:F14"/>
    <mergeCell ref="J14:L14"/>
    <mergeCell ref="P14:Q14"/>
    <mergeCell ref="R14:S14"/>
    <mergeCell ref="T14:U14"/>
    <mergeCell ref="D13:F13"/>
    <mergeCell ref="J13:L13"/>
    <mergeCell ref="P13:Q13"/>
    <mergeCell ref="R13:S13"/>
    <mergeCell ref="T13:U13"/>
    <mergeCell ref="D16:F16"/>
    <mergeCell ref="J16:L16"/>
    <mergeCell ref="P16:Q16"/>
    <mergeCell ref="R16:S18"/>
    <mergeCell ref="T16:U18"/>
    <mergeCell ref="D15:F15"/>
    <mergeCell ref="J15:L15"/>
    <mergeCell ref="P15:Q15"/>
    <mergeCell ref="R15:S15"/>
    <mergeCell ref="T15:U15"/>
    <mergeCell ref="D44:I44"/>
    <mergeCell ref="Q44:S44"/>
    <mergeCell ref="D17:F17"/>
    <mergeCell ref="P17:Q17"/>
    <mergeCell ref="P18:Q18"/>
    <mergeCell ref="I20:U20"/>
    <mergeCell ref="I21:U21"/>
    <mergeCell ref="I22:U22"/>
    <mergeCell ref="I23:U23"/>
    <mergeCell ref="I24:U24"/>
    <mergeCell ref="I25:U25"/>
    <mergeCell ref="G27:M27"/>
    <mergeCell ref="P27:R27"/>
    <mergeCell ref="D48:I48"/>
    <mergeCell ref="Q48:S48"/>
    <mergeCell ref="D49:I49"/>
    <mergeCell ref="Q49:S49"/>
    <mergeCell ref="D50:I50"/>
    <mergeCell ref="Q50:S50"/>
    <mergeCell ref="A53:U53"/>
    <mergeCell ref="A54:H54"/>
    <mergeCell ref="I54:O54"/>
    <mergeCell ref="P54:U54"/>
    <mergeCell ref="A55:H55"/>
    <mergeCell ref="I55:O55"/>
    <mergeCell ref="P55:U55"/>
    <mergeCell ref="A58:H58"/>
    <mergeCell ref="I58:O58"/>
    <mergeCell ref="P58:U58"/>
    <mergeCell ref="A56:H56"/>
    <mergeCell ref="I56:O56"/>
    <mergeCell ref="P56:U56"/>
    <mergeCell ref="A57:H57"/>
    <mergeCell ref="I57:O57"/>
    <mergeCell ref="P57:U57"/>
  </mergeCells>
  <pageMargins left="0.51181102362204722" right="0.51181102362204722" top="0.87791666666666668" bottom="0.74803149606299213" header="0.31496062992125984" footer="0.31496062992125984"/>
  <pageSetup paperSize="305" scale="86" orientation="portrait" verticalDpi="360" r:id="rId1"/>
  <headerFooter>
    <oddHeader xml:space="preserve">&amp;R
&amp;"Century Gothic,Bold"&amp;18LETTER OF INTENT    
 &amp;"-,Regular"&amp;11
</oddHeader>
    <oddFooter>&amp;C&amp;"Century Gothic,Regular"&amp;8Page &amp;P of &amp;N</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94209" r:id="rId4" name="Check Box 1">
              <controlPr defaultSize="0" autoFill="0" autoLine="0" autoPict="0">
                <anchor moveWithCells="1">
                  <from>
                    <xdr:col>11</xdr:col>
                    <xdr:colOff>304800</xdr:colOff>
                    <xdr:row>7</xdr:row>
                    <xdr:rowOff>209550</xdr:rowOff>
                  </from>
                  <to>
                    <xdr:col>14</xdr:col>
                    <xdr:colOff>171450</xdr:colOff>
                    <xdr:row>9</xdr:row>
                    <xdr:rowOff>0</xdr:rowOff>
                  </to>
                </anchor>
              </controlPr>
            </control>
          </mc:Choice>
        </mc:AlternateContent>
        <mc:AlternateContent xmlns:mc="http://schemas.openxmlformats.org/markup-compatibility/2006">
          <mc:Choice Requires="x14">
            <control shapeId="94210" r:id="rId5" name="Check Box 2">
              <controlPr defaultSize="0" autoFill="0" autoLine="0" autoPict="0">
                <anchor moveWithCells="1">
                  <from>
                    <xdr:col>11</xdr:col>
                    <xdr:colOff>304800</xdr:colOff>
                    <xdr:row>9</xdr:row>
                    <xdr:rowOff>0</xdr:rowOff>
                  </from>
                  <to>
                    <xdr:col>14</xdr:col>
                    <xdr:colOff>171450</xdr:colOff>
                    <xdr:row>10</xdr:row>
                    <xdr:rowOff>0</xdr:rowOff>
                  </to>
                </anchor>
              </controlPr>
            </control>
          </mc:Choice>
        </mc:AlternateContent>
        <mc:AlternateContent xmlns:mc="http://schemas.openxmlformats.org/markup-compatibility/2006">
          <mc:Choice Requires="x14">
            <control shapeId="94211" r:id="rId6" name="Check Box 3">
              <controlPr defaultSize="0" autoFill="0" autoLine="0" autoPict="0">
                <anchor moveWithCells="1">
                  <from>
                    <xdr:col>4</xdr:col>
                    <xdr:colOff>57150</xdr:colOff>
                    <xdr:row>8</xdr:row>
                    <xdr:rowOff>19050</xdr:rowOff>
                  </from>
                  <to>
                    <xdr:col>8</xdr:col>
                    <xdr:colOff>285750</xdr:colOff>
                    <xdr:row>9</xdr:row>
                    <xdr:rowOff>19050</xdr:rowOff>
                  </to>
                </anchor>
              </controlPr>
            </control>
          </mc:Choice>
        </mc:AlternateContent>
        <mc:AlternateContent xmlns:mc="http://schemas.openxmlformats.org/markup-compatibility/2006">
          <mc:Choice Requires="x14">
            <control shapeId="94212" r:id="rId7" name="Check Box 4">
              <controlPr defaultSize="0" autoFill="0" autoLine="0" autoPict="0">
                <anchor moveWithCells="1">
                  <from>
                    <xdr:col>4</xdr:col>
                    <xdr:colOff>57150</xdr:colOff>
                    <xdr:row>8</xdr:row>
                    <xdr:rowOff>209550</xdr:rowOff>
                  </from>
                  <to>
                    <xdr:col>8</xdr:col>
                    <xdr:colOff>285750</xdr:colOff>
                    <xdr:row>10</xdr:row>
                    <xdr:rowOff>0</xdr:rowOff>
                  </to>
                </anchor>
              </controlPr>
            </control>
          </mc:Choice>
        </mc:AlternateContent>
        <mc:AlternateContent xmlns:mc="http://schemas.openxmlformats.org/markup-compatibility/2006">
          <mc:Choice Requires="x14">
            <control shapeId="94213" r:id="rId8" name="Check Box 5">
              <controlPr defaultSize="0" autoFill="0" autoLine="0" autoPict="0">
                <anchor moveWithCells="1">
                  <from>
                    <xdr:col>17</xdr:col>
                    <xdr:colOff>476250</xdr:colOff>
                    <xdr:row>8</xdr:row>
                    <xdr:rowOff>0</xdr:rowOff>
                  </from>
                  <to>
                    <xdr:col>19</xdr:col>
                    <xdr:colOff>180975</xdr:colOff>
                    <xdr:row>9</xdr:row>
                    <xdr:rowOff>0</xdr:rowOff>
                  </to>
                </anchor>
              </controlPr>
            </control>
          </mc:Choice>
        </mc:AlternateContent>
        <mc:AlternateContent xmlns:mc="http://schemas.openxmlformats.org/markup-compatibility/2006">
          <mc:Choice Requires="x14">
            <control shapeId="94214" r:id="rId9" name="Check Box 6">
              <controlPr defaultSize="0" autoFill="0" autoLine="0" autoPict="0">
                <anchor moveWithCells="1">
                  <from>
                    <xdr:col>17</xdr:col>
                    <xdr:colOff>476250</xdr:colOff>
                    <xdr:row>9</xdr:row>
                    <xdr:rowOff>0</xdr:rowOff>
                  </from>
                  <to>
                    <xdr:col>19</xdr:col>
                    <xdr:colOff>180975</xdr:colOff>
                    <xdr:row>10</xdr:row>
                    <xdr:rowOff>0</xdr:rowOff>
                  </to>
                </anchor>
              </controlPr>
            </control>
          </mc:Choice>
        </mc:AlternateContent>
      </controls>
    </mc:Choice>
  </mc:AlternateContent>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5"/>
  <dimension ref="A1:U121"/>
  <sheetViews>
    <sheetView showZeros="0" view="pageLayout" topLeftCell="A75" zoomScaleNormal="100" zoomScaleSheetLayoutView="100" workbookViewId="0">
      <selection activeCell="I100" sqref="I100"/>
    </sheetView>
  </sheetViews>
  <sheetFormatPr defaultColWidth="9.28515625" defaultRowHeight="16.5" x14ac:dyDescent="0.3"/>
  <cols>
    <col min="1" max="1" width="2.7109375" style="5" customWidth="1"/>
    <col min="2" max="2" width="2.28515625" style="5" customWidth="1"/>
    <col min="3" max="3" width="4.5703125" style="5" customWidth="1"/>
    <col min="4" max="4" width="2.7109375" style="5" customWidth="1"/>
    <col min="5" max="5" width="7" style="5" customWidth="1"/>
    <col min="6" max="6" width="5.42578125" style="5" customWidth="1"/>
    <col min="7" max="7" width="3.7109375" style="5" customWidth="1"/>
    <col min="8" max="8" width="4.42578125" style="5" customWidth="1"/>
    <col min="9" max="9" width="5.28515625" style="5" customWidth="1"/>
    <col min="10" max="10" width="3.28515625" style="5" customWidth="1"/>
    <col min="11" max="11" width="6" style="5" customWidth="1"/>
    <col min="12" max="12" width="6.42578125" style="5" customWidth="1"/>
    <col min="13" max="13" width="6.28515625" style="5" customWidth="1"/>
    <col min="14" max="14" width="3.28515625" style="5" customWidth="1"/>
    <col min="15" max="15" width="4.42578125" style="5" customWidth="1"/>
    <col min="16" max="16" width="7" style="5" customWidth="1"/>
    <col min="17" max="17" width="5.28515625" style="5" customWidth="1"/>
    <col min="18" max="18" width="12.5703125" style="5" customWidth="1"/>
    <col min="19" max="19" width="3.28515625" style="5" customWidth="1"/>
    <col min="20" max="20" width="11.5703125" style="5" customWidth="1"/>
    <col min="21" max="21" width="1.5703125" style="5" customWidth="1"/>
    <col min="22" max="16384" width="9.28515625" style="5"/>
  </cols>
  <sheetData>
    <row r="1" spans="1:21" ht="14.25" customHeight="1" x14ac:dyDescent="0.3">
      <c r="U1" s="58"/>
    </row>
    <row r="2" spans="1:21" x14ac:dyDescent="0.3">
      <c r="A2" s="21" t="s">
        <v>829</v>
      </c>
      <c r="B2" s="21"/>
      <c r="C2" s="90"/>
      <c r="D2" s="1234">
        <f>FORM!G30</f>
        <v>0</v>
      </c>
      <c r="E2" s="1234"/>
      <c r="F2" s="1234"/>
      <c r="G2" s="1234"/>
      <c r="H2" s="1234"/>
      <c r="I2" s="1234"/>
      <c r="J2" s="1234"/>
      <c r="K2" s="1234"/>
      <c r="L2" s="1234"/>
      <c r="M2" s="1234"/>
      <c r="N2" s="1234"/>
      <c r="O2" s="1234"/>
      <c r="P2" s="1234"/>
      <c r="Q2" s="1234"/>
      <c r="R2" s="21"/>
      <c r="S2" s="21"/>
      <c r="T2" s="21"/>
      <c r="U2" s="23" t="s">
        <v>830</v>
      </c>
    </row>
    <row r="3" spans="1:21" x14ac:dyDescent="0.3">
      <c r="A3" s="1234">
        <f>FORM!G34</f>
        <v>0</v>
      </c>
      <c r="B3" s="1234"/>
      <c r="C3" s="1234"/>
      <c r="D3" s="1234"/>
      <c r="E3" s="1234"/>
      <c r="F3" s="1234"/>
      <c r="G3" s="1234"/>
      <c r="H3" s="1234"/>
      <c r="I3" s="1234"/>
      <c r="J3" s="1234"/>
      <c r="K3" s="1234"/>
      <c r="L3" s="1234"/>
      <c r="M3" s="1234"/>
      <c r="N3" s="1234"/>
      <c r="O3" s="1234"/>
      <c r="P3" s="1234"/>
      <c r="Q3" s="1234"/>
      <c r="R3" s="21"/>
      <c r="S3" s="21"/>
      <c r="T3" s="21"/>
      <c r="U3" s="23" t="s">
        <v>831</v>
      </c>
    </row>
    <row r="4" spans="1:21" ht="16.5" customHeight="1" x14ac:dyDescent="0.3">
      <c r="A4" s="1233" t="s">
        <v>832</v>
      </c>
      <c r="B4" s="1233"/>
      <c r="C4" s="1233"/>
      <c r="D4" s="1233"/>
      <c r="E4" s="1233"/>
      <c r="F4" s="1233"/>
      <c r="G4" s="1233"/>
      <c r="H4" s="1233"/>
      <c r="I4" s="1233"/>
      <c r="J4" s="1233"/>
      <c r="K4" s="1233"/>
      <c r="L4" s="1233"/>
      <c r="M4" s="1233"/>
      <c r="N4" s="1233"/>
      <c r="O4" s="1233"/>
      <c r="P4" s="1233"/>
      <c r="Q4" s="1233"/>
      <c r="R4" s="1233"/>
      <c r="S4" s="1233"/>
      <c r="T4" s="1233"/>
      <c r="U4" s="1233"/>
    </row>
    <row r="5" spans="1:21" x14ac:dyDescent="0.3">
      <c r="A5" s="1233"/>
      <c r="B5" s="1233"/>
      <c r="C5" s="1233"/>
      <c r="D5" s="1233"/>
      <c r="E5" s="1233"/>
      <c r="F5" s="1233"/>
      <c r="G5" s="1233"/>
      <c r="H5" s="1233"/>
      <c r="I5" s="1233"/>
      <c r="J5" s="1233"/>
      <c r="K5" s="1233"/>
      <c r="L5" s="1233"/>
      <c r="M5" s="1233"/>
      <c r="N5" s="1233"/>
      <c r="O5" s="1233"/>
      <c r="P5" s="1233"/>
      <c r="Q5" s="1233"/>
      <c r="R5" s="1233"/>
      <c r="S5" s="1233"/>
      <c r="T5" s="1233"/>
      <c r="U5" s="1233"/>
    </row>
    <row r="6" spans="1:21" ht="9" customHeight="1" x14ac:dyDescent="0.3">
      <c r="A6" s="21"/>
      <c r="B6" s="21"/>
      <c r="C6" s="21"/>
      <c r="D6" s="21"/>
      <c r="E6" s="21"/>
      <c r="F6" s="21"/>
      <c r="G6" s="21"/>
      <c r="H6" s="21"/>
      <c r="I6" s="21"/>
      <c r="J6" s="21"/>
      <c r="K6" s="21"/>
      <c r="L6" s="21"/>
      <c r="M6" s="21"/>
      <c r="N6" s="21"/>
      <c r="O6" s="21"/>
      <c r="P6" s="21"/>
      <c r="Q6" s="21"/>
      <c r="R6" s="21"/>
      <c r="S6" s="21"/>
      <c r="T6" s="21"/>
      <c r="U6" s="21"/>
    </row>
    <row r="7" spans="1:21" ht="16.5" customHeight="1" x14ac:dyDescent="0.3">
      <c r="A7" s="21" t="s">
        <v>833</v>
      </c>
      <c r="B7" s="21"/>
      <c r="C7" s="21"/>
      <c r="D7" s="21"/>
      <c r="E7" s="21"/>
      <c r="F7" s="21"/>
      <c r="G7" s="21"/>
      <c r="H7" s="1234" t="str">
        <f>FORM!Z13</f>
        <v>WEE COMMUNITY DEVELOPERS, INC.</v>
      </c>
      <c r="I7" s="1234"/>
      <c r="J7" s="1234"/>
      <c r="K7" s="1234"/>
      <c r="L7" s="1234"/>
      <c r="M7" s="1234"/>
      <c r="N7" s="1234"/>
      <c r="O7" s="21"/>
      <c r="P7" s="21"/>
      <c r="Q7" s="21"/>
      <c r="R7" s="21"/>
      <c r="S7" s="21"/>
      <c r="T7" s="21"/>
      <c r="U7" s="23" t="s">
        <v>834</v>
      </c>
    </row>
    <row r="8" spans="1:21" x14ac:dyDescent="0.3">
      <c r="A8" s="1235" t="s">
        <v>835</v>
      </c>
      <c r="B8" s="1235"/>
      <c r="C8" s="1235"/>
      <c r="D8" s="1235"/>
      <c r="E8" s="1235"/>
      <c r="F8" s="1235"/>
      <c r="G8" s="1235"/>
      <c r="H8" s="1235"/>
      <c r="I8" s="1235"/>
      <c r="J8" s="1235"/>
      <c r="K8" s="1235"/>
      <c r="L8" s="1235"/>
      <c r="M8" s="1235"/>
      <c r="N8" s="1235"/>
      <c r="O8" s="1235"/>
      <c r="P8" s="1235"/>
      <c r="Q8" s="1235"/>
      <c r="R8" s="1235"/>
      <c r="S8" s="1235"/>
      <c r="T8" s="1235"/>
      <c r="U8" s="1235"/>
    </row>
    <row r="9" spans="1:21" x14ac:dyDescent="0.3">
      <c r="A9" s="1240" t="str">
        <f>FORM!Z14</f>
        <v>166 A. Mabini Street, Addition Hills, San Juan City</v>
      </c>
      <c r="B9" s="1240"/>
      <c r="C9" s="1240"/>
      <c r="D9" s="1240"/>
      <c r="E9" s="1240"/>
      <c r="F9" s="1240"/>
      <c r="G9" s="1240"/>
      <c r="H9" s="1240"/>
      <c r="I9" s="1240"/>
      <c r="J9" s="1240"/>
      <c r="K9" s="1240"/>
      <c r="L9" s="1240"/>
      <c r="M9" s="1240"/>
      <c r="N9" s="1240"/>
      <c r="O9" s="1240"/>
      <c r="P9" s="1240"/>
      <c r="Q9" s="21"/>
      <c r="R9" s="21"/>
      <c r="S9" s="21"/>
      <c r="T9" s="21"/>
      <c r="U9" s="23" t="s">
        <v>836</v>
      </c>
    </row>
    <row r="10" spans="1:21" x14ac:dyDescent="0.3">
      <c r="A10" s="21" t="s">
        <v>837</v>
      </c>
      <c r="B10" s="21"/>
      <c r="C10" s="21"/>
      <c r="D10" s="21"/>
      <c r="E10" s="21"/>
      <c r="F10" s="21"/>
      <c r="G10" s="21"/>
      <c r="H10" s="21"/>
      <c r="I10" s="1234" t="str">
        <f>FORM!G11</f>
        <v>WEECOMM CENTRE</v>
      </c>
      <c r="J10" s="1234"/>
      <c r="K10" s="1234"/>
      <c r="L10" s="1234"/>
      <c r="M10" s="1234"/>
      <c r="N10" s="1234"/>
      <c r="O10" s="1234"/>
      <c r="P10" s="1234"/>
      <c r="Q10" s="1234"/>
      <c r="R10" s="1234"/>
      <c r="S10" s="1234"/>
      <c r="T10" s="1234"/>
      <c r="U10" s="1234"/>
    </row>
    <row r="11" spans="1:21" x14ac:dyDescent="0.3">
      <c r="A11" s="21" t="s">
        <v>838</v>
      </c>
      <c r="B11" s="21"/>
      <c r="C11" s="21"/>
      <c r="D11" s="21"/>
      <c r="E11" s="21"/>
      <c r="F11" s="21"/>
      <c r="G11" s="21"/>
      <c r="H11" s="21"/>
      <c r="I11" s="21"/>
      <c r="J11" s="21"/>
      <c r="K11" s="21"/>
      <c r="L11" s="21"/>
      <c r="M11" s="1229" t="str">
        <f>'RA_Step up'!M12:U12</f>
        <v>#54 Tinio St. Barangay Addition Hills, Mandaluyong City</v>
      </c>
      <c r="N11" s="1229"/>
      <c r="O11" s="1229"/>
      <c r="P11" s="1229"/>
      <c r="Q11" s="1229"/>
      <c r="R11" s="1229"/>
      <c r="S11" s="1229"/>
      <c r="T11" s="1229"/>
      <c r="U11" s="1229"/>
    </row>
    <row r="12" spans="1:21" x14ac:dyDescent="0.3">
      <c r="A12" s="21" t="s">
        <v>839</v>
      </c>
      <c r="B12" s="21"/>
      <c r="C12" s="21"/>
      <c r="D12" s="21"/>
      <c r="E12" s="21"/>
      <c r="F12" s="21"/>
      <c r="G12" s="21"/>
      <c r="H12" s="21"/>
      <c r="I12" s="21"/>
      <c r="J12" s="21"/>
      <c r="K12" s="1241" t="str">
        <f>RA_SC30D!K12</f>
        <v>2-BR BARE</v>
      </c>
      <c r="L12" s="1234"/>
      <c r="M12" s="1234"/>
      <c r="N12" s="1234"/>
      <c r="O12" s="1234"/>
      <c r="P12" s="1234"/>
      <c r="Q12" s="1234"/>
      <c r="R12" s="1234"/>
      <c r="S12" s="1234"/>
      <c r="T12" s="1234"/>
      <c r="U12" s="1234"/>
    </row>
    <row r="13" spans="1:21" ht="13.5" customHeight="1" x14ac:dyDescent="0.3">
      <c r="A13" s="21" t="s">
        <v>840</v>
      </c>
      <c r="B13" s="21"/>
      <c r="C13" s="21"/>
      <c r="D13" s="21"/>
      <c r="E13" s="21"/>
      <c r="F13" s="21"/>
      <c r="G13" s="21"/>
      <c r="H13" s="21"/>
      <c r="I13" s="21"/>
      <c r="J13" s="21"/>
      <c r="K13" s="21"/>
      <c r="L13" s="21"/>
      <c r="M13" s="21"/>
      <c r="N13" s="21"/>
      <c r="O13" s="21"/>
      <c r="P13" s="21"/>
      <c r="Q13" s="21"/>
      <c r="R13" s="21"/>
      <c r="S13" s="21"/>
      <c r="T13" s="21"/>
      <c r="U13" s="21"/>
    </row>
    <row r="14" spans="1:21" x14ac:dyDescent="0.3">
      <c r="A14" s="21"/>
      <c r="B14" s="21"/>
      <c r="C14" s="21"/>
      <c r="D14" s="21"/>
      <c r="E14" s="21"/>
      <c r="F14" s="21"/>
      <c r="G14" s="21"/>
      <c r="H14" s="21"/>
      <c r="I14" s="21"/>
      <c r="J14" s="21"/>
      <c r="K14" s="21"/>
      <c r="L14" s="21"/>
      <c r="M14" s="21"/>
      <c r="N14" s="21"/>
      <c r="O14" s="21"/>
      <c r="P14" s="21"/>
      <c r="Q14" s="21"/>
      <c r="R14" s="21"/>
      <c r="S14" s="21"/>
      <c r="T14" s="21"/>
      <c r="U14" s="21"/>
    </row>
    <row r="15" spans="1:21" x14ac:dyDescent="0.3">
      <c r="A15" s="25" t="s">
        <v>781</v>
      </c>
      <c r="B15" s="26"/>
      <c r="C15" s="26"/>
      <c r="D15" s="24"/>
      <c r="E15" s="1229" t="str">
        <f>FORM!G11</f>
        <v>WEECOMM CENTRE</v>
      </c>
      <c r="F15" s="1229"/>
      <c r="G15" s="1229"/>
      <c r="H15" s="1229"/>
      <c r="I15" s="1229"/>
      <c r="J15" s="1229"/>
      <c r="K15" s="1229"/>
      <c r="L15" s="1229"/>
      <c r="M15" s="1229"/>
      <c r="N15" s="1229"/>
      <c r="O15" s="1229"/>
      <c r="P15" s="1229"/>
      <c r="Q15" s="1229"/>
      <c r="R15" s="1229"/>
      <c r="S15" s="1229"/>
      <c r="T15" s="1229"/>
      <c r="U15" s="62"/>
    </row>
    <row r="16" spans="1:21" x14ac:dyDescent="0.3">
      <c r="A16" s="27" t="s">
        <v>782</v>
      </c>
      <c r="B16" s="28"/>
      <c r="C16" s="28"/>
      <c r="D16" s="29"/>
      <c r="E16" s="30" t="s">
        <v>841</v>
      </c>
      <c r="F16" s="29"/>
      <c r="G16" s="29"/>
      <c r="H16" s="29"/>
      <c r="I16" s="29"/>
      <c r="J16" s="29"/>
      <c r="K16" s="29"/>
      <c r="L16" s="60" t="s">
        <v>842</v>
      </c>
      <c r="M16" s="29"/>
      <c r="N16" s="29"/>
      <c r="O16" s="29"/>
      <c r="P16" s="29"/>
      <c r="Q16" s="29"/>
      <c r="R16" s="29"/>
      <c r="S16" s="29"/>
      <c r="T16" s="30" t="s">
        <v>843</v>
      </c>
      <c r="U16" s="59"/>
    </row>
    <row r="17" spans="1:21" x14ac:dyDescent="0.3">
      <c r="A17" s="31"/>
      <c r="B17" s="8"/>
      <c r="C17" s="8"/>
      <c r="D17" s="8"/>
      <c r="E17" s="32" t="s">
        <v>844</v>
      </c>
      <c r="F17" s="8"/>
      <c r="G17" s="8"/>
      <c r="H17" s="8"/>
      <c r="I17" s="8"/>
      <c r="J17" s="8"/>
      <c r="K17" s="8"/>
      <c r="L17" s="32" t="s">
        <v>786</v>
      </c>
      <c r="M17" s="8"/>
      <c r="N17" s="8"/>
      <c r="O17" s="8"/>
      <c r="P17" s="8"/>
      <c r="Q17" s="8"/>
      <c r="R17" s="8"/>
      <c r="S17" s="8"/>
      <c r="T17" s="32" t="s">
        <v>845</v>
      </c>
      <c r="U17" s="33"/>
    </row>
    <row r="18" spans="1:21" x14ac:dyDescent="0.3">
      <c r="T18" s="5" t="s">
        <v>660</v>
      </c>
    </row>
    <row r="19" spans="1:21" x14ac:dyDescent="0.3">
      <c r="A19" s="1230" t="s">
        <v>784</v>
      </c>
      <c r="B19" s="1231"/>
      <c r="C19" s="1231"/>
      <c r="D19" s="1231"/>
      <c r="E19" s="1231"/>
      <c r="F19" s="1232"/>
      <c r="G19" s="1230" t="s">
        <v>267</v>
      </c>
      <c r="H19" s="1231"/>
      <c r="I19" s="1231"/>
      <c r="J19" s="1231"/>
      <c r="K19" s="1231"/>
      <c r="L19" s="1232"/>
      <c r="M19" s="1230" t="s">
        <v>785</v>
      </c>
      <c r="N19" s="1231"/>
      <c r="O19" s="1231"/>
      <c r="P19" s="1231"/>
      <c r="Q19" s="1232"/>
      <c r="R19" s="1230" t="s">
        <v>786</v>
      </c>
      <c r="S19" s="1231"/>
      <c r="T19" s="1231"/>
      <c r="U19" s="1232"/>
    </row>
    <row r="20" spans="1:21" x14ac:dyDescent="0.3">
      <c r="A20" s="40" t="s">
        <v>787</v>
      </c>
      <c r="B20" s="41"/>
      <c r="C20" s="41"/>
      <c r="D20" s="1193">
        <f>FORM!G14</f>
        <v>1</v>
      </c>
      <c r="E20" s="1194"/>
      <c r="F20" s="1195"/>
      <c r="G20" s="40" t="s">
        <v>787</v>
      </c>
      <c r="H20" s="41"/>
      <c r="I20" s="42"/>
      <c r="J20" s="1207"/>
      <c r="K20" s="1208"/>
      <c r="L20" s="1209"/>
      <c r="M20" s="40" t="s">
        <v>788</v>
      </c>
      <c r="N20" s="41"/>
      <c r="O20" s="42"/>
      <c r="P20" s="1210"/>
      <c r="Q20" s="1197"/>
      <c r="R20" s="1211" t="s">
        <v>787</v>
      </c>
      <c r="S20" s="1212"/>
      <c r="T20" s="1213"/>
      <c r="U20" s="1214"/>
    </row>
    <row r="21" spans="1:21" x14ac:dyDescent="0.3">
      <c r="A21" s="36" t="s">
        <v>789</v>
      </c>
      <c r="B21" s="37"/>
      <c r="C21" s="37"/>
      <c r="D21" s="1193" t="str">
        <f>'RA_Step up'!D22:E22</f>
        <v>GF</v>
      </c>
      <c r="E21" s="1194"/>
      <c r="F21" s="55"/>
      <c r="G21" s="40" t="s">
        <v>790</v>
      </c>
      <c r="H21" s="41"/>
      <c r="I21" s="42"/>
      <c r="J21" s="1207"/>
      <c r="K21" s="1208"/>
      <c r="L21" s="1209"/>
      <c r="M21" s="40" t="s">
        <v>791</v>
      </c>
      <c r="N21" s="41"/>
      <c r="O21" s="42"/>
      <c r="P21" s="1210"/>
      <c r="Q21" s="1197"/>
      <c r="R21" s="1211" t="s">
        <v>792</v>
      </c>
      <c r="S21" s="1212"/>
      <c r="T21" s="1213"/>
      <c r="U21" s="1214"/>
    </row>
    <row r="22" spans="1:21" x14ac:dyDescent="0.3">
      <c r="A22" s="40" t="s">
        <v>792</v>
      </c>
      <c r="B22" s="41"/>
      <c r="C22" s="42"/>
      <c r="D22" s="1193" t="str">
        <f>'RA_Step up'!D23:E23</f>
        <v>9G</v>
      </c>
      <c r="E22" s="1194"/>
      <c r="F22" s="55"/>
      <c r="G22" s="40" t="s">
        <v>793</v>
      </c>
      <c r="H22" s="41"/>
      <c r="I22" s="42"/>
      <c r="J22" s="1207"/>
      <c r="K22" s="1208"/>
      <c r="L22" s="1209"/>
      <c r="M22" s="40" t="s">
        <v>794</v>
      </c>
      <c r="N22" s="41"/>
      <c r="O22" s="42"/>
      <c r="P22" s="1210"/>
      <c r="Q22" s="1197"/>
      <c r="R22" s="1211" t="s">
        <v>795</v>
      </c>
      <c r="S22" s="1212"/>
      <c r="T22" s="1213"/>
      <c r="U22" s="1214"/>
    </row>
    <row r="23" spans="1:21" ht="16.5" customHeight="1" x14ac:dyDescent="0.3">
      <c r="A23" s="36" t="s">
        <v>80</v>
      </c>
      <c r="B23" s="37"/>
      <c r="C23" s="37"/>
      <c r="D23" s="1242">
        <f>'STANDARD COMP.'!E13</f>
        <v>108.78</v>
      </c>
      <c r="E23" s="1243"/>
      <c r="F23" s="55" t="s">
        <v>693</v>
      </c>
      <c r="G23" s="40" t="s">
        <v>795</v>
      </c>
      <c r="H23" s="41"/>
      <c r="I23" s="42"/>
      <c r="J23" s="1207"/>
      <c r="K23" s="1208"/>
      <c r="L23" s="1209"/>
      <c r="M23" s="36" t="s">
        <v>846</v>
      </c>
      <c r="N23" s="37"/>
      <c r="O23" s="37"/>
      <c r="P23" s="1210"/>
      <c r="Q23" s="1197"/>
      <c r="R23" s="1215" t="s">
        <v>796</v>
      </c>
      <c r="S23" s="1216"/>
      <c r="T23" s="1221"/>
      <c r="U23" s="1222"/>
    </row>
    <row r="24" spans="1:21" x14ac:dyDescent="0.3">
      <c r="A24" s="40" t="s">
        <v>797</v>
      </c>
      <c r="B24" s="41"/>
      <c r="C24" s="42"/>
      <c r="D24" s="1237" t="str">
        <f>K12</f>
        <v>2-BR BARE</v>
      </c>
      <c r="E24" s="1194"/>
      <c r="F24" s="1195"/>
      <c r="G24" s="40" t="s">
        <v>798</v>
      </c>
      <c r="H24" s="41"/>
      <c r="I24" s="42"/>
      <c r="J24" s="1207"/>
      <c r="K24" s="1208"/>
      <c r="L24" s="1209"/>
      <c r="M24" s="40" t="s">
        <v>800</v>
      </c>
      <c r="N24" s="41"/>
      <c r="O24" s="42"/>
      <c r="P24" s="1193"/>
      <c r="Q24" s="1195"/>
      <c r="R24" s="1219"/>
      <c r="S24" s="1220"/>
      <c r="T24" s="1225"/>
      <c r="U24" s="1226"/>
    </row>
    <row r="26" spans="1:21" x14ac:dyDescent="0.3">
      <c r="A26" s="40" t="s">
        <v>37</v>
      </c>
      <c r="B26" s="41"/>
      <c r="C26" s="41"/>
      <c r="D26" s="41"/>
      <c r="E26" s="41"/>
      <c r="F26" s="41"/>
      <c r="G26" s="41"/>
      <c r="H26" s="42"/>
      <c r="I26" s="1199">
        <f>'SPOT CASH_60 DAYS'!F15</f>
        <v>20466686.730335645</v>
      </c>
      <c r="J26" s="1200"/>
      <c r="K26" s="1200"/>
      <c r="L26" s="1200"/>
      <c r="M26" s="1200"/>
      <c r="N26" s="1200"/>
      <c r="O26" s="1200"/>
      <c r="P26" s="1200"/>
      <c r="Q26" s="1200"/>
      <c r="R26" s="1200"/>
      <c r="S26" s="1200"/>
      <c r="T26" s="1200"/>
      <c r="U26" s="1201"/>
    </row>
    <row r="27" spans="1:21" x14ac:dyDescent="0.3">
      <c r="A27" s="40" t="s">
        <v>801</v>
      </c>
      <c r="B27" s="41"/>
      <c r="C27" s="43"/>
      <c r="D27" s="43"/>
      <c r="E27" s="43"/>
      <c r="F27" s="43"/>
      <c r="G27" s="43"/>
      <c r="H27" s="44"/>
      <c r="I27" s="1202">
        <f>'SPOT CASH_60 DAYS'!F16+'SPOT CASH_60 DAYS'!F17</f>
        <v>0</v>
      </c>
      <c r="J27" s="1203"/>
      <c r="K27" s="1203"/>
      <c r="L27" s="1203"/>
      <c r="M27" s="1203"/>
      <c r="N27" s="1203"/>
      <c r="O27" s="1203"/>
      <c r="P27" s="1203"/>
      <c r="Q27" s="1203"/>
      <c r="R27" s="1203"/>
      <c r="S27" s="1203"/>
      <c r="T27" s="1203"/>
      <c r="U27" s="1204"/>
    </row>
    <row r="28" spans="1:21" x14ac:dyDescent="0.3">
      <c r="A28" s="52" t="s">
        <v>92</v>
      </c>
      <c r="B28" s="53"/>
      <c r="C28" s="54"/>
      <c r="D28" s="54"/>
      <c r="E28" s="54"/>
      <c r="F28" s="54"/>
      <c r="G28" s="54"/>
      <c r="H28" s="51"/>
      <c r="I28" s="1199">
        <f>'SPOT CASH_60 DAYS'!F18</f>
        <v>20466686.730335645</v>
      </c>
      <c r="J28" s="1200"/>
      <c r="K28" s="1200"/>
      <c r="L28" s="1200"/>
      <c r="M28" s="1200"/>
      <c r="N28" s="1200"/>
      <c r="O28" s="1200"/>
      <c r="P28" s="1200"/>
      <c r="Q28" s="1200"/>
      <c r="R28" s="1200"/>
      <c r="S28" s="1200"/>
      <c r="T28" s="1200"/>
      <c r="U28" s="1201"/>
    </row>
    <row r="29" spans="1:21" x14ac:dyDescent="0.3">
      <c r="A29" s="40" t="s">
        <v>802</v>
      </c>
      <c r="B29" s="41"/>
      <c r="C29" s="43"/>
      <c r="D29" s="43"/>
      <c r="E29" s="43"/>
      <c r="F29" s="43"/>
      <c r="G29" s="43"/>
      <c r="H29" s="44"/>
      <c r="I29" s="1199">
        <f>'SPOT CASH_60 DAYS'!F20</f>
        <v>1535001.5047751733</v>
      </c>
      <c r="J29" s="1200"/>
      <c r="K29" s="1200"/>
      <c r="L29" s="1200"/>
      <c r="M29" s="1200"/>
      <c r="N29" s="1200"/>
      <c r="O29" s="1200"/>
      <c r="P29" s="1200"/>
      <c r="Q29" s="1200"/>
      <c r="R29" s="1200"/>
      <c r="S29" s="1200"/>
      <c r="T29" s="1200"/>
      <c r="U29" s="1201"/>
    </row>
    <row r="30" spans="1:21" x14ac:dyDescent="0.3">
      <c r="A30" s="40" t="s">
        <v>803</v>
      </c>
      <c r="B30" s="41"/>
      <c r="C30" s="43"/>
      <c r="D30" s="43"/>
      <c r="E30" s="43"/>
      <c r="F30" s="43"/>
      <c r="G30" s="43"/>
      <c r="H30" s="44"/>
      <c r="I30" s="1199">
        <f>'SPOT CASH_60 DAYS'!F21</f>
        <v>2456002.4076402774</v>
      </c>
      <c r="J30" s="1200"/>
      <c r="K30" s="1200"/>
      <c r="L30" s="1200"/>
      <c r="M30" s="1200"/>
      <c r="N30" s="1200"/>
      <c r="O30" s="1200"/>
      <c r="P30" s="1200"/>
      <c r="Q30" s="1200"/>
      <c r="R30" s="1200"/>
      <c r="S30" s="1200"/>
      <c r="T30" s="1200"/>
      <c r="U30" s="1201"/>
    </row>
    <row r="31" spans="1:21" x14ac:dyDescent="0.3">
      <c r="A31" s="40" t="s">
        <v>41</v>
      </c>
      <c r="B31" s="41"/>
      <c r="C31" s="43"/>
      <c r="D31" s="43"/>
      <c r="E31" s="43"/>
      <c r="F31" s="43"/>
      <c r="G31" s="43"/>
      <c r="H31" s="44"/>
      <c r="I31" s="1199">
        <f>'SPOT CASH_60 DAYS'!F23</f>
        <v>24457690.642751098</v>
      </c>
      <c r="J31" s="1200"/>
      <c r="K31" s="1200"/>
      <c r="L31" s="1200"/>
      <c r="M31" s="1200"/>
      <c r="N31" s="1200"/>
      <c r="O31" s="1200"/>
      <c r="P31" s="1200"/>
      <c r="Q31" s="1200"/>
      <c r="R31" s="1200"/>
      <c r="S31" s="1200"/>
      <c r="T31" s="1200"/>
      <c r="U31" s="1201"/>
    </row>
    <row r="33" spans="1:21" x14ac:dyDescent="0.3">
      <c r="A33" s="74" t="s">
        <v>848</v>
      </c>
      <c r="B33" s="45"/>
      <c r="C33" s="45"/>
      <c r="D33" s="45"/>
      <c r="E33" s="45"/>
      <c r="F33" s="45"/>
      <c r="G33" s="46"/>
      <c r="H33" s="46"/>
      <c r="I33" s="46"/>
      <c r="J33" s="46"/>
      <c r="K33" s="46"/>
      <c r="L33" s="46"/>
      <c r="M33" s="46"/>
      <c r="N33" s="46"/>
      <c r="O33" s="46"/>
      <c r="P33" s="46"/>
      <c r="Q33" s="46"/>
      <c r="R33" s="46"/>
      <c r="S33" s="46"/>
      <c r="T33" s="46"/>
      <c r="U33" s="47"/>
    </row>
    <row r="34" spans="1:21" ht="4.5" customHeight="1" x14ac:dyDescent="0.3">
      <c r="A34" s="34"/>
      <c r="B34" s="18"/>
      <c r="C34" s="18"/>
      <c r="D34" s="18"/>
      <c r="E34" s="18"/>
      <c r="F34" s="18"/>
      <c r="G34" s="18"/>
      <c r="H34" s="18"/>
      <c r="I34" s="18"/>
      <c r="J34" s="18"/>
      <c r="K34" s="18"/>
      <c r="L34" s="18"/>
      <c r="M34" s="18"/>
      <c r="N34" s="18"/>
      <c r="O34" s="18"/>
      <c r="P34" s="18"/>
      <c r="Q34" s="18"/>
      <c r="R34" s="18"/>
      <c r="S34" s="18"/>
      <c r="T34" s="18"/>
      <c r="U34" s="35"/>
    </row>
    <row r="35" spans="1:21" x14ac:dyDescent="0.3">
      <c r="A35" s="34"/>
      <c r="B35" s="18"/>
      <c r="C35" s="18"/>
      <c r="D35" s="18" t="s">
        <v>849</v>
      </c>
      <c r="E35" s="18"/>
      <c r="F35" s="18"/>
      <c r="G35" s="18"/>
      <c r="H35" s="18"/>
      <c r="I35" s="18"/>
      <c r="J35" s="18"/>
      <c r="K35" s="18"/>
      <c r="L35" s="18"/>
      <c r="M35" s="18" t="s">
        <v>850</v>
      </c>
      <c r="O35" s="18"/>
      <c r="P35" s="18"/>
      <c r="Q35" s="18"/>
      <c r="R35" s="18" t="s">
        <v>917</v>
      </c>
      <c r="S35" s="18"/>
      <c r="T35" s="18"/>
      <c r="U35" s="35"/>
    </row>
    <row r="36" spans="1:21" ht="4.5" customHeight="1" x14ac:dyDescent="0.3">
      <c r="A36" s="75"/>
      <c r="B36" s="32"/>
      <c r="C36" s="32"/>
      <c r="D36" s="32"/>
      <c r="E36" s="32"/>
      <c r="F36" s="32"/>
      <c r="G36" s="32"/>
      <c r="H36" s="32"/>
      <c r="I36" s="32"/>
      <c r="J36" s="32"/>
      <c r="K36" s="32"/>
      <c r="L36" s="32"/>
      <c r="M36" s="32"/>
      <c r="N36" s="32"/>
      <c r="O36" s="32"/>
      <c r="P36" s="32"/>
      <c r="Q36" s="32"/>
      <c r="R36" s="32"/>
      <c r="S36" s="32"/>
      <c r="T36" s="32"/>
      <c r="U36" s="76"/>
    </row>
    <row r="37" spans="1:21" ht="11.25" customHeight="1" x14ac:dyDescent="0.3"/>
    <row r="38" spans="1:21" x14ac:dyDescent="0.3">
      <c r="A38" s="6" t="s">
        <v>852</v>
      </c>
    </row>
    <row r="39" spans="1:21" ht="13.5" customHeight="1" x14ac:dyDescent="0.3">
      <c r="A39" s="82" t="s">
        <v>853</v>
      </c>
      <c r="C39" s="1247" t="s">
        <v>854</v>
      </c>
      <c r="D39" s="1247"/>
      <c r="E39" s="1247"/>
      <c r="F39" s="1247"/>
      <c r="G39" s="1247"/>
      <c r="H39" s="1247"/>
      <c r="I39" s="1247"/>
      <c r="J39" s="1247"/>
      <c r="K39" s="1247"/>
      <c r="L39" s="1247"/>
      <c r="M39" s="1247"/>
      <c r="N39" s="1472" t="str">
        <f>IF(OR(LEN(FLOOR(T39,1))=13,FLOOR(T39,1)&lt;=0),"Out of range",PROPER(SUBSTITUTE(CONCATENATE(CHOOSE(MID(TEXT(INT(T39),REPT(0,12)),1,1)+1,"","one hundred ","two hundred ","three hundred ","four hundred ","five hundred ","six hundred ","seven hundred ","eight hundred ","nine hundred "),CHOOSE(MID(TEXT(INT(T39),REPT(0,12)),2,1)+1,"",CHOOSE(MID(TEXT(INT(T39),REPT(0,12)),3,1)+1,"ten","eleven","twelve","thirteen","fourteen","fifteen","sixteen","seventeen","eighteen","nineteen"),"twenty","thirty","forty","fifty","sixty","seventy","eighty","ninety"),IF(VALUE(MID(TEXT(INT(T39),REPT(0,12)),2,1))&gt;1,CHOOSE(MID(TEXT(INT(T39),REPT(0,12)),3,1)+1,"","-one","-two","-three","-four","-five","-six","-seven","-eight","-nine"),IF(VALUE(MID(TEXT(INT(T39),REPT(0,12)),2,1))=0,CHOOSE(MID(TEXT(INT(T39),REPT(0,12)),3,1)+1,"","one","two","three","four","five","six","seven","eight","nine"),"")),IF(T39&gt;=10^9," billion ",""),CHOOSE(MID(TEXT(INT(T39),REPT(0,12)),4,1)+1,"","one hundred ","two hundred ","three hundred ","four hundred ","five hundred ","six hundred ","seven hundred ","eight hundred ","nine hundred "),CHOOSE(MID(TEXT(INT(T39),REPT(0,12)),5,1)+1,"",CHOOSE(MID(TEXT(INT(T39),REPT(0,12)),6,1)+1,"ten","eleven","twelve","thirteen","fourteen","fifteen","sixteen","seventeen","eighteen","nineteen"),"twenty","thirty","forty","fifty","sixty","seventy","eighty","ninety"),IF(VALUE(MID(TEXT(INT(T39),REPT(0,12)),5,1))&gt;1,CHOOSE(MID(TEXT(INT(T39),REPT(0,12)),6,1)+1,"","-one","-two","-three","-four","-five","-six","-seven","-eight","-nine"),IF(VALUE(MID(TEXT(INT(T39),REPT(0,12)),5,1))=0,CHOOSE(MID(TEXT(INT(T39),REPT(0,12)),6,1)+1,"","one","two","three","four","five","six","seven","eight","nine"),"")),IF(VALUE(MID(TEXT(INT(T39),REPT(0,12)),4,3))&gt;0," million ",""),CHOOSE(MID(TEXT(INT(T39),REPT(0,12)),7,1)+1,"","one hundred ","two hundred ","three hundred ","four hundred ","five hundred ","six hundred ","seven hundred ","eight hundred ","nine hundred "),CHOOSE(MID(TEXT(INT(T39),REPT(0,12)),8,1)+1,"",CHOOSE(MID(TEXT(INT(T39),REPT(0,12)),9,1)+1,"ten","eleven","twelve","thirteen","fourteen","fifteen","sixteen","seventeen","eighteen","nineteen"),"twenty","thirty","forty","fifty","sixty","seventy","eighty","ninety"),IF(VALUE(MID(TEXT(INT(T39),REPT(0,12)),8,1))&gt;1,CHOOSE(MID(TEXT(INT(T39),REPT(0,12)),9,1)+1,"","-one","-two","-three","-four","-five","-six","-seven","-eight","-nine"),IF(VALUE(MID(TEXT(INT(T39),REPT(0,12)),8,1))=0,CHOOSE(MID(TEXT(INT(T39),REPT(0,12)),9,1)+1,"","one","two","three","four","five","six","seven","eight","nine"),"")),IF(VALUE(MID(TEXT(INT(T39),REPT(0,12)),7,3))," thousand ",""),CHOOSE(MID(TEXT(INT(T39),REPT(0,12)),10,1)+1,"","one hundred ","two hundred ","three hundred ","four hundred ","five hundred ","six hundred ","seven hundred ","eight hundred ","nine hundred "),CHOOSE(MID(TEXT(INT(T39),REPT(0,12)),11,1)+1,"",CHOOSE(MID(TEXT(INT(T39),REPT(0,12)),12,1)+1,"ten","eleven","twelve","thirteen","fourteen","fifteen","sixteen","seventeen","eighteen","nineteen"),"twenty","thirty","forty","fifty","sixty","seventy","eighty","ninety"),IF(VALUE(MID(TEXT(INT(T39),REPT(0,12)),11,1))&gt;1,CHOOSE(MID(TEXT(INT(T39),REPT(0,12)),12,1)+1,"","-one","-two","-three","-four","-five","-six","-seven","-eight","-nine"),IF(VALUE(MID(TEXT(INT(T39),REPT(0,12)),11,1))=0,CHOOSE(MID(TEXT(INT(T39),REPT(0,12)),12,1)+1,"","one","two","three","four","five","six","seven","eight","nine"),""))),"  "," ")&amp;IF(FLOOR(T39,1)&gt;1," PESOS"," dollar"))&amp;IF(ISERROR(FIND(".",T39,1)),""," and "&amp;PROPER(IF(LEN(LEFT(TRIM(MID(SUBSTITUTE([22]Sheet1!A2,".",REPT(" ",255)),255,200)),2))=1,CHOOSE(1*LEFT(TRIM(MID(SUBSTITUTE([22]Sheet1!A2,".",REPT(" ",255)),255,200)),2),"ten","twenty","thirty","forty","fifty","sixty","seventy","eighty","ninety")&amp;" cents","")&amp;CONCATENATE(CHOOSE(MID(TEXT(INT(LEFT(TRIM(MID(SUBSTITUTE([22]Sheet1!A2,".",REPT(" ",255)),255,200)),2)),REPT(0,12)),11,1)+1,"",CHOOSE(MID(TEXT(INT(LEFT(TRIM(MID(SUBSTITUTE([22]Sheet1!A2,".",REPT(" ",255)),255,200)),2)),REPT(0,12)),12,1)+1,"ten","eleven","twelve","thirteen","fourteen","fifteen","sixteen","seventeen","eighteen","nineteen")&amp;" cents","twenty","thirty","forty","fifty","sixty","seventy","eighty","ninety"),IF(VALUE(MID(TEXT(INT(LEFT(TRIM(MID(SUBSTITUTE([22]Sheet1!A2,".",REPT(" ",255)),255,200)),2)),REPT(0,12)),11,1))&gt;1,CHOOSE(MID(TEXT(INT(LEFT(TRIM(MID(SUBSTITUTE([22]Sheet1!A2,".",REPT(" ",255)),255,200)),2)),REPT(0,12)),12,1)+1,"","-one","-two","-three","-four","-five","-six","-seven","-eight","-nine")&amp;" cents",IF(LEFT(TRIM(MID(SUBSTITUTE([22]Sheet1!A2,".",REPT(" ",255)),255,200)),2)="01","one cent",IF(LEFT(TRIM(MID(SUBSTITUTE([22]Sheet1!A2,".",REPT(" ",255)),255,200)),1)="0",CHOOSE(MID(TEXT(INT(LEFT(TRIM(MID(SUBSTITUTE([22]Sheet1!A2,".",REPT(" ",255)),255,200)),2)),REPT(0,12)),12,1)+1,"","one","two","three","four","five","six","seven","eight","nine")&amp;" cents","")))))))</f>
        <v>Fifty Thousand  Pesos</v>
      </c>
      <c r="O39" s="1472"/>
      <c r="P39" s="1472"/>
      <c r="Q39" s="1472"/>
      <c r="R39" s="1472"/>
      <c r="S39" s="97" t="s">
        <v>855</v>
      </c>
      <c r="T39" s="83">
        <f>FORM!G24</f>
        <v>50000</v>
      </c>
      <c r="U39" s="99" t="s">
        <v>856</v>
      </c>
    </row>
    <row r="40" spans="1:21" ht="13.5" customHeight="1" x14ac:dyDescent="0.3">
      <c r="A40" s="82"/>
      <c r="C40" s="86"/>
      <c r="D40" s="86"/>
      <c r="E40" s="86"/>
      <c r="F40" s="86"/>
      <c r="G40" s="86"/>
      <c r="H40" s="86"/>
      <c r="I40" s="86"/>
      <c r="J40" s="86"/>
      <c r="K40" s="86"/>
      <c r="L40" s="86"/>
      <c r="M40" s="86"/>
      <c r="N40" s="86"/>
      <c r="O40" s="84"/>
      <c r="P40" s="84"/>
      <c r="Q40" s="84"/>
      <c r="R40" s="84"/>
      <c r="S40" s="97"/>
      <c r="T40" s="85"/>
      <c r="U40" s="97"/>
    </row>
    <row r="41" spans="1:21" ht="13.5" customHeight="1" x14ac:dyDescent="0.3">
      <c r="A41" s="82"/>
      <c r="C41" s="86"/>
      <c r="D41" s="86"/>
      <c r="E41" s="86"/>
      <c r="F41" s="86"/>
      <c r="G41" s="86"/>
      <c r="H41" s="86"/>
      <c r="I41" s="86"/>
      <c r="J41" s="86"/>
      <c r="K41" s="86"/>
      <c r="L41" s="86"/>
      <c r="M41" s="86"/>
      <c r="N41" s="86"/>
      <c r="O41" s="84"/>
      <c r="P41" s="84"/>
      <c r="Q41" s="84"/>
      <c r="R41" s="84"/>
      <c r="S41" s="97"/>
      <c r="T41" s="85"/>
      <c r="U41" s="97"/>
    </row>
    <row r="42" spans="1:21" ht="13.5" customHeight="1" x14ac:dyDescent="0.3">
      <c r="A42" s="82"/>
      <c r="C42" s="86"/>
      <c r="D42" s="86"/>
      <c r="E42" s="86"/>
      <c r="F42" s="86"/>
      <c r="G42" s="86"/>
      <c r="H42" s="86"/>
      <c r="I42" s="86"/>
      <c r="J42" s="86"/>
      <c r="K42" s="86"/>
      <c r="L42" s="86"/>
      <c r="M42" s="86"/>
      <c r="N42" s="86"/>
      <c r="O42" s="84"/>
      <c r="P42" s="84"/>
      <c r="Q42" s="84"/>
      <c r="R42" s="84"/>
      <c r="S42" s="97"/>
      <c r="T42" s="85"/>
      <c r="U42" s="97"/>
    </row>
    <row r="43" spans="1:21" ht="13.5" customHeight="1" x14ac:dyDescent="0.3">
      <c r="A43" s="82"/>
      <c r="C43" s="86"/>
      <c r="D43" s="86"/>
      <c r="E43" s="86"/>
      <c r="F43" s="86"/>
      <c r="G43" s="86"/>
      <c r="H43" s="86"/>
      <c r="I43" s="86"/>
      <c r="J43" s="86"/>
      <c r="K43" s="86"/>
      <c r="L43" s="86"/>
      <c r="M43" s="86"/>
      <c r="N43" s="86"/>
      <c r="O43" s="84"/>
      <c r="P43" s="84"/>
      <c r="Q43" s="84"/>
      <c r="R43" s="84"/>
      <c r="S43" s="97"/>
      <c r="T43" s="85"/>
      <c r="U43" s="97"/>
    </row>
    <row r="44" spans="1:21" ht="13.5" customHeight="1" x14ac:dyDescent="0.3">
      <c r="A44" s="82"/>
      <c r="C44" s="86"/>
      <c r="D44" s="86"/>
      <c r="E44" s="86"/>
      <c r="F44" s="86"/>
      <c r="G44" s="86"/>
      <c r="H44" s="86"/>
      <c r="I44" s="86"/>
      <c r="J44" s="86"/>
      <c r="K44" s="86"/>
      <c r="L44" s="86"/>
      <c r="M44" s="86"/>
      <c r="N44" s="86"/>
      <c r="O44" s="84"/>
      <c r="P44" s="84"/>
      <c r="Q44" s="84"/>
      <c r="R44" s="84"/>
      <c r="S44" s="97"/>
      <c r="T44" s="85"/>
      <c r="U44" s="97"/>
    </row>
    <row r="45" spans="1:21" ht="13.5" customHeight="1" x14ac:dyDescent="0.3">
      <c r="A45" s="82"/>
      <c r="C45" s="86"/>
      <c r="D45" s="86"/>
      <c r="E45" s="86"/>
      <c r="F45" s="86"/>
      <c r="G45" s="86"/>
      <c r="H45" s="86"/>
      <c r="I45" s="86"/>
      <c r="J45" s="86"/>
      <c r="K45" s="86"/>
      <c r="L45" s="86"/>
      <c r="M45" s="86"/>
      <c r="N45" s="86"/>
      <c r="O45" s="84"/>
      <c r="P45" s="84"/>
      <c r="Q45" s="84"/>
      <c r="R45" s="84"/>
      <c r="S45" s="97"/>
      <c r="T45" s="85"/>
      <c r="U45" s="97"/>
    </row>
    <row r="46" spans="1:21" ht="13.5" customHeight="1" x14ac:dyDescent="0.3">
      <c r="A46" s="82"/>
      <c r="C46" s="86"/>
      <c r="D46" s="86"/>
      <c r="E46" s="86"/>
      <c r="F46" s="86"/>
      <c r="G46" s="86"/>
      <c r="H46" s="86"/>
      <c r="I46" s="86"/>
      <c r="J46" s="86"/>
      <c r="K46" s="86"/>
      <c r="L46" s="86"/>
      <c r="M46" s="86"/>
      <c r="N46" s="86"/>
      <c r="O46" s="84"/>
      <c r="P46" s="84"/>
      <c r="Q46" s="84"/>
      <c r="R46" s="84"/>
      <c r="S46" s="97"/>
      <c r="T46" s="85"/>
      <c r="U46" s="97"/>
    </row>
    <row r="47" spans="1:21" ht="13.5" customHeight="1" x14ac:dyDescent="0.3">
      <c r="A47" s="82"/>
      <c r="C47" s="86"/>
      <c r="D47" s="86"/>
      <c r="E47" s="86"/>
      <c r="F47" s="86"/>
      <c r="G47" s="86"/>
      <c r="H47" s="86"/>
      <c r="I47" s="86"/>
      <c r="J47" s="86"/>
      <c r="K47" s="86"/>
      <c r="L47" s="86"/>
      <c r="M47" s="86"/>
      <c r="N47" s="86"/>
      <c r="O47" s="84"/>
      <c r="P47" s="84"/>
      <c r="Q47" s="84"/>
      <c r="R47" s="84"/>
      <c r="S47" s="97"/>
      <c r="T47" s="85"/>
      <c r="U47" s="97"/>
    </row>
    <row r="48" spans="1:21" ht="13.5" customHeight="1" x14ac:dyDescent="0.3">
      <c r="A48" s="82"/>
      <c r="C48" s="86"/>
      <c r="D48" s="86"/>
      <c r="E48" s="86"/>
      <c r="F48" s="86"/>
      <c r="G48" s="86"/>
      <c r="H48" s="86"/>
      <c r="I48" s="86"/>
      <c r="J48" s="86"/>
      <c r="K48" s="86"/>
      <c r="L48" s="86"/>
      <c r="M48" s="86"/>
      <c r="N48" s="86"/>
      <c r="O48" s="84"/>
      <c r="P48" s="84"/>
      <c r="Q48" s="84"/>
      <c r="R48" s="84"/>
      <c r="S48" s="97"/>
      <c r="T48" s="85"/>
      <c r="U48" s="97"/>
    </row>
    <row r="49" spans="1:21" ht="13.5" customHeight="1" x14ac:dyDescent="0.3">
      <c r="A49" s="82"/>
      <c r="C49" s="86"/>
      <c r="D49" s="86"/>
      <c r="E49" s="86"/>
      <c r="F49" s="86"/>
      <c r="G49" s="86"/>
      <c r="H49" s="86"/>
      <c r="I49" s="86"/>
      <c r="J49" s="86"/>
      <c r="K49" s="86"/>
      <c r="L49" s="86"/>
      <c r="M49" s="86"/>
      <c r="N49" s="86"/>
      <c r="O49" s="84"/>
      <c r="P49" s="84"/>
      <c r="Q49" s="84"/>
      <c r="R49" s="84"/>
      <c r="S49" s="97"/>
      <c r="T49" s="85"/>
      <c r="U49" s="97"/>
    </row>
    <row r="50" spans="1:21" ht="13.5" customHeight="1" x14ac:dyDescent="0.3">
      <c r="A50" s="82"/>
      <c r="C50" s="86"/>
      <c r="D50" s="86"/>
      <c r="E50" s="86"/>
      <c r="F50" s="86"/>
      <c r="G50" s="86"/>
      <c r="H50" s="86"/>
      <c r="I50" s="86"/>
      <c r="J50" s="86"/>
      <c r="K50" s="86"/>
      <c r="L50" s="86"/>
      <c r="M50" s="86"/>
      <c r="N50" s="86"/>
      <c r="O50" s="84"/>
      <c r="P50" s="84"/>
      <c r="Q50" s="84"/>
      <c r="R50" s="84"/>
      <c r="S50" s="97"/>
      <c r="T50" s="85"/>
      <c r="U50" s="97"/>
    </row>
    <row r="51" spans="1:21" ht="13.5" customHeight="1" x14ac:dyDescent="0.3">
      <c r="A51" s="82"/>
      <c r="C51" s="86"/>
      <c r="D51" s="86"/>
      <c r="E51" s="86"/>
      <c r="F51" s="86"/>
      <c r="G51" s="86"/>
      <c r="H51" s="86"/>
      <c r="I51" s="86"/>
      <c r="J51" s="86"/>
      <c r="K51" s="86"/>
      <c r="L51" s="86"/>
      <c r="M51" s="86"/>
      <c r="N51" s="86"/>
      <c r="O51" s="84"/>
      <c r="P51" s="84"/>
      <c r="Q51" s="84"/>
      <c r="R51" s="84"/>
      <c r="S51" s="97"/>
      <c r="T51" s="85"/>
      <c r="U51" s="97"/>
    </row>
    <row r="52" spans="1:21" ht="13.5" customHeight="1" x14ac:dyDescent="0.3">
      <c r="A52" s="82"/>
      <c r="C52" s="86"/>
      <c r="D52" s="86"/>
      <c r="E52" s="86"/>
      <c r="F52" s="86"/>
      <c r="G52" s="86"/>
      <c r="H52" s="86"/>
      <c r="I52" s="86"/>
      <c r="J52" s="86"/>
      <c r="K52" s="86"/>
      <c r="L52" s="86"/>
      <c r="M52" s="86"/>
      <c r="N52" s="86"/>
      <c r="O52" s="84"/>
      <c r="P52" s="84"/>
      <c r="Q52" s="84"/>
      <c r="R52" s="84"/>
      <c r="S52" s="97"/>
      <c r="T52" s="85"/>
      <c r="U52" s="97"/>
    </row>
    <row r="53" spans="1:21" ht="13.5" customHeight="1" x14ac:dyDescent="0.3">
      <c r="A53" s="82"/>
      <c r="C53" s="86"/>
      <c r="D53" s="86"/>
      <c r="E53" s="86"/>
      <c r="F53" s="86"/>
      <c r="G53" s="86"/>
      <c r="H53" s="86"/>
      <c r="I53" s="86"/>
      <c r="J53" s="86"/>
      <c r="K53" s="86"/>
      <c r="L53" s="86"/>
      <c r="M53" s="86"/>
      <c r="N53" s="86"/>
      <c r="O53" s="84"/>
      <c r="P53" s="84"/>
      <c r="Q53" s="84"/>
      <c r="R53" s="84"/>
      <c r="S53" s="97"/>
      <c r="T53" s="85"/>
      <c r="U53" s="97"/>
    </row>
    <row r="54" spans="1:21" ht="13.5" customHeight="1" x14ac:dyDescent="0.3">
      <c r="A54" s="82"/>
      <c r="C54" s="86"/>
      <c r="D54" s="86"/>
      <c r="E54" s="86"/>
      <c r="F54" s="86"/>
      <c r="G54" s="86"/>
      <c r="H54" s="86"/>
      <c r="I54" s="86"/>
      <c r="J54" s="86"/>
      <c r="K54" s="86"/>
      <c r="L54" s="86"/>
      <c r="M54" s="86"/>
      <c r="N54" s="86"/>
      <c r="O54" s="84"/>
      <c r="P54" s="84"/>
      <c r="Q54" s="84"/>
      <c r="R54" s="84"/>
      <c r="S54" s="97"/>
      <c r="T54" s="85"/>
      <c r="U54" s="97"/>
    </row>
    <row r="55" spans="1:21" ht="13.5" customHeight="1" x14ac:dyDescent="0.3">
      <c r="A55" s="82"/>
      <c r="C55" s="86"/>
      <c r="D55" s="86"/>
      <c r="E55" s="86"/>
      <c r="F55" s="86"/>
      <c r="G55" s="86"/>
      <c r="H55" s="86"/>
      <c r="I55" s="86"/>
      <c r="J55" s="86"/>
      <c r="K55" s="86"/>
      <c r="L55" s="86"/>
      <c r="M55" s="86"/>
      <c r="N55" s="86"/>
      <c r="O55" s="84"/>
      <c r="P55" s="84"/>
      <c r="Q55" s="84"/>
      <c r="R55" s="84"/>
      <c r="S55" s="97"/>
      <c r="T55" s="85"/>
      <c r="U55" s="97"/>
    </row>
    <row r="56" spans="1:21" ht="13.5" customHeight="1" x14ac:dyDescent="0.3">
      <c r="A56" s="82"/>
      <c r="C56" s="86"/>
      <c r="D56" s="86"/>
      <c r="E56" s="86"/>
      <c r="F56" s="86"/>
      <c r="G56" s="86"/>
      <c r="H56" s="86"/>
      <c r="I56" s="86"/>
      <c r="J56" s="86"/>
      <c r="K56" s="86"/>
      <c r="L56" s="86"/>
      <c r="M56" s="86"/>
      <c r="N56" s="86"/>
      <c r="O56" s="84"/>
      <c r="P56" s="84"/>
      <c r="Q56" s="84"/>
      <c r="R56" s="84"/>
      <c r="S56" s="97"/>
      <c r="T56" s="85"/>
      <c r="U56" s="97"/>
    </row>
    <row r="57" spans="1:21" ht="13.5" customHeight="1" x14ac:dyDescent="0.3">
      <c r="A57" s="82"/>
      <c r="C57" s="86"/>
      <c r="D57" s="86"/>
      <c r="E57" s="86"/>
      <c r="F57" s="86"/>
      <c r="G57" s="86"/>
      <c r="H57" s="86"/>
      <c r="I57" s="86"/>
      <c r="J57" s="86"/>
      <c r="K57" s="86"/>
      <c r="L57" s="86"/>
      <c r="M57" s="86"/>
      <c r="N57" s="86"/>
      <c r="O57" s="84"/>
      <c r="P57" s="84"/>
      <c r="Q57" s="84"/>
      <c r="R57" s="84"/>
      <c r="S57" s="97"/>
      <c r="T57" s="85"/>
      <c r="U57" s="97"/>
    </row>
    <row r="58" spans="1:21" ht="13.5" customHeight="1" x14ac:dyDescent="0.3">
      <c r="A58" s="82"/>
      <c r="C58" s="86"/>
      <c r="D58" s="86"/>
      <c r="E58" s="86"/>
      <c r="F58" s="86"/>
      <c r="G58" s="86"/>
      <c r="H58" s="86"/>
      <c r="I58" s="86"/>
      <c r="J58" s="86"/>
      <c r="K58" s="86"/>
      <c r="L58" s="86"/>
      <c r="M58" s="86"/>
      <c r="N58" s="86"/>
      <c r="O58" s="84"/>
      <c r="P58" s="84"/>
      <c r="Q58" s="84"/>
      <c r="R58" s="84"/>
      <c r="S58" s="97"/>
      <c r="T58" s="85"/>
      <c r="U58" s="97"/>
    </row>
    <row r="59" spans="1:21" ht="13.5" customHeight="1" x14ac:dyDescent="0.3">
      <c r="A59" s="82"/>
      <c r="C59" s="86"/>
      <c r="D59" s="86"/>
      <c r="E59" s="86"/>
      <c r="F59" s="86"/>
      <c r="G59" s="86"/>
      <c r="H59" s="86"/>
      <c r="I59" s="86"/>
      <c r="J59" s="86"/>
      <c r="K59" s="86"/>
      <c r="L59" s="86"/>
      <c r="M59" s="86"/>
      <c r="N59" s="86"/>
      <c r="O59" s="84"/>
      <c r="P59" s="84"/>
      <c r="Q59" s="84"/>
      <c r="R59" s="84"/>
      <c r="S59" s="97"/>
      <c r="T59" s="85"/>
      <c r="U59" s="97"/>
    </row>
    <row r="60" spans="1:21" ht="13.5" customHeight="1" x14ac:dyDescent="0.3">
      <c r="A60" s="82"/>
      <c r="C60" s="86"/>
      <c r="D60" s="86"/>
      <c r="E60" s="86"/>
      <c r="F60" s="86"/>
      <c r="G60" s="86"/>
      <c r="H60" s="86"/>
      <c r="I60" s="86"/>
      <c r="J60" s="86"/>
      <c r="K60" s="86"/>
      <c r="L60" s="86"/>
      <c r="M60" s="86"/>
      <c r="N60" s="86"/>
      <c r="O60" s="84"/>
      <c r="P60" s="84"/>
      <c r="Q60" s="84"/>
      <c r="R60" s="84"/>
      <c r="S60" s="97"/>
      <c r="T60" s="85"/>
      <c r="U60" s="97"/>
    </row>
    <row r="61" spans="1:21" ht="13.5" customHeight="1" x14ac:dyDescent="0.3">
      <c r="A61" s="82"/>
      <c r="C61" s="86"/>
      <c r="D61" s="86"/>
      <c r="E61" s="86"/>
      <c r="F61" s="86"/>
      <c r="G61" s="86"/>
      <c r="H61" s="86"/>
      <c r="I61" s="86"/>
      <c r="J61" s="86"/>
      <c r="K61" s="86"/>
      <c r="L61" s="86"/>
      <c r="M61" s="86"/>
      <c r="N61" s="86"/>
      <c r="O61" s="84"/>
      <c r="P61" s="84"/>
      <c r="Q61" s="84"/>
      <c r="R61" s="84"/>
      <c r="S61" s="97"/>
      <c r="T61" s="85"/>
      <c r="U61" s="97"/>
    </row>
    <row r="62" spans="1:21" ht="13.5" customHeight="1" x14ac:dyDescent="0.3">
      <c r="A62" s="82"/>
      <c r="C62" s="86"/>
      <c r="D62" s="86"/>
      <c r="E62" s="86"/>
      <c r="F62" s="86"/>
      <c r="G62" s="86"/>
      <c r="H62" s="86"/>
      <c r="I62" s="86"/>
      <c r="J62" s="86"/>
      <c r="K62" s="86"/>
      <c r="L62" s="86"/>
      <c r="M62" s="86"/>
      <c r="N62" s="86"/>
      <c r="O62" s="84"/>
      <c r="P62" s="84"/>
      <c r="Q62" s="84"/>
      <c r="R62" s="84"/>
      <c r="S62" s="97"/>
      <c r="T62" s="85"/>
      <c r="U62" s="97"/>
    </row>
    <row r="63" spans="1:21" ht="13.5" customHeight="1" x14ac:dyDescent="0.3">
      <c r="A63" s="82"/>
      <c r="C63" s="86"/>
      <c r="D63" s="86"/>
      <c r="E63" s="86"/>
      <c r="F63" s="86"/>
      <c r="G63" s="86"/>
      <c r="H63" s="86"/>
      <c r="I63" s="86"/>
      <c r="J63" s="86"/>
      <c r="K63" s="86"/>
      <c r="L63" s="86"/>
      <c r="M63" s="86"/>
      <c r="N63" s="86"/>
      <c r="O63" s="84"/>
      <c r="P63" s="84"/>
      <c r="Q63" s="84"/>
      <c r="R63" s="84"/>
      <c r="S63" s="97"/>
      <c r="T63" s="85"/>
      <c r="U63" s="97"/>
    </row>
    <row r="64" spans="1:21" ht="13.5" customHeight="1" x14ac:dyDescent="0.3">
      <c r="A64" s="82"/>
      <c r="C64" s="86"/>
      <c r="D64" s="86"/>
      <c r="E64" s="86"/>
      <c r="F64" s="86"/>
      <c r="G64" s="86"/>
      <c r="H64" s="86"/>
      <c r="I64" s="86"/>
      <c r="J64" s="86"/>
      <c r="K64" s="86"/>
      <c r="L64" s="86"/>
      <c r="M64" s="86"/>
      <c r="N64" s="86"/>
      <c r="O64" s="84"/>
      <c r="P64" s="84"/>
      <c r="Q64" s="84"/>
      <c r="R64" s="84"/>
      <c r="S64" s="97"/>
      <c r="T64" s="85"/>
      <c r="U64" s="97"/>
    </row>
    <row r="65" spans="1:21" ht="13.5" customHeight="1" x14ac:dyDescent="0.3">
      <c r="A65" s="82"/>
      <c r="C65" s="86"/>
      <c r="D65" s="86"/>
      <c r="E65" s="86"/>
      <c r="F65" s="86"/>
      <c r="G65" s="86"/>
      <c r="H65" s="86"/>
      <c r="I65" s="86"/>
      <c r="J65" s="86"/>
      <c r="K65" s="86"/>
      <c r="L65" s="86"/>
      <c r="M65" s="86"/>
      <c r="N65" s="86"/>
      <c r="O65" s="84"/>
      <c r="P65" s="84"/>
      <c r="Q65" s="84"/>
      <c r="R65" s="84"/>
      <c r="S65" s="97"/>
      <c r="T65" s="85"/>
      <c r="U65" s="97"/>
    </row>
    <row r="66" spans="1:21" ht="13.5" customHeight="1" x14ac:dyDescent="0.3">
      <c r="A66" s="82"/>
      <c r="C66" s="86"/>
      <c r="D66" s="86"/>
      <c r="E66" s="86"/>
      <c r="F66" s="86"/>
      <c r="G66" s="86"/>
      <c r="H66" s="86"/>
      <c r="I66" s="86"/>
      <c r="J66" s="86"/>
      <c r="K66" s="86"/>
      <c r="L66" s="86"/>
      <c r="M66" s="86"/>
      <c r="N66" s="86"/>
      <c r="O66" s="84"/>
      <c r="P66" s="84"/>
      <c r="Q66" s="84"/>
      <c r="R66" s="84"/>
      <c r="S66" s="97"/>
      <c r="T66" s="85"/>
      <c r="U66" s="97"/>
    </row>
    <row r="67" spans="1:21" ht="13.5" customHeight="1" x14ac:dyDescent="0.3">
      <c r="A67" s="82"/>
      <c r="C67" s="86"/>
      <c r="D67" s="86"/>
      <c r="E67" s="86"/>
      <c r="F67" s="86"/>
      <c r="G67" s="86"/>
      <c r="H67" s="86"/>
      <c r="I67" s="86"/>
      <c r="J67" s="86"/>
      <c r="K67" s="86"/>
      <c r="L67" s="86"/>
      <c r="M67" s="86"/>
      <c r="N67" s="86"/>
      <c r="O67" s="84"/>
      <c r="P67" s="84"/>
      <c r="Q67" s="84"/>
      <c r="R67" s="84"/>
      <c r="S67" s="97"/>
      <c r="T67" s="85"/>
      <c r="U67" s="97"/>
    </row>
    <row r="68" spans="1:21" ht="13.5" customHeight="1" x14ac:dyDescent="0.3">
      <c r="A68" s="82"/>
      <c r="C68" s="86"/>
      <c r="D68" s="86"/>
      <c r="E68" s="86"/>
      <c r="F68" s="86"/>
      <c r="G68" s="86"/>
      <c r="H68" s="86"/>
      <c r="I68" s="86"/>
      <c r="J68" s="86"/>
      <c r="K68" s="86"/>
      <c r="L68" s="86"/>
      <c r="M68" s="86"/>
      <c r="N68" s="86"/>
      <c r="O68" s="84"/>
      <c r="P68" s="84"/>
      <c r="Q68" s="84"/>
      <c r="R68" s="84"/>
      <c r="S68" s="97"/>
      <c r="T68" s="85"/>
      <c r="U68" s="97"/>
    </row>
    <row r="69" spans="1:21" ht="13.5" customHeight="1" x14ac:dyDescent="0.3">
      <c r="A69" s="82"/>
      <c r="C69" s="86"/>
      <c r="D69" s="86"/>
      <c r="E69" s="86"/>
      <c r="F69" s="86"/>
      <c r="G69" s="86"/>
      <c r="H69" s="86"/>
      <c r="I69" s="86"/>
      <c r="J69" s="86"/>
      <c r="K69" s="86"/>
      <c r="L69" s="86"/>
      <c r="M69" s="86"/>
      <c r="N69" s="86"/>
      <c r="O69" s="84"/>
      <c r="P69" s="84"/>
      <c r="Q69" s="84"/>
      <c r="R69" s="84"/>
      <c r="S69" s="97"/>
      <c r="T69" s="85"/>
      <c r="U69" s="97"/>
    </row>
    <row r="70" spans="1:21" ht="13.5" customHeight="1" x14ac:dyDescent="0.3">
      <c r="A70" s="82"/>
      <c r="C70" s="86"/>
      <c r="D70" s="86"/>
      <c r="E70" s="86"/>
      <c r="F70" s="86"/>
      <c r="G70" s="86"/>
      <c r="H70" s="86"/>
      <c r="I70" s="86"/>
      <c r="J70" s="86"/>
      <c r="K70" s="86"/>
      <c r="L70" s="86"/>
      <c r="M70" s="86"/>
      <c r="N70" s="86"/>
      <c r="O70" s="84"/>
      <c r="P70" s="84"/>
      <c r="Q70" s="84"/>
      <c r="R70" s="84"/>
      <c r="S70" s="97"/>
      <c r="T70" s="85"/>
      <c r="U70" s="97"/>
    </row>
    <row r="71" spans="1:21" ht="13.5" customHeight="1" x14ac:dyDescent="0.3">
      <c r="A71" s="82"/>
      <c r="C71" s="86"/>
      <c r="D71" s="86"/>
      <c r="E71" s="86"/>
      <c r="F71" s="86"/>
      <c r="G71" s="86"/>
      <c r="H71" s="86"/>
      <c r="I71" s="86"/>
      <c r="J71" s="86"/>
      <c r="K71" s="86"/>
      <c r="L71" s="86"/>
      <c r="M71" s="86"/>
      <c r="N71" s="86"/>
      <c r="O71" s="84"/>
      <c r="P71" s="84"/>
      <c r="Q71" s="84"/>
      <c r="R71" s="84"/>
      <c r="S71" s="97"/>
      <c r="T71" s="85"/>
      <c r="U71" s="97"/>
    </row>
    <row r="72" spans="1:21" ht="13.5" customHeight="1" x14ac:dyDescent="0.3">
      <c r="A72" s="82"/>
      <c r="C72" s="86"/>
      <c r="D72" s="86"/>
      <c r="E72" s="86"/>
      <c r="F72" s="86"/>
      <c r="G72" s="86"/>
      <c r="H72" s="86"/>
      <c r="I72" s="86"/>
      <c r="J72" s="86"/>
      <c r="K72" s="86"/>
      <c r="L72" s="86"/>
      <c r="M72" s="86"/>
      <c r="N72" s="86"/>
      <c r="O72" s="84"/>
      <c r="P72" s="84"/>
      <c r="Q72" s="84"/>
      <c r="R72" s="84"/>
      <c r="S72" s="97"/>
      <c r="T72" s="85"/>
      <c r="U72" s="97"/>
    </row>
    <row r="73" spans="1:21" ht="13.5" customHeight="1" x14ac:dyDescent="0.3">
      <c r="A73" s="82"/>
      <c r="C73" s="86"/>
      <c r="D73" s="86"/>
      <c r="E73" s="86"/>
      <c r="F73" s="86"/>
      <c r="G73" s="86"/>
      <c r="H73" s="86"/>
      <c r="I73" s="86"/>
      <c r="J73" s="86"/>
      <c r="K73" s="86"/>
      <c r="L73" s="86"/>
      <c r="M73" s="86"/>
      <c r="N73" s="86"/>
      <c r="O73" s="84"/>
      <c r="P73" s="84"/>
      <c r="Q73" s="84"/>
      <c r="R73" s="84"/>
      <c r="S73" s="97"/>
      <c r="T73" s="85"/>
      <c r="U73" s="97"/>
    </row>
    <row r="74" spans="1:21" ht="13.5" customHeight="1" x14ac:dyDescent="0.3">
      <c r="A74" s="82"/>
      <c r="C74" s="86"/>
      <c r="D74" s="86"/>
      <c r="E74" s="86"/>
      <c r="F74" s="86"/>
      <c r="G74" s="86"/>
      <c r="H74" s="86"/>
      <c r="I74" s="86"/>
      <c r="J74" s="86"/>
      <c r="K74" s="86"/>
      <c r="L74" s="86"/>
      <c r="M74" s="86"/>
      <c r="N74" s="86"/>
      <c r="O74" s="84"/>
      <c r="P74" s="84"/>
      <c r="Q74" s="84"/>
      <c r="R74" s="84"/>
      <c r="S74" s="97"/>
      <c r="T74" s="85"/>
      <c r="U74" s="97"/>
    </row>
    <row r="75" spans="1:21" ht="13.5" customHeight="1" x14ac:dyDescent="0.3">
      <c r="A75" s="82"/>
      <c r="C75" s="86"/>
      <c r="D75" s="86"/>
      <c r="E75" s="86"/>
      <c r="F75" s="86"/>
      <c r="G75" s="86"/>
      <c r="H75" s="86"/>
      <c r="I75" s="86"/>
      <c r="J75" s="86"/>
      <c r="K75" s="86"/>
      <c r="L75" s="86"/>
      <c r="M75" s="86"/>
      <c r="N75" s="86"/>
      <c r="O75" s="84"/>
      <c r="P75" s="84"/>
      <c r="Q75" s="84"/>
      <c r="R75" s="84"/>
      <c r="S75" s="97"/>
      <c r="T75" s="85"/>
      <c r="U75" s="97"/>
    </row>
    <row r="76" spans="1:21" ht="13.5" customHeight="1" x14ac:dyDescent="0.3">
      <c r="A76" s="82"/>
      <c r="C76" s="86"/>
      <c r="D76" s="86"/>
      <c r="E76" s="86"/>
      <c r="F76" s="86"/>
      <c r="G76" s="86"/>
      <c r="H76" s="86"/>
      <c r="I76" s="86"/>
      <c r="J76" s="86"/>
      <c r="K76" s="86"/>
      <c r="L76" s="86"/>
      <c r="M76" s="86"/>
      <c r="N76" s="86"/>
      <c r="O76" s="84"/>
      <c r="P76" s="84"/>
      <c r="Q76" s="84"/>
      <c r="R76" s="84"/>
      <c r="S76" s="97"/>
      <c r="T76" s="85"/>
      <c r="U76" s="97"/>
    </row>
    <row r="77" spans="1:21" ht="13.5" customHeight="1" x14ac:dyDescent="0.3">
      <c r="A77" s="82"/>
      <c r="C77" s="86"/>
      <c r="D77" s="86"/>
      <c r="E77" s="86"/>
      <c r="F77" s="86"/>
      <c r="G77" s="86"/>
      <c r="H77" s="86"/>
      <c r="I77" s="86"/>
      <c r="J77" s="86"/>
      <c r="K77" s="86"/>
      <c r="L77" s="86"/>
      <c r="M77" s="86"/>
      <c r="N77" s="86"/>
      <c r="O77" s="84"/>
      <c r="P77" s="84"/>
      <c r="Q77" s="84"/>
      <c r="R77" s="84"/>
      <c r="S77" s="97"/>
      <c r="T77" s="85"/>
      <c r="U77" s="97"/>
    </row>
    <row r="78" spans="1:21" ht="13.5" customHeight="1" x14ac:dyDescent="0.3">
      <c r="A78" s="82"/>
      <c r="C78" s="86"/>
      <c r="D78" s="86"/>
      <c r="E78" s="86"/>
      <c r="F78" s="86"/>
      <c r="G78" s="86"/>
      <c r="H78" s="86"/>
      <c r="I78" s="86"/>
      <c r="J78" s="86"/>
      <c r="K78" s="86"/>
      <c r="L78" s="86"/>
      <c r="M78" s="86"/>
      <c r="N78" s="86"/>
      <c r="O78" s="84"/>
      <c r="P78" s="84"/>
      <c r="Q78" s="84"/>
      <c r="R78" s="84"/>
      <c r="S78" s="97"/>
      <c r="T78" s="85"/>
      <c r="U78" s="97"/>
    </row>
    <row r="79" spans="1:21" ht="13.5" customHeight="1" x14ac:dyDescent="0.3">
      <c r="A79" s="82"/>
      <c r="C79" s="86"/>
      <c r="D79" s="86"/>
      <c r="E79" s="86"/>
      <c r="F79" s="86"/>
      <c r="G79" s="86"/>
      <c r="H79" s="86"/>
      <c r="I79" s="86"/>
      <c r="J79" s="86"/>
      <c r="K79" s="86"/>
      <c r="L79" s="86"/>
      <c r="M79" s="86"/>
      <c r="N79" s="86"/>
      <c r="O79" s="84"/>
      <c r="P79" s="84"/>
      <c r="Q79" s="84"/>
      <c r="R79" s="84"/>
      <c r="S79" s="97"/>
      <c r="T79" s="85"/>
      <c r="U79" s="97"/>
    </row>
    <row r="80" spans="1:21" ht="13.5" customHeight="1" x14ac:dyDescent="0.3">
      <c r="A80" s="82"/>
      <c r="C80" s="86"/>
      <c r="D80" s="86"/>
      <c r="E80" s="86"/>
      <c r="F80" s="86"/>
      <c r="G80" s="86"/>
      <c r="H80" s="86"/>
      <c r="I80" s="86"/>
      <c r="J80" s="86"/>
      <c r="K80" s="86"/>
      <c r="L80" s="86"/>
      <c r="M80" s="86"/>
      <c r="N80" s="86"/>
      <c r="O80" s="84"/>
      <c r="P80" s="84"/>
      <c r="Q80" s="84"/>
      <c r="R80" s="84"/>
      <c r="S80" s="97"/>
      <c r="T80" s="85"/>
      <c r="U80" s="97"/>
    </row>
    <row r="81" spans="1:21" ht="13.5" customHeight="1" x14ac:dyDescent="0.3">
      <c r="A81" s="82"/>
      <c r="C81" s="86"/>
      <c r="D81" s="86"/>
      <c r="E81" s="86"/>
      <c r="F81" s="86"/>
      <c r="G81" s="86"/>
      <c r="H81" s="86"/>
      <c r="I81" s="86"/>
      <c r="J81" s="86"/>
      <c r="K81" s="86"/>
      <c r="L81" s="86"/>
      <c r="M81" s="86"/>
      <c r="N81" s="86"/>
      <c r="O81" s="84"/>
      <c r="P81" s="84"/>
      <c r="Q81" s="84"/>
      <c r="R81" s="84"/>
      <c r="S81" s="97"/>
      <c r="T81" s="85"/>
      <c r="U81" s="97"/>
    </row>
    <row r="82" spans="1:21" ht="13.5" customHeight="1" x14ac:dyDescent="0.3">
      <c r="A82" s="82"/>
      <c r="C82" s="86"/>
      <c r="D82" s="86"/>
      <c r="E82" s="86"/>
      <c r="F82" s="86"/>
      <c r="G82" s="86"/>
      <c r="H82" s="86"/>
      <c r="I82" s="86"/>
      <c r="J82" s="86"/>
      <c r="K82" s="86"/>
      <c r="L82" s="86"/>
      <c r="M82" s="86"/>
      <c r="N82" s="86"/>
      <c r="O82" s="84"/>
      <c r="P82" s="84"/>
      <c r="Q82" s="84"/>
      <c r="R82" s="84"/>
      <c r="S82" s="97"/>
      <c r="T82" s="85"/>
      <c r="U82" s="97"/>
    </row>
    <row r="83" spans="1:21" ht="6.75" customHeight="1" x14ac:dyDescent="0.3">
      <c r="A83" s="50"/>
      <c r="B83" s="50"/>
      <c r="C83" s="50"/>
      <c r="D83" s="50"/>
      <c r="E83" s="50"/>
      <c r="F83" s="50"/>
      <c r="G83" s="50"/>
      <c r="H83" s="50"/>
      <c r="I83" s="50"/>
      <c r="J83" s="50"/>
      <c r="K83" s="50"/>
      <c r="L83" s="50"/>
      <c r="M83" s="50"/>
      <c r="N83" s="50"/>
      <c r="O83" s="50"/>
      <c r="P83" s="50"/>
      <c r="Q83" s="50"/>
      <c r="R83" s="50"/>
      <c r="S83" s="50"/>
      <c r="T83" s="50"/>
      <c r="U83" s="50"/>
    </row>
    <row r="84" spans="1:21" x14ac:dyDescent="0.3">
      <c r="A84" s="64"/>
      <c r="B84" s="65" t="s">
        <v>857</v>
      </c>
      <c r="C84" s="66"/>
      <c r="D84" s="66"/>
      <c r="E84" s="66"/>
      <c r="F84" s="66"/>
      <c r="G84" s="66"/>
      <c r="H84" s="66"/>
      <c r="I84" s="66"/>
      <c r="J84" s="66"/>
      <c r="K84" s="66"/>
      <c r="L84" s="66"/>
      <c r="M84" s="66"/>
      <c r="N84" s="66"/>
      <c r="O84" s="66"/>
      <c r="P84" s="66"/>
      <c r="Q84" s="66"/>
      <c r="R84" s="66"/>
      <c r="S84" s="66"/>
      <c r="T84" s="66"/>
      <c r="U84" s="67"/>
    </row>
    <row r="85" spans="1:21" ht="6.75" customHeight="1" x14ac:dyDescent="0.3">
      <c r="A85" s="68"/>
      <c r="B85" s="63"/>
      <c r="C85" s="63"/>
      <c r="D85" s="63"/>
      <c r="E85" s="63"/>
      <c r="F85" s="63"/>
      <c r="G85" s="63"/>
      <c r="H85" s="63"/>
      <c r="I85" s="63"/>
      <c r="J85" s="63"/>
      <c r="K85" s="63"/>
      <c r="L85" s="63"/>
      <c r="M85" s="63"/>
      <c r="N85" s="63"/>
      <c r="O85" s="63"/>
      <c r="P85" s="63"/>
      <c r="Q85" s="63"/>
      <c r="R85" s="63"/>
      <c r="S85" s="63"/>
      <c r="T85" s="63"/>
      <c r="U85" s="69"/>
    </row>
    <row r="86" spans="1:21" x14ac:dyDescent="0.3">
      <c r="A86" s="338"/>
      <c r="B86" s="340"/>
      <c r="C86" s="341" t="s">
        <v>858</v>
      </c>
      <c r="D86" s="340"/>
      <c r="E86" s="340"/>
      <c r="F86" s="340"/>
      <c r="G86" s="340"/>
      <c r="H86" s="340"/>
      <c r="I86" s="340"/>
      <c r="J86" s="340"/>
      <c r="K86" s="341" t="s">
        <v>859</v>
      </c>
      <c r="L86" s="340"/>
      <c r="M86" s="340"/>
      <c r="N86" s="340"/>
      <c r="O86" s="340"/>
      <c r="P86" s="340"/>
      <c r="Q86" s="340"/>
      <c r="R86" s="341" t="s">
        <v>860</v>
      </c>
      <c r="S86" s="341"/>
      <c r="T86" s="341"/>
      <c r="U86" s="69"/>
    </row>
    <row r="87" spans="1:21" x14ac:dyDescent="0.3">
      <c r="A87" s="338"/>
      <c r="B87" s="339"/>
      <c r="C87" s="340" t="s">
        <v>861</v>
      </c>
      <c r="D87" s="340"/>
      <c r="E87" s="1248"/>
      <c r="F87" s="1248"/>
      <c r="G87" s="1248"/>
      <c r="H87" s="340"/>
      <c r="I87" s="340"/>
      <c r="J87" s="339"/>
      <c r="K87" s="340" t="s">
        <v>862</v>
      </c>
      <c r="L87" s="340"/>
      <c r="M87" s="1248"/>
      <c r="N87" s="1248"/>
      <c r="O87" s="1248"/>
      <c r="P87" s="340"/>
      <c r="Q87" s="339"/>
      <c r="R87" s="340" t="s">
        <v>863</v>
      </c>
      <c r="S87" s="1248"/>
      <c r="T87" s="1248"/>
      <c r="U87" s="69"/>
    </row>
    <row r="88" spans="1:21" x14ac:dyDescent="0.3">
      <c r="A88" s="338"/>
      <c r="B88" s="339"/>
      <c r="C88" s="340" t="s">
        <v>864</v>
      </c>
      <c r="D88" s="340"/>
      <c r="E88" s="1248"/>
      <c r="F88" s="1248"/>
      <c r="G88" s="1248"/>
      <c r="H88" s="340"/>
      <c r="I88" s="340"/>
      <c r="J88" s="339"/>
      <c r="K88" s="340" t="s">
        <v>865</v>
      </c>
      <c r="L88" s="340"/>
      <c r="M88" s="1248"/>
      <c r="N88" s="1248"/>
      <c r="O88" s="1248"/>
      <c r="P88" s="340"/>
      <c r="Q88" s="339"/>
      <c r="R88" s="340" t="s">
        <v>866</v>
      </c>
      <c r="S88" s="1249"/>
      <c r="T88" s="1249"/>
      <c r="U88" s="69"/>
    </row>
    <row r="89" spans="1:21" x14ac:dyDescent="0.3">
      <c r="A89" s="338"/>
      <c r="B89" s="340"/>
      <c r="C89" s="340"/>
      <c r="D89" s="340"/>
      <c r="E89" s="340"/>
      <c r="F89" s="340"/>
      <c r="G89" s="340"/>
      <c r="H89" s="340"/>
      <c r="I89" s="340"/>
      <c r="J89" s="340"/>
      <c r="K89" s="340"/>
      <c r="L89" s="340"/>
      <c r="M89" s="340"/>
      <c r="N89" s="340"/>
      <c r="O89" s="340"/>
      <c r="P89" s="340"/>
      <c r="Q89" s="339"/>
      <c r="R89" s="340" t="s">
        <v>867</v>
      </c>
      <c r="S89" s="1249"/>
      <c r="T89" s="1249"/>
      <c r="U89" s="69"/>
    </row>
    <row r="90" spans="1:21" ht="6" customHeight="1" x14ac:dyDescent="0.3">
      <c r="A90" s="71"/>
      <c r="B90" s="72"/>
      <c r="C90" s="72"/>
      <c r="D90" s="72"/>
      <c r="E90" s="72"/>
      <c r="F90" s="72"/>
      <c r="G90" s="72"/>
      <c r="H90" s="72"/>
      <c r="I90" s="72"/>
      <c r="J90" s="72"/>
      <c r="K90" s="72"/>
      <c r="L90" s="72"/>
      <c r="M90" s="72"/>
      <c r="N90" s="72"/>
      <c r="O90" s="72"/>
      <c r="P90" s="72"/>
      <c r="Q90" s="72"/>
      <c r="R90" s="72"/>
      <c r="S90" s="72"/>
      <c r="T90" s="72"/>
      <c r="U90" s="73"/>
    </row>
    <row r="92" spans="1:21" x14ac:dyDescent="0.3">
      <c r="A92" s="1183" t="s">
        <v>821</v>
      </c>
      <c r="B92" s="1184"/>
      <c r="C92" s="1184"/>
      <c r="D92" s="1184"/>
      <c r="E92" s="1184"/>
      <c r="F92" s="1184"/>
      <c r="G92" s="1184"/>
      <c r="H92" s="1184"/>
      <c r="I92" s="1184"/>
      <c r="J92" s="1184"/>
      <c r="K92" s="1184"/>
      <c r="L92" s="1184"/>
      <c r="M92" s="1184"/>
      <c r="N92" s="1184"/>
      <c r="O92" s="1184"/>
      <c r="P92" s="1184"/>
      <c r="Q92" s="1184"/>
      <c r="R92" s="1184"/>
      <c r="S92" s="1184"/>
      <c r="T92" s="1184"/>
      <c r="U92" s="1185"/>
    </row>
    <row r="93" spans="1:21" x14ac:dyDescent="0.3">
      <c r="A93" s="1186" t="s">
        <v>822</v>
      </c>
      <c r="B93" s="1186"/>
      <c r="C93" s="1186"/>
      <c r="D93" s="1186"/>
      <c r="E93" s="1186"/>
      <c r="F93" s="1186"/>
      <c r="G93" s="1186"/>
      <c r="H93" s="1186"/>
      <c r="I93" s="1186" t="s">
        <v>823</v>
      </c>
      <c r="J93" s="1186"/>
      <c r="K93" s="1186"/>
      <c r="L93" s="1186"/>
      <c r="M93" s="1186"/>
      <c r="N93" s="1186"/>
      <c r="O93" s="1186"/>
      <c r="P93" s="1187" t="s">
        <v>824</v>
      </c>
      <c r="Q93" s="1187"/>
      <c r="R93" s="1187"/>
      <c r="S93" s="1187"/>
      <c r="T93" s="1187"/>
      <c r="U93" s="1187"/>
    </row>
    <row r="94" spans="1:21" x14ac:dyDescent="0.3">
      <c r="A94" s="1182" t="str">
        <f>RA_Standard!A97</f>
        <v>Brokerage/Realty</v>
      </c>
      <c r="B94" s="1182"/>
      <c r="C94" s="1182"/>
      <c r="D94" s="1182"/>
      <c r="E94" s="1182"/>
      <c r="F94" s="1182"/>
      <c r="G94" s="1182"/>
      <c r="H94" s="1182"/>
      <c r="I94" s="1244">
        <f>LOI_SC60D!I55</f>
        <v>0</v>
      </c>
      <c r="J94" s="1244"/>
      <c r="K94" s="1244"/>
      <c r="L94" s="1244"/>
      <c r="M94" s="1244"/>
      <c r="N94" s="1244"/>
      <c r="O94" s="1244"/>
      <c r="P94" s="1244">
        <f>LOI_SC60D!P55</f>
        <v>0</v>
      </c>
      <c r="Q94" s="1244"/>
      <c r="R94" s="1244"/>
      <c r="S94" s="1244"/>
      <c r="T94" s="1244"/>
      <c r="U94" s="1244"/>
    </row>
    <row r="95" spans="1:21" x14ac:dyDescent="0.3">
      <c r="A95" s="1182" t="str">
        <f>RA_Standard!A98</f>
        <v xml:space="preserve">Broker Head / AVP </v>
      </c>
      <c r="B95" s="1182"/>
      <c r="C95" s="1182"/>
      <c r="D95" s="1182"/>
      <c r="E95" s="1182"/>
      <c r="F95" s="1182"/>
      <c r="G95" s="1182"/>
      <c r="H95" s="1182"/>
      <c r="I95" s="1244">
        <f>LOI_SC60D!I56</f>
        <v>0</v>
      </c>
      <c r="J95" s="1244"/>
      <c r="K95" s="1244"/>
      <c r="L95" s="1244"/>
      <c r="M95" s="1244"/>
      <c r="N95" s="1244"/>
      <c r="O95" s="1244"/>
      <c r="P95" s="1244">
        <f>LOI_SC60D!P56</f>
        <v>0</v>
      </c>
      <c r="Q95" s="1244"/>
      <c r="R95" s="1244"/>
      <c r="S95" s="1244"/>
      <c r="T95" s="1244"/>
      <c r="U95" s="1244"/>
    </row>
    <row r="96" spans="1:21" x14ac:dyDescent="0.3">
      <c r="A96" s="1182" t="str">
        <f>RA_Standard!A99</f>
        <v>Sales Manager</v>
      </c>
      <c r="B96" s="1182"/>
      <c r="C96" s="1182"/>
      <c r="D96" s="1182"/>
      <c r="E96" s="1182"/>
      <c r="F96" s="1182"/>
      <c r="G96" s="1182"/>
      <c r="H96" s="1182"/>
      <c r="I96" s="1244">
        <f>LOI_SC60D!I57</f>
        <v>0</v>
      </c>
      <c r="J96" s="1244"/>
      <c r="K96" s="1244"/>
      <c r="L96" s="1244"/>
      <c r="M96" s="1244"/>
      <c r="N96" s="1244"/>
      <c r="O96" s="1244"/>
      <c r="P96" s="1244">
        <f>LOI_SC60D!P57</f>
        <v>0</v>
      </c>
      <c r="Q96" s="1244"/>
      <c r="R96" s="1244"/>
      <c r="S96" s="1244"/>
      <c r="T96" s="1244"/>
      <c r="U96" s="1244"/>
    </row>
    <row r="97" spans="1:21" x14ac:dyDescent="0.3">
      <c r="A97" s="1182" t="str">
        <f>RA_Standard!A100</f>
        <v>Sales Agent / Property Consultant</v>
      </c>
      <c r="B97" s="1182"/>
      <c r="C97" s="1182"/>
      <c r="D97" s="1182"/>
      <c r="E97" s="1182"/>
      <c r="F97" s="1182"/>
      <c r="G97" s="1182"/>
      <c r="H97" s="1182"/>
      <c r="I97" s="1244">
        <f>LOI_SC60D!I58</f>
        <v>0</v>
      </c>
      <c r="J97" s="1244"/>
      <c r="K97" s="1244"/>
      <c r="L97" s="1244"/>
      <c r="M97" s="1244"/>
      <c r="N97" s="1244"/>
      <c r="O97" s="1244"/>
      <c r="P97" s="1244">
        <f>LOI_SC60D!P58</f>
        <v>0</v>
      </c>
      <c r="Q97" s="1244"/>
      <c r="R97" s="1244"/>
      <c r="S97" s="1244"/>
      <c r="T97" s="1244"/>
      <c r="U97" s="1244"/>
    </row>
    <row r="98" spans="1:21" x14ac:dyDescent="0.3">
      <c r="A98" s="627"/>
      <c r="B98" s="627"/>
      <c r="C98" s="627"/>
      <c r="D98" s="627"/>
      <c r="E98" s="627"/>
      <c r="F98" s="627"/>
      <c r="G98" s="627"/>
      <c r="H98" s="627"/>
      <c r="I98" s="628"/>
      <c r="J98" s="628"/>
      <c r="K98" s="628"/>
      <c r="L98" s="628"/>
      <c r="M98" s="628"/>
      <c r="N98" s="628"/>
      <c r="O98" s="628"/>
      <c r="P98" s="628"/>
      <c r="Q98" s="628"/>
      <c r="R98" s="628"/>
      <c r="S98" s="628"/>
      <c r="T98" s="628"/>
      <c r="U98" s="628"/>
    </row>
    <row r="99" spans="1:21" x14ac:dyDescent="0.3">
      <c r="A99" s="1251" t="s">
        <v>868</v>
      </c>
      <c r="B99" s="1251"/>
      <c r="C99" s="1251"/>
      <c r="D99" s="1251"/>
      <c r="E99" s="1251"/>
      <c r="F99" s="1251"/>
      <c r="G99" s="1251"/>
      <c r="H99" s="1251"/>
      <c r="I99" s="1251"/>
      <c r="J99" s="1251"/>
      <c r="K99" s="1251"/>
      <c r="L99" s="1251"/>
      <c r="M99" s="1251"/>
      <c r="N99" s="1251"/>
      <c r="O99" s="1251"/>
      <c r="P99" s="1251"/>
      <c r="Q99" s="1251"/>
      <c r="R99" s="1251"/>
      <c r="S99" s="1251"/>
      <c r="T99" s="1251"/>
      <c r="U99" s="1251"/>
    </row>
    <row r="100" spans="1:21" x14ac:dyDescent="0.3">
      <c r="A100" s="627"/>
      <c r="B100" s="627"/>
      <c r="C100" s="627"/>
      <c r="D100" s="627"/>
      <c r="E100" s="627"/>
      <c r="F100" s="627"/>
      <c r="G100" s="627"/>
      <c r="H100" s="627"/>
      <c r="I100" s="628"/>
      <c r="J100" s="628"/>
      <c r="K100" s="628"/>
      <c r="L100" s="628"/>
      <c r="M100" s="628"/>
      <c r="N100" s="628"/>
      <c r="O100" s="628"/>
      <c r="P100" s="628"/>
      <c r="Q100" s="628"/>
      <c r="R100" s="628"/>
      <c r="S100" s="628"/>
      <c r="T100" s="628"/>
      <c r="U100" s="628"/>
    </row>
    <row r="101" spans="1:21" x14ac:dyDescent="0.3">
      <c r="A101" s="627"/>
      <c r="B101" s="627"/>
      <c r="C101" s="627"/>
      <c r="D101" s="627"/>
      <c r="E101" s="627"/>
      <c r="F101" s="627"/>
      <c r="G101" s="627"/>
      <c r="H101" s="627"/>
      <c r="I101" s="628"/>
      <c r="J101" s="628"/>
      <c r="K101" s="628"/>
      <c r="L101" s="628"/>
      <c r="M101" s="628"/>
      <c r="N101" s="628"/>
      <c r="O101" s="628"/>
      <c r="P101" s="628"/>
      <c r="Q101" s="628"/>
      <c r="R101" s="628"/>
      <c r="S101" s="628"/>
      <c r="T101" s="628"/>
      <c r="U101" s="628"/>
    </row>
    <row r="102" spans="1:21" x14ac:dyDescent="0.3">
      <c r="A102" s="627"/>
      <c r="B102" s="627"/>
      <c r="C102" s="627"/>
      <c r="D102" s="627"/>
      <c r="E102" s="627"/>
      <c r="F102" s="627"/>
      <c r="G102" s="627"/>
      <c r="H102" s="627"/>
      <c r="I102" s="628"/>
      <c r="J102" s="628"/>
      <c r="K102" s="628"/>
      <c r="L102" s="628"/>
      <c r="M102" s="628"/>
      <c r="N102" s="628"/>
      <c r="O102" s="628"/>
      <c r="P102" s="628"/>
      <c r="Q102" s="628"/>
      <c r="R102" s="628"/>
      <c r="S102" s="628"/>
      <c r="T102" s="628"/>
      <c r="U102" s="628"/>
    </row>
    <row r="103" spans="1:21" x14ac:dyDescent="0.3">
      <c r="A103" s="627"/>
      <c r="B103" s="627"/>
      <c r="C103" s="627"/>
      <c r="D103" s="627"/>
      <c r="E103" s="627"/>
      <c r="F103" s="627"/>
      <c r="G103" s="627"/>
      <c r="H103" s="627"/>
      <c r="I103" s="628"/>
      <c r="J103" s="628"/>
      <c r="K103" s="628"/>
      <c r="L103" s="628"/>
      <c r="M103" s="628"/>
      <c r="N103" s="628"/>
      <c r="O103" s="628"/>
      <c r="P103" s="628"/>
      <c r="Q103" s="628"/>
      <c r="R103" s="628"/>
      <c r="S103" s="628"/>
      <c r="T103" s="628"/>
      <c r="U103" s="628"/>
    </row>
    <row r="104" spans="1:21" x14ac:dyDescent="0.3">
      <c r="A104" s="627"/>
      <c r="B104" s="627"/>
      <c r="C104" s="627"/>
      <c r="D104" s="627"/>
      <c r="E104" s="627"/>
      <c r="F104" s="627"/>
      <c r="G104" s="627"/>
      <c r="H104" s="627"/>
      <c r="I104" s="628"/>
      <c r="J104" s="628"/>
      <c r="K104" s="628"/>
      <c r="L104" s="628"/>
      <c r="M104" s="628"/>
      <c r="N104" s="628"/>
      <c r="O104" s="628"/>
      <c r="P104" s="628"/>
      <c r="Q104" s="628"/>
      <c r="R104" s="628"/>
      <c r="S104" s="628"/>
      <c r="T104" s="628"/>
      <c r="U104" s="628"/>
    </row>
    <row r="105" spans="1:21" x14ac:dyDescent="0.3">
      <c r="A105" s="627"/>
      <c r="B105" s="627"/>
      <c r="C105" s="627"/>
      <c r="D105" s="627"/>
      <c r="E105" s="627"/>
      <c r="F105" s="627"/>
      <c r="G105" s="627"/>
      <c r="H105" s="627"/>
      <c r="I105" s="628"/>
      <c r="J105" s="628"/>
      <c r="K105" s="628"/>
      <c r="L105" s="628"/>
      <c r="M105" s="628"/>
      <c r="N105" s="628"/>
      <c r="O105" s="628"/>
      <c r="P105" s="628"/>
      <c r="Q105" s="628"/>
      <c r="R105" s="628"/>
      <c r="S105" s="628"/>
      <c r="T105" s="628"/>
      <c r="U105" s="628"/>
    </row>
    <row r="106" spans="1:21" x14ac:dyDescent="0.3">
      <c r="A106" s="627"/>
      <c r="B106" s="627"/>
      <c r="C106" s="627"/>
      <c r="D106" s="627"/>
      <c r="E106" s="627"/>
      <c r="F106" s="627"/>
      <c r="G106" s="627"/>
      <c r="H106" s="627"/>
      <c r="I106" s="628"/>
      <c r="J106" s="628"/>
      <c r="K106" s="628"/>
      <c r="L106" s="628"/>
      <c r="M106" s="628"/>
      <c r="N106" s="628"/>
      <c r="O106" s="628"/>
      <c r="P106" s="628"/>
      <c r="Q106" s="628"/>
      <c r="R106" s="628"/>
      <c r="S106" s="628"/>
      <c r="T106" s="628"/>
      <c r="U106" s="628"/>
    </row>
    <row r="107" spans="1:21" x14ac:dyDescent="0.3">
      <c r="A107" s="627"/>
      <c r="B107" s="627"/>
      <c r="C107" s="627"/>
      <c r="D107" s="627"/>
      <c r="E107" s="627"/>
      <c r="F107" s="627"/>
      <c r="G107" s="627"/>
      <c r="H107" s="627"/>
      <c r="I107" s="628"/>
      <c r="J107" s="628"/>
      <c r="K107" s="628"/>
      <c r="L107" s="628"/>
      <c r="M107" s="628"/>
      <c r="N107" s="628"/>
      <c r="O107" s="628"/>
      <c r="P107" s="628"/>
      <c r="Q107" s="628"/>
      <c r="R107" s="628"/>
      <c r="S107" s="628"/>
      <c r="T107" s="628"/>
      <c r="U107" s="628"/>
    </row>
    <row r="110" spans="1:21" x14ac:dyDescent="0.3">
      <c r="H110" s="1240">
        <f>D2</f>
        <v>0</v>
      </c>
      <c r="I110" s="1240"/>
      <c r="J110" s="1240"/>
      <c r="K110" s="1240"/>
      <c r="L110" s="1240"/>
      <c r="M110" s="1240"/>
      <c r="N110" s="1240"/>
      <c r="O110" s="1240"/>
      <c r="P110" s="1240"/>
      <c r="Q110" s="1240"/>
    </row>
    <row r="111" spans="1:21" ht="25.5" customHeight="1" x14ac:dyDescent="0.3">
      <c r="A111" s="1245" t="s">
        <v>869</v>
      </c>
      <c r="B111" s="1245"/>
      <c r="C111" s="1245"/>
      <c r="D111" s="1245"/>
      <c r="E111" s="1245"/>
      <c r="F111" s="1245"/>
      <c r="G111" s="1245"/>
      <c r="H111" s="1245"/>
      <c r="I111" s="1245"/>
      <c r="J111" s="1245"/>
      <c r="K111" s="1245"/>
      <c r="L111" s="1245"/>
      <c r="M111" s="1245"/>
      <c r="N111" s="1245"/>
      <c r="O111" s="1245"/>
      <c r="P111" s="1245"/>
      <c r="Q111" s="1245"/>
      <c r="R111" s="1245"/>
      <c r="S111" s="1245"/>
      <c r="T111" s="1245"/>
      <c r="U111" s="1245"/>
    </row>
    <row r="112" spans="1:21" x14ac:dyDescent="0.3">
      <c r="A112" s="21"/>
      <c r="B112" s="21"/>
      <c r="C112" s="21"/>
      <c r="D112" s="21"/>
      <c r="E112" s="21"/>
      <c r="F112" s="21"/>
      <c r="G112" s="21"/>
      <c r="H112" s="21"/>
      <c r="I112" s="21"/>
      <c r="J112" s="21"/>
      <c r="K112" s="21"/>
      <c r="L112" s="21"/>
      <c r="M112" s="21"/>
      <c r="N112" s="21"/>
      <c r="O112" s="21"/>
      <c r="P112" s="21"/>
      <c r="Q112" s="21"/>
      <c r="R112" s="21"/>
      <c r="S112" s="21"/>
      <c r="T112" s="21"/>
      <c r="U112" s="21"/>
    </row>
    <row r="113" spans="1:21" x14ac:dyDescent="0.3">
      <c r="A113" s="21"/>
      <c r="B113" s="21"/>
      <c r="C113" s="21"/>
      <c r="D113" s="21"/>
      <c r="E113" s="21"/>
      <c r="F113" s="21"/>
      <c r="G113" s="21"/>
      <c r="H113" s="21"/>
      <c r="I113" s="21"/>
      <c r="J113" s="21"/>
      <c r="K113" s="21"/>
      <c r="L113" s="21"/>
      <c r="M113" s="21"/>
      <c r="N113" s="21"/>
      <c r="O113" s="21"/>
      <c r="P113" s="21"/>
      <c r="Q113" s="21"/>
      <c r="R113" s="21"/>
      <c r="S113" s="21"/>
      <c r="T113" s="21"/>
      <c r="U113" s="21"/>
    </row>
    <row r="114" spans="1:21" x14ac:dyDescent="0.3">
      <c r="A114" s="1239" t="s">
        <v>870</v>
      </c>
      <c r="B114" s="1239"/>
      <c r="C114" s="1239"/>
      <c r="D114" s="1239"/>
      <c r="E114" s="1239"/>
      <c r="F114" s="1239"/>
      <c r="G114" s="1239"/>
      <c r="H114" s="1239"/>
      <c r="I114" s="1239"/>
      <c r="J114" s="1239"/>
      <c r="K114" s="1239"/>
      <c r="L114" s="1239"/>
      <c r="M114" s="1239"/>
      <c r="N114" s="1239"/>
      <c r="O114" s="1239"/>
      <c r="P114" s="1239"/>
      <c r="Q114" s="1239"/>
      <c r="R114" s="1239"/>
      <c r="S114" s="1239"/>
      <c r="T114" s="1239"/>
      <c r="U114" s="1239"/>
    </row>
    <row r="115" spans="1:21" ht="21.75" customHeight="1" x14ac:dyDescent="0.3">
      <c r="A115" s="1238" t="str">
        <f>H7</f>
        <v>WEE COMMUNITY DEVELOPERS, INC.</v>
      </c>
      <c r="B115" s="1238"/>
      <c r="C115" s="1238"/>
      <c r="D115" s="1238"/>
      <c r="E115" s="1238"/>
      <c r="F115" s="1238"/>
      <c r="G115" s="1238"/>
      <c r="H115" s="1238"/>
      <c r="I115" s="1238"/>
      <c r="J115" s="1238"/>
      <c r="K115" s="1238"/>
      <c r="L115" s="1238"/>
      <c r="M115" s="1238"/>
      <c r="N115" s="1238"/>
      <c r="O115" s="1238"/>
      <c r="P115" s="1238"/>
      <c r="Q115" s="1238"/>
      <c r="R115" s="1238"/>
      <c r="S115" s="1238"/>
      <c r="T115" s="1238"/>
      <c r="U115" s="1238"/>
    </row>
    <row r="116" spans="1:21" x14ac:dyDescent="0.3">
      <c r="A116" s="21"/>
      <c r="B116" s="21"/>
      <c r="C116" s="21"/>
      <c r="D116" s="21"/>
      <c r="E116" s="21"/>
      <c r="F116" s="21"/>
      <c r="G116" s="21"/>
      <c r="H116" s="21"/>
      <c r="I116" s="21"/>
      <c r="J116" s="21"/>
      <c r="K116" s="21"/>
      <c r="L116" s="21"/>
      <c r="M116" s="21"/>
      <c r="N116" s="21"/>
      <c r="O116" s="21"/>
      <c r="P116" s="21"/>
      <c r="Q116" s="21"/>
      <c r="R116" s="21"/>
      <c r="S116" s="21"/>
      <c r="T116" s="21"/>
      <c r="U116" s="21"/>
    </row>
    <row r="117" spans="1:21" x14ac:dyDescent="0.3">
      <c r="A117" s="21"/>
      <c r="B117" s="21"/>
      <c r="C117" s="21"/>
      <c r="D117" s="21"/>
      <c r="E117" s="21"/>
      <c r="F117" s="21"/>
      <c r="G117" s="21"/>
      <c r="H117" s="22"/>
      <c r="I117" s="22"/>
      <c r="J117" s="22"/>
      <c r="K117" s="22"/>
      <c r="L117" s="22"/>
      <c r="M117" s="22"/>
      <c r="N117" s="22"/>
      <c r="O117" s="22"/>
      <c r="P117" s="22"/>
      <c r="Q117" s="22"/>
      <c r="R117" s="21"/>
      <c r="S117" s="21"/>
      <c r="T117" s="21"/>
      <c r="U117" s="21"/>
    </row>
    <row r="121" spans="1:21" x14ac:dyDescent="0.3">
      <c r="I121" s="56"/>
    </row>
  </sheetData>
  <sheetProtection sheet="1" formatCells="0" formatColumns="0" formatRows="0" selectLockedCells="1"/>
  <mergeCells count="73">
    <mergeCell ref="D23:E23"/>
    <mergeCell ref="J23:L23"/>
    <mergeCell ref="P23:Q23"/>
    <mergeCell ref="D22:E22"/>
    <mergeCell ref="R23:S24"/>
    <mergeCell ref="D24:F24"/>
    <mergeCell ref="J24:L24"/>
    <mergeCell ref="P24:Q24"/>
    <mergeCell ref="I30:U30"/>
    <mergeCell ref="I28:U28"/>
    <mergeCell ref="A19:F19"/>
    <mergeCell ref="G19:L19"/>
    <mergeCell ref="M19:Q19"/>
    <mergeCell ref="R19:U19"/>
    <mergeCell ref="D20:F20"/>
    <mergeCell ref="J20:L20"/>
    <mergeCell ref="P20:Q20"/>
    <mergeCell ref="T20:U20"/>
    <mergeCell ref="R20:S20"/>
    <mergeCell ref="D21:E21"/>
    <mergeCell ref="J21:L21"/>
    <mergeCell ref="P21:Q21"/>
    <mergeCell ref="T21:U21"/>
    <mergeCell ref="J22:L22"/>
    <mergeCell ref="A9:P9"/>
    <mergeCell ref="I10:U10"/>
    <mergeCell ref="M11:U11"/>
    <mergeCell ref="K12:U12"/>
    <mergeCell ref="E15:T15"/>
    <mergeCell ref="A3:Q3"/>
    <mergeCell ref="A4:U5"/>
    <mergeCell ref="A8:U8"/>
    <mergeCell ref="D2:Q2"/>
    <mergeCell ref="H7:N7"/>
    <mergeCell ref="I26:U26"/>
    <mergeCell ref="R21:S21"/>
    <mergeCell ref="R22:S22"/>
    <mergeCell ref="I29:U29"/>
    <mergeCell ref="I27:U27"/>
    <mergeCell ref="P22:Q22"/>
    <mergeCell ref="T22:U22"/>
    <mergeCell ref="T23:U24"/>
    <mergeCell ref="I31:U31"/>
    <mergeCell ref="C39:M39"/>
    <mergeCell ref="N39:R39"/>
    <mergeCell ref="A93:H93"/>
    <mergeCell ref="I93:O93"/>
    <mergeCell ref="P93:U93"/>
    <mergeCell ref="M87:O87"/>
    <mergeCell ref="E87:G87"/>
    <mergeCell ref="E88:G88"/>
    <mergeCell ref="M88:O88"/>
    <mergeCell ref="A92:U92"/>
    <mergeCell ref="S87:T87"/>
    <mergeCell ref="S88:T88"/>
    <mergeCell ref="S89:T89"/>
    <mergeCell ref="A94:H94"/>
    <mergeCell ref="I94:O94"/>
    <mergeCell ref="P94:U94"/>
    <mergeCell ref="A95:H95"/>
    <mergeCell ref="I95:O95"/>
    <mergeCell ref="P95:U95"/>
    <mergeCell ref="A96:H96"/>
    <mergeCell ref="I96:O96"/>
    <mergeCell ref="P96:U96"/>
    <mergeCell ref="A115:U115"/>
    <mergeCell ref="A97:H97"/>
    <mergeCell ref="I97:O97"/>
    <mergeCell ref="P97:U97"/>
    <mergeCell ref="A111:U111"/>
    <mergeCell ref="A114:U114"/>
    <mergeCell ref="H110:Q110"/>
    <mergeCell ref="A99:U99"/>
  </mergeCells>
  <pageMargins left="0.51181102362204722" right="0.51181102362204722" top="1.1811023622047245" bottom="0.74803149606299213" header="0.31496062992125984" footer="0.31496062992125984"/>
  <pageSetup paperSize="14" scale="86" orientation="portrait" r:id="rId1"/>
  <headerFooter>
    <oddHeader xml:space="preserve">&amp;R
&amp;"Century Gothic,Bold"&amp;18RESERVATION AGREEMENT&amp;"-,Regular"&amp;11
</oddHeader>
    <oddFooter>&amp;C&amp;"Century Gothic,Regular"&amp;8Page &amp;P of &amp;N</oddFooter>
  </headerFooter>
  <rowBreaks count="1" manualBreakCount="1">
    <brk id="60" max="20" man="1"/>
  </rowBreaks>
  <drawing r:id="rId2"/>
  <legacyDrawing r:id="rId3"/>
  <mc:AlternateContent xmlns:mc="http://schemas.openxmlformats.org/markup-compatibility/2006">
    <mc:Choice Requires="x14">
      <controls>
        <mc:AlternateContent xmlns:mc="http://schemas.openxmlformats.org/markup-compatibility/2006">
          <mc:Choice Requires="x14">
            <control shapeId="19470" r:id="rId4" name="Check Box 14">
              <controlPr defaultSize="0" autoFill="0" autoLine="0" autoPict="0">
                <anchor moveWithCells="1">
                  <from>
                    <xdr:col>2</xdr:col>
                    <xdr:colOff>38100</xdr:colOff>
                    <xdr:row>34</xdr:row>
                    <xdr:rowOff>19050</xdr:rowOff>
                  </from>
                  <to>
                    <xdr:col>2</xdr:col>
                    <xdr:colOff>285750</xdr:colOff>
                    <xdr:row>35</xdr:row>
                    <xdr:rowOff>19050</xdr:rowOff>
                  </to>
                </anchor>
              </controlPr>
            </control>
          </mc:Choice>
        </mc:AlternateContent>
        <mc:AlternateContent xmlns:mc="http://schemas.openxmlformats.org/markup-compatibility/2006">
          <mc:Choice Requires="x14">
            <control shapeId="19472" r:id="rId5" name="Check Box 16">
              <controlPr defaultSize="0" autoFill="0" autoLine="0" autoPict="0">
                <anchor moveWithCells="1">
                  <from>
                    <xdr:col>11</xdr:col>
                    <xdr:colOff>247650</xdr:colOff>
                    <xdr:row>34</xdr:row>
                    <xdr:rowOff>0</xdr:rowOff>
                  </from>
                  <to>
                    <xdr:col>12</xdr:col>
                    <xdr:colOff>19050</xdr:colOff>
                    <xdr:row>35</xdr:row>
                    <xdr:rowOff>19050</xdr:rowOff>
                  </to>
                </anchor>
              </controlPr>
            </control>
          </mc:Choice>
        </mc:AlternateContent>
        <mc:AlternateContent xmlns:mc="http://schemas.openxmlformats.org/markup-compatibility/2006">
          <mc:Choice Requires="x14">
            <control shapeId="19473" r:id="rId6" name="Check Box 17">
              <controlPr defaultSize="0" autoFill="0" autoLine="0" autoPict="0">
                <anchor moveWithCells="1">
                  <from>
                    <xdr:col>2</xdr:col>
                    <xdr:colOff>257175</xdr:colOff>
                    <xdr:row>16</xdr:row>
                    <xdr:rowOff>0</xdr:rowOff>
                  </from>
                  <to>
                    <xdr:col>3</xdr:col>
                    <xdr:colOff>152400</xdr:colOff>
                    <xdr:row>17</xdr:row>
                    <xdr:rowOff>19050</xdr:rowOff>
                  </to>
                </anchor>
              </controlPr>
            </control>
          </mc:Choice>
        </mc:AlternateContent>
        <mc:AlternateContent xmlns:mc="http://schemas.openxmlformats.org/markup-compatibility/2006">
          <mc:Choice Requires="x14">
            <control shapeId="19474" r:id="rId7" name="Check Box 18">
              <controlPr defaultSize="0" autoFill="0" autoLine="0" autoPict="0">
                <anchor moveWithCells="1">
                  <from>
                    <xdr:col>2</xdr:col>
                    <xdr:colOff>257175</xdr:colOff>
                    <xdr:row>15</xdr:row>
                    <xdr:rowOff>19050</xdr:rowOff>
                  </from>
                  <to>
                    <xdr:col>3</xdr:col>
                    <xdr:colOff>152400</xdr:colOff>
                    <xdr:row>16</xdr:row>
                    <xdr:rowOff>19050</xdr:rowOff>
                  </to>
                </anchor>
              </controlPr>
            </control>
          </mc:Choice>
        </mc:AlternateContent>
        <mc:AlternateContent xmlns:mc="http://schemas.openxmlformats.org/markup-compatibility/2006">
          <mc:Choice Requires="x14">
            <control shapeId="19475" r:id="rId8" name="Check Box 19">
              <controlPr defaultSize="0" autoFill="0" autoLine="0" autoPict="0">
                <anchor moveWithCells="1">
                  <from>
                    <xdr:col>10</xdr:col>
                    <xdr:colOff>133350</xdr:colOff>
                    <xdr:row>15</xdr:row>
                    <xdr:rowOff>209550</xdr:rowOff>
                  </from>
                  <to>
                    <xdr:col>10</xdr:col>
                    <xdr:colOff>361950</xdr:colOff>
                    <xdr:row>17</xdr:row>
                    <xdr:rowOff>0</xdr:rowOff>
                  </to>
                </anchor>
              </controlPr>
            </control>
          </mc:Choice>
        </mc:AlternateContent>
        <mc:AlternateContent xmlns:mc="http://schemas.openxmlformats.org/markup-compatibility/2006">
          <mc:Choice Requires="x14">
            <control shapeId="19476" r:id="rId9" name="Check Box 20">
              <controlPr defaultSize="0" autoFill="0" autoLine="0" autoPict="0">
                <anchor moveWithCells="1">
                  <from>
                    <xdr:col>10</xdr:col>
                    <xdr:colOff>133350</xdr:colOff>
                    <xdr:row>15</xdr:row>
                    <xdr:rowOff>0</xdr:rowOff>
                  </from>
                  <to>
                    <xdr:col>10</xdr:col>
                    <xdr:colOff>361950</xdr:colOff>
                    <xdr:row>16</xdr:row>
                    <xdr:rowOff>19050</xdr:rowOff>
                  </to>
                </anchor>
              </controlPr>
            </control>
          </mc:Choice>
        </mc:AlternateContent>
        <mc:AlternateContent xmlns:mc="http://schemas.openxmlformats.org/markup-compatibility/2006">
          <mc:Choice Requires="x14">
            <control shapeId="19477" r:id="rId10" name="Check Box 21">
              <controlPr defaultSize="0" autoFill="0" autoLine="0" autoPict="0">
                <anchor moveWithCells="1">
                  <from>
                    <xdr:col>17</xdr:col>
                    <xdr:colOff>876300</xdr:colOff>
                    <xdr:row>15</xdr:row>
                    <xdr:rowOff>0</xdr:rowOff>
                  </from>
                  <to>
                    <xdr:col>18</xdr:col>
                    <xdr:colOff>209550</xdr:colOff>
                    <xdr:row>16</xdr:row>
                    <xdr:rowOff>19050</xdr:rowOff>
                  </to>
                </anchor>
              </controlPr>
            </control>
          </mc:Choice>
        </mc:AlternateContent>
        <mc:AlternateContent xmlns:mc="http://schemas.openxmlformats.org/markup-compatibility/2006">
          <mc:Choice Requires="x14">
            <control shapeId="19478" r:id="rId11" name="Check Box 22">
              <controlPr defaultSize="0" autoFill="0" autoLine="0" autoPict="0">
                <anchor moveWithCells="1">
                  <from>
                    <xdr:col>0</xdr:col>
                    <xdr:colOff>152400</xdr:colOff>
                    <xdr:row>85</xdr:row>
                    <xdr:rowOff>0</xdr:rowOff>
                  </from>
                  <to>
                    <xdr:col>2</xdr:col>
                    <xdr:colOff>19050</xdr:colOff>
                    <xdr:row>86</xdr:row>
                    <xdr:rowOff>0</xdr:rowOff>
                  </to>
                </anchor>
              </controlPr>
            </control>
          </mc:Choice>
        </mc:AlternateContent>
        <mc:AlternateContent xmlns:mc="http://schemas.openxmlformats.org/markup-compatibility/2006">
          <mc:Choice Requires="x14">
            <control shapeId="19479" r:id="rId12" name="Check Box 23">
              <controlPr defaultSize="0" autoFill="0" autoLine="0" autoPict="0">
                <anchor moveWithCells="1">
                  <from>
                    <xdr:col>9</xdr:col>
                    <xdr:colOff>57150</xdr:colOff>
                    <xdr:row>85</xdr:row>
                    <xdr:rowOff>0</xdr:rowOff>
                  </from>
                  <to>
                    <xdr:col>10</xdr:col>
                    <xdr:colOff>19050</xdr:colOff>
                    <xdr:row>86</xdr:row>
                    <xdr:rowOff>0</xdr:rowOff>
                  </to>
                </anchor>
              </controlPr>
            </control>
          </mc:Choice>
        </mc:AlternateContent>
        <mc:AlternateContent xmlns:mc="http://schemas.openxmlformats.org/markup-compatibility/2006">
          <mc:Choice Requires="x14">
            <control shapeId="19480" r:id="rId13" name="Check Box 24">
              <controlPr defaultSize="0" autoFill="0" autoLine="0" autoPict="0">
                <anchor moveWithCells="1">
                  <from>
                    <xdr:col>16</xdr:col>
                    <xdr:colOff>152400</xdr:colOff>
                    <xdr:row>85</xdr:row>
                    <xdr:rowOff>0</xdr:rowOff>
                  </from>
                  <to>
                    <xdr:col>17</xdr:col>
                    <xdr:colOff>0</xdr:colOff>
                    <xdr:row>86</xdr:row>
                    <xdr:rowOff>19050</xdr:rowOff>
                  </to>
                </anchor>
              </controlPr>
            </control>
          </mc:Choice>
        </mc:AlternateContent>
        <mc:AlternateContent xmlns:mc="http://schemas.openxmlformats.org/markup-compatibility/2006">
          <mc:Choice Requires="x14">
            <control shapeId="19481" r:id="rId14" name="Check Box 25">
              <controlPr defaultSize="0" autoFill="0" autoLine="0" autoPict="0">
                <anchor moveWithCells="1">
                  <from>
                    <xdr:col>17</xdr:col>
                    <xdr:colOff>876300</xdr:colOff>
                    <xdr:row>15</xdr:row>
                    <xdr:rowOff>190500</xdr:rowOff>
                  </from>
                  <to>
                    <xdr:col>18</xdr:col>
                    <xdr:colOff>209550</xdr:colOff>
                    <xdr:row>17</xdr:row>
                    <xdr:rowOff>0</xdr:rowOff>
                  </to>
                </anchor>
              </controlPr>
            </control>
          </mc:Choice>
        </mc:AlternateContent>
        <mc:AlternateContent xmlns:mc="http://schemas.openxmlformats.org/markup-compatibility/2006">
          <mc:Choice Requires="x14">
            <control shapeId="19482" r:id="rId15" name="Check Box 26">
              <controlPr defaultSize="0" autoFill="0" autoLine="0" autoPict="0">
                <anchor moveWithCells="1">
                  <from>
                    <xdr:col>17</xdr:col>
                    <xdr:colOff>66675</xdr:colOff>
                    <xdr:row>34</xdr:row>
                    <xdr:rowOff>0</xdr:rowOff>
                  </from>
                  <to>
                    <xdr:col>17</xdr:col>
                    <xdr:colOff>285750</xdr:colOff>
                    <xdr:row>35</xdr:row>
                    <xdr:rowOff>19050</xdr:rowOff>
                  </to>
                </anchor>
              </controlPr>
            </control>
          </mc:Choice>
        </mc:AlternateContent>
        <mc:AlternateContent xmlns:mc="http://schemas.openxmlformats.org/markup-compatibility/2006">
          <mc:Choice Requires="x14">
            <control shapeId="19483" r:id="rId16" name="Check Box 27">
              <controlPr defaultSize="0" autoFill="0" autoLine="0" autoPict="0">
                <anchor moveWithCells="1">
                  <from>
                    <xdr:col>0</xdr:col>
                    <xdr:colOff>171450</xdr:colOff>
                    <xdr:row>86</xdr:row>
                    <xdr:rowOff>19050</xdr:rowOff>
                  </from>
                  <to>
                    <xdr:col>2</xdr:col>
                    <xdr:colOff>57150</xdr:colOff>
                    <xdr:row>87</xdr:row>
                    <xdr:rowOff>0</xdr:rowOff>
                  </to>
                </anchor>
              </controlPr>
            </control>
          </mc:Choice>
        </mc:AlternateContent>
        <mc:AlternateContent xmlns:mc="http://schemas.openxmlformats.org/markup-compatibility/2006">
          <mc:Choice Requires="x14">
            <control shapeId="19484" r:id="rId17" name="Check Box 28">
              <controlPr defaultSize="0" autoFill="0" autoLine="0" autoPict="0">
                <anchor moveWithCells="1">
                  <from>
                    <xdr:col>0</xdr:col>
                    <xdr:colOff>171450</xdr:colOff>
                    <xdr:row>87</xdr:row>
                    <xdr:rowOff>0</xdr:rowOff>
                  </from>
                  <to>
                    <xdr:col>2</xdr:col>
                    <xdr:colOff>57150</xdr:colOff>
                    <xdr:row>88</xdr:row>
                    <xdr:rowOff>0</xdr:rowOff>
                  </to>
                </anchor>
              </controlPr>
            </control>
          </mc:Choice>
        </mc:AlternateContent>
        <mc:AlternateContent xmlns:mc="http://schemas.openxmlformats.org/markup-compatibility/2006">
          <mc:Choice Requires="x14">
            <control shapeId="19485" r:id="rId18" name="Check Box 29">
              <controlPr defaultSize="0" autoFill="0" autoLine="0" autoPict="0">
                <anchor moveWithCells="1">
                  <from>
                    <xdr:col>9</xdr:col>
                    <xdr:colOff>57150</xdr:colOff>
                    <xdr:row>86</xdr:row>
                    <xdr:rowOff>19050</xdr:rowOff>
                  </from>
                  <to>
                    <xdr:col>10</xdr:col>
                    <xdr:colOff>57150</xdr:colOff>
                    <xdr:row>87</xdr:row>
                    <xdr:rowOff>0</xdr:rowOff>
                  </to>
                </anchor>
              </controlPr>
            </control>
          </mc:Choice>
        </mc:AlternateContent>
        <mc:AlternateContent xmlns:mc="http://schemas.openxmlformats.org/markup-compatibility/2006">
          <mc:Choice Requires="x14">
            <control shapeId="19486" r:id="rId19" name="Check Box 30">
              <controlPr defaultSize="0" autoFill="0" autoLine="0" autoPict="0">
                <anchor moveWithCells="1">
                  <from>
                    <xdr:col>9</xdr:col>
                    <xdr:colOff>57150</xdr:colOff>
                    <xdr:row>86</xdr:row>
                    <xdr:rowOff>209550</xdr:rowOff>
                  </from>
                  <to>
                    <xdr:col>10</xdr:col>
                    <xdr:colOff>57150</xdr:colOff>
                    <xdr:row>88</xdr:row>
                    <xdr:rowOff>0</xdr:rowOff>
                  </to>
                </anchor>
              </controlPr>
            </control>
          </mc:Choice>
        </mc:AlternateContent>
        <mc:AlternateContent xmlns:mc="http://schemas.openxmlformats.org/markup-compatibility/2006">
          <mc:Choice Requires="x14">
            <control shapeId="19487" r:id="rId20" name="Check Box 31">
              <controlPr defaultSize="0" autoFill="0" autoLine="0" autoPict="0">
                <anchor moveWithCells="1">
                  <from>
                    <xdr:col>16</xdr:col>
                    <xdr:colOff>171450</xdr:colOff>
                    <xdr:row>86</xdr:row>
                    <xdr:rowOff>19050</xdr:rowOff>
                  </from>
                  <to>
                    <xdr:col>17</xdr:col>
                    <xdr:colOff>19050</xdr:colOff>
                    <xdr:row>87</xdr:row>
                    <xdr:rowOff>0</xdr:rowOff>
                  </to>
                </anchor>
              </controlPr>
            </control>
          </mc:Choice>
        </mc:AlternateContent>
        <mc:AlternateContent xmlns:mc="http://schemas.openxmlformats.org/markup-compatibility/2006">
          <mc:Choice Requires="x14">
            <control shapeId="19488" r:id="rId21" name="Check Box 32">
              <controlPr defaultSize="0" autoFill="0" autoLine="0" autoPict="0">
                <anchor moveWithCells="1">
                  <from>
                    <xdr:col>16</xdr:col>
                    <xdr:colOff>171450</xdr:colOff>
                    <xdr:row>86</xdr:row>
                    <xdr:rowOff>209550</xdr:rowOff>
                  </from>
                  <to>
                    <xdr:col>17</xdr:col>
                    <xdr:colOff>19050</xdr:colOff>
                    <xdr:row>88</xdr:row>
                    <xdr:rowOff>0</xdr:rowOff>
                  </to>
                </anchor>
              </controlPr>
            </control>
          </mc:Choice>
        </mc:AlternateContent>
        <mc:AlternateContent xmlns:mc="http://schemas.openxmlformats.org/markup-compatibility/2006">
          <mc:Choice Requires="x14">
            <control shapeId="19489" r:id="rId22" name="Check Box 33">
              <controlPr defaultSize="0" autoFill="0" autoLine="0" autoPict="0">
                <anchor moveWithCells="1">
                  <from>
                    <xdr:col>16</xdr:col>
                    <xdr:colOff>171450</xdr:colOff>
                    <xdr:row>87</xdr:row>
                    <xdr:rowOff>209550</xdr:rowOff>
                  </from>
                  <to>
                    <xdr:col>17</xdr:col>
                    <xdr:colOff>19050</xdr:colOff>
                    <xdr:row>89</xdr:row>
                    <xdr:rowOff>0</xdr:rowOff>
                  </to>
                </anchor>
              </controlPr>
            </control>
          </mc:Choice>
        </mc:AlternateContent>
      </controls>
    </mc:Choice>
  </mc:AlternateContent>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
  <dimension ref="A1:AW70"/>
  <sheetViews>
    <sheetView showGridLines="0" showZeros="0" view="pageLayout" topLeftCell="D2" zoomScale="85" zoomScaleNormal="100" zoomScaleSheetLayoutView="80" zoomScalePageLayoutView="85" workbookViewId="0">
      <selection activeCell="D52" sqref="D52:G52"/>
    </sheetView>
  </sheetViews>
  <sheetFormatPr defaultColWidth="9.28515625" defaultRowHeight="15" x14ac:dyDescent="0.25"/>
  <cols>
    <col min="1" max="1" width="0.7109375" customWidth="1"/>
    <col min="2" max="2" width="11.42578125" customWidth="1"/>
    <col min="3" max="3" width="17.28515625" customWidth="1"/>
    <col min="4" max="4" width="12.7109375" style="150" customWidth="1"/>
    <col min="5" max="5" width="15.28515625" customWidth="1"/>
    <col min="6" max="6" width="8.42578125" customWidth="1"/>
    <col min="7" max="7" width="14.28515625" customWidth="1"/>
    <col min="8" max="8" width="11.7109375" customWidth="1"/>
    <col min="9" max="9" width="19" customWidth="1"/>
    <col min="10" max="10" width="0.42578125" customWidth="1"/>
    <col min="12" max="12" width="17.5703125" customWidth="1"/>
    <col min="13" max="13" width="16.5703125" style="151" customWidth="1"/>
    <col min="14" max="14" width="5.42578125" customWidth="1"/>
    <col min="15" max="15" width="19.28515625" customWidth="1"/>
    <col min="16" max="16" width="11.7109375" customWidth="1"/>
    <col min="17" max="17" width="7.7109375" customWidth="1"/>
    <col min="18" max="18" width="22.5703125" customWidth="1"/>
    <col min="20" max="20" width="21.42578125" style="301" hidden="1" customWidth="1"/>
    <col min="21" max="21" width="9.28515625" style="301" hidden="1" customWidth="1"/>
    <col min="22" max="22" width="10.7109375" style="301" hidden="1" customWidth="1"/>
    <col min="23" max="25" width="9.28515625" hidden="1" customWidth="1"/>
    <col min="26" max="26" width="0" hidden="1" customWidth="1"/>
    <col min="27" max="27" width="13.28515625" hidden="1" customWidth="1"/>
    <col min="28" max="28" width="0" hidden="1" customWidth="1"/>
  </cols>
  <sheetData>
    <row r="1" spans="1:49" ht="16.5" customHeight="1" x14ac:dyDescent="0.3">
      <c r="A1" s="5"/>
      <c r="B1" s="197" t="s">
        <v>681</v>
      </c>
      <c r="C1" s="575">
        <f>FORM!G22</f>
        <v>45870</v>
      </c>
      <c r="D1" s="260"/>
      <c r="F1" s="260"/>
      <c r="G1" s="260"/>
      <c r="H1" s="197" t="s">
        <v>873</v>
      </c>
      <c r="I1" s="275" t="s">
        <v>683</v>
      </c>
      <c r="J1" s="5"/>
      <c r="K1" s="276" t="s">
        <v>681</v>
      </c>
      <c r="L1" s="578">
        <f>C1</f>
        <v>45870</v>
      </c>
      <c r="M1" s="260"/>
      <c r="N1" s="130"/>
      <c r="P1" s="261" t="s">
        <v>873</v>
      </c>
      <c r="Q1" s="1482" t="s">
        <v>685</v>
      </c>
      <c r="R1" s="1482"/>
    </row>
    <row r="2" spans="1:49" ht="16.5" customHeight="1" x14ac:dyDescent="0.3">
      <c r="A2" s="109"/>
      <c r="B2" s="109"/>
      <c r="C2" s="110"/>
      <c r="D2" s="110"/>
      <c r="E2" s="109"/>
      <c r="F2" s="109"/>
      <c r="G2" s="111"/>
      <c r="H2" s="111"/>
      <c r="I2" s="111"/>
      <c r="J2" s="5"/>
      <c r="K2" s="109"/>
      <c r="L2" s="110"/>
      <c r="M2" s="110"/>
      <c r="N2" s="109"/>
      <c r="O2" s="109"/>
      <c r="P2" s="109"/>
      <c r="Q2" s="1441"/>
      <c r="R2" s="1441"/>
    </row>
    <row r="3" spans="1:49" ht="15.75" customHeight="1" x14ac:dyDescent="0.25">
      <c r="A3" s="111"/>
      <c r="B3" s="1319" t="s">
        <v>918</v>
      </c>
      <c r="C3" s="1319"/>
      <c r="D3" s="1319"/>
      <c r="E3" s="1319"/>
      <c r="F3" s="1319"/>
      <c r="G3" s="1319"/>
      <c r="H3" s="1319"/>
      <c r="I3" s="1319"/>
      <c r="J3" s="111"/>
      <c r="K3" s="1319" t="s">
        <v>687</v>
      </c>
      <c r="L3" s="1319"/>
      <c r="M3" s="1319"/>
      <c r="N3" s="1319"/>
      <c r="O3" s="1319"/>
      <c r="P3" s="1319"/>
      <c r="Q3" s="1319"/>
      <c r="R3" s="1319"/>
    </row>
    <row r="4" spans="1:49" ht="15.75" customHeight="1" x14ac:dyDescent="0.25">
      <c r="A4" s="111"/>
      <c r="B4" s="1319"/>
      <c r="C4" s="1319"/>
      <c r="D4" s="1319"/>
      <c r="E4" s="1319"/>
      <c r="F4" s="1319"/>
      <c r="G4" s="1319"/>
      <c r="H4" s="1319"/>
      <c r="I4" s="1319"/>
      <c r="J4" s="111"/>
      <c r="K4" s="1319"/>
      <c r="L4" s="1319"/>
      <c r="M4" s="1319"/>
      <c r="N4" s="1319"/>
      <c r="O4" s="1319"/>
      <c r="P4" s="1319"/>
      <c r="Q4" s="1319"/>
      <c r="R4" s="1319"/>
    </row>
    <row r="5" spans="1:49" ht="17.25" x14ac:dyDescent="0.3">
      <c r="A5" s="111"/>
      <c r="B5" s="202"/>
      <c r="C5" s="202"/>
      <c r="D5" s="203"/>
      <c r="E5" s="202"/>
      <c r="F5" s="202"/>
      <c r="G5" s="202"/>
      <c r="H5" s="202"/>
      <c r="I5" s="202"/>
      <c r="J5" s="106"/>
      <c r="K5" s="116"/>
      <c r="L5" s="117"/>
      <c r="M5" s="119"/>
      <c r="N5" s="117"/>
      <c r="O5" s="117" t="s">
        <v>660</v>
      </c>
      <c r="P5" s="117"/>
      <c r="Q5" s="117"/>
      <c r="R5" s="119"/>
    </row>
    <row r="6" spans="1:49" s="278" customFormat="1" ht="14.25" x14ac:dyDescent="0.2">
      <c r="A6" s="124"/>
      <c r="B6" s="167" t="s">
        <v>688</v>
      </c>
      <c r="C6" s="122"/>
      <c r="D6" s="310" t="s">
        <v>647</v>
      </c>
      <c r="E6" s="1274">
        <f>FORM!G30</f>
        <v>0</v>
      </c>
      <c r="F6" s="1274"/>
      <c r="G6" s="1274"/>
      <c r="H6" s="1274"/>
      <c r="I6" s="1274"/>
      <c r="J6" s="277"/>
      <c r="K6" s="167" t="s">
        <v>688</v>
      </c>
      <c r="L6" s="136"/>
      <c r="M6" s="310" t="s">
        <v>647</v>
      </c>
      <c r="N6" s="1274">
        <f t="shared" ref="N6:N13" si="0">E6</f>
        <v>0</v>
      </c>
      <c r="O6" s="1274"/>
      <c r="P6" s="1274"/>
      <c r="Q6" s="1274"/>
      <c r="R6" s="1274"/>
    </row>
    <row r="7" spans="1:49" s="169" customFormat="1" ht="14.25" x14ac:dyDescent="0.2">
      <c r="A7" s="124"/>
      <c r="B7" s="308" t="s">
        <v>646</v>
      </c>
      <c r="C7" s="123"/>
      <c r="D7" s="310" t="s">
        <v>647</v>
      </c>
      <c r="E7" s="1274" t="str">
        <f>FORM!G11</f>
        <v>WEECOMM CENTRE</v>
      </c>
      <c r="F7" s="1274"/>
      <c r="G7" s="1274"/>
      <c r="H7" s="1274"/>
      <c r="I7" s="1274"/>
      <c r="J7" s="279"/>
      <c r="K7" s="308" t="s">
        <v>646</v>
      </c>
      <c r="L7" s="127"/>
      <c r="M7" s="310" t="s">
        <v>647</v>
      </c>
      <c r="N7" s="1274" t="str">
        <f t="shared" si="0"/>
        <v>WEECOMM CENTRE</v>
      </c>
      <c r="O7" s="1274"/>
      <c r="P7" s="1274"/>
      <c r="Q7" s="1274"/>
      <c r="R7" s="1274"/>
    </row>
    <row r="8" spans="1:49" s="169" customFormat="1" ht="14.25" x14ac:dyDescent="0.2">
      <c r="A8" s="124"/>
      <c r="B8" s="308" t="s">
        <v>689</v>
      </c>
      <c r="C8" s="123"/>
      <c r="D8" s="310" t="s">
        <v>647</v>
      </c>
      <c r="E8" s="1274" t="str">
        <f>'STANDARD COMP.'!E8</f>
        <v>9G</v>
      </c>
      <c r="F8" s="1274"/>
      <c r="G8" s="1274"/>
      <c r="H8" s="1274"/>
      <c r="I8" s="1274"/>
      <c r="J8" s="279"/>
      <c r="K8" s="308" t="s">
        <v>689</v>
      </c>
      <c r="L8" s="127"/>
      <c r="M8" s="310" t="s">
        <v>647</v>
      </c>
      <c r="N8" s="1274" t="str">
        <f t="shared" si="0"/>
        <v>9G</v>
      </c>
      <c r="O8" s="1274"/>
      <c r="P8" s="1274"/>
      <c r="Q8" s="1274"/>
      <c r="R8" s="1274"/>
    </row>
    <row r="9" spans="1:49" s="169" customFormat="1" ht="14.25" hidden="1" x14ac:dyDescent="0.2">
      <c r="A9" s="124"/>
      <c r="B9" s="308" t="s">
        <v>690</v>
      </c>
      <c r="C9" s="123"/>
      <c r="D9" s="310" t="s">
        <v>647</v>
      </c>
      <c r="E9" s="1314">
        <f>FORM!G14</f>
        <v>1</v>
      </c>
      <c r="F9" s="1314"/>
      <c r="G9" s="1314"/>
      <c r="H9" s="1314"/>
      <c r="I9" s="1314"/>
      <c r="J9" s="120"/>
      <c r="K9" s="308" t="s">
        <v>690</v>
      </c>
      <c r="L9" s="127"/>
      <c r="M9" s="310" t="s">
        <v>647</v>
      </c>
      <c r="N9" s="1314">
        <f t="shared" si="0"/>
        <v>1</v>
      </c>
      <c r="O9" s="1314"/>
      <c r="P9" s="1314"/>
      <c r="Q9" s="1314"/>
      <c r="R9" s="1314"/>
    </row>
    <row r="10" spans="1:49" s="205" customFormat="1" ht="14.25" x14ac:dyDescent="0.2">
      <c r="A10" s="124"/>
      <c r="B10" s="308" t="s">
        <v>612</v>
      </c>
      <c r="C10" s="123"/>
      <c r="D10" s="310" t="s">
        <v>647</v>
      </c>
      <c r="E10" s="1473" t="str">
        <f>RA_SC30D!K12</f>
        <v>2-BR BARE</v>
      </c>
      <c r="F10" s="1317"/>
      <c r="G10" s="1457" t="str">
        <f>'STANDARD COMP.'!G10:I10</f>
        <v>BARE</v>
      </c>
      <c r="H10" s="1457"/>
      <c r="I10" s="1468"/>
      <c r="J10" s="125"/>
      <c r="K10" s="308" t="s">
        <v>612</v>
      </c>
      <c r="L10" s="127"/>
      <c r="M10" s="310" t="s">
        <v>647</v>
      </c>
      <c r="N10" s="1270" t="str">
        <f t="shared" si="0"/>
        <v>2-BR BARE</v>
      </c>
      <c r="O10" s="1317"/>
      <c r="P10" s="1317" t="str">
        <f>G10</f>
        <v>BARE</v>
      </c>
      <c r="Q10" s="1317"/>
      <c r="R10" s="1271"/>
      <c r="T10" s="278"/>
      <c r="U10" s="278"/>
      <c r="V10" s="278"/>
      <c r="AI10" s="206"/>
      <c r="AV10" s="207"/>
      <c r="AW10" s="208"/>
    </row>
    <row r="11" spans="1:49" s="205" customFormat="1" ht="14.25" x14ac:dyDescent="0.2">
      <c r="A11" s="124"/>
      <c r="B11" s="308" t="s">
        <v>692</v>
      </c>
      <c r="C11" s="123"/>
      <c r="D11" s="310" t="s">
        <v>647</v>
      </c>
      <c r="E11" s="1466">
        <f>'STANDARD COMP.'!E11:F11</f>
        <v>95.44</v>
      </c>
      <c r="F11" s="1469"/>
      <c r="G11" s="1322" t="s">
        <v>693</v>
      </c>
      <c r="H11" s="1322"/>
      <c r="I11" s="1323"/>
      <c r="J11" s="125"/>
      <c r="K11" s="308" t="s">
        <v>692</v>
      </c>
      <c r="L11" s="127"/>
      <c r="M11" s="310" t="s">
        <v>647</v>
      </c>
      <c r="N11" s="1466">
        <f t="shared" si="0"/>
        <v>95.44</v>
      </c>
      <c r="O11" s="1467"/>
      <c r="P11" s="1322" t="s">
        <v>693</v>
      </c>
      <c r="Q11" s="1322"/>
      <c r="R11" s="1323"/>
      <c r="T11" s="278"/>
      <c r="U11" s="278"/>
      <c r="V11" s="278"/>
      <c r="AI11" s="206"/>
      <c r="AV11" s="207"/>
      <c r="AW11" s="208"/>
    </row>
    <row r="12" spans="1:49" s="205" customFormat="1" ht="14.25" x14ac:dyDescent="0.2">
      <c r="A12" s="124"/>
      <c r="B12" s="127" t="s">
        <v>694</v>
      </c>
      <c r="C12" s="123"/>
      <c r="D12" s="310" t="s">
        <v>647</v>
      </c>
      <c r="E12" s="1309">
        <f>'STANDARD COMP.'!E12:F12</f>
        <v>13.34</v>
      </c>
      <c r="F12" s="1310"/>
      <c r="G12" s="1311" t="s">
        <v>693</v>
      </c>
      <c r="H12" s="1311"/>
      <c r="I12" s="1312"/>
      <c r="J12" s="125"/>
      <c r="K12" s="127" t="s">
        <v>694</v>
      </c>
      <c r="L12" s="127"/>
      <c r="M12" s="310" t="s">
        <v>647</v>
      </c>
      <c r="N12" s="1309">
        <f t="shared" si="0"/>
        <v>13.34</v>
      </c>
      <c r="O12" s="1310"/>
      <c r="P12" s="1311" t="s">
        <v>693</v>
      </c>
      <c r="Q12" s="1311"/>
      <c r="R12" s="1312"/>
      <c r="T12" s="278"/>
      <c r="U12" s="278"/>
      <c r="V12" s="278"/>
      <c r="AI12" s="206"/>
      <c r="AV12" s="207"/>
      <c r="AW12" s="208"/>
    </row>
    <row r="13" spans="1:49" s="205" customFormat="1" ht="14.25" x14ac:dyDescent="0.2">
      <c r="A13" s="124"/>
      <c r="B13" s="121" t="s">
        <v>695</v>
      </c>
      <c r="C13" s="129"/>
      <c r="D13" s="310" t="s">
        <v>647</v>
      </c>
      <c r="E13" s="1309">
        <f>'STANDARD COMP.'!E13:F13</f>
        <v>108.78</v>
      </c>
      <c r="F13" s="1310"/>
      <c r="G13" s="1311" t="s">
        <v>693</v>
      </c>
      <c r="H13" s="1311"/>
      <c r="I13" s="1312"/>
      <c r="J13" s="125"/>
      <c r="K13" s="121" t="s">
        <v>695</v>
      </c>
      <c r="L13" s="139"/>
      <c r="M13" s="310" t="s">
        <v>647</v>
      </c>
      <c r="N13" s="1309">
        <f t="shared" si="0"/>
        <v>108.78</v>
      </c>
      <c r="O13" s="1310"/>
      <c r="P13" s="1311" t="s">
        <v>693</v>
      </c>
      <c r="Q13" s="1311"/>
      <c r="R13" s="1312"/>
      <c r="T13" s="278"/>
      <c r="U13" s="278"/>
      <c r="V13" s="278"/>
      <c r="AI13" s="206"/>
      <c r="AV13" s="207"/>
      <c r="AW13" s="208"/>
    </row>
    <row r="14" spans="1:49" s="280" customFormat="1" ht="16.5" x14ac:dyDescent="0.2">
      <c r="A14" s="144"/>
      <c r="B14" s="144"/>
      <c r="C14" s="144"/>
      <c r="D14" s="252"/>
      <c r="E14" s="131"/>
      <c r="F14" s="131"/>
      <c r="G14" s="131"/>
      <c r="H14" s="131"/>
      <c r="I14" s="131"/>
      <c r="J14" s="133"/>
      <c r="K14" s="144"/>
      <c r="L14" s="144"/>
      <c r="M14" s="220"/>
      <c r="N14" s="144"/>
      <c r="O14" s="144"/>
      <c r="P14" s="144"/>
      <c r="Q14" s="144"/>
      <c r="R14" s="144"/>
      <c r="T14" s="302"/>
      <c r="U14" s="302"/>
      <c r="V14" s="302"/>
      <c r="AI14" s="281"/>
      <c r="AV14" s="282"/>
      <c r="AW14" s="283"/>
    </row>
    <row r="15" spans="1:49" s="280" customFormat="1" ht="16.5" x14ac:dyDescent="0.2">
      <c r="A15" s="144"/>
      <c r="B15" s="221" t="s">
        <v>696</v>
      </c>
      <c r="C15" s="222"/>
      <c r="D15" s="249" t="s">
        <v>647</v>
      </c>
      <c r="E15" s="284"/>
      <c r="F15" s="1470">
        <f>'STANDARD COMP.'!F15</f>
        <v>20466686.730335645</v>
      </c>
      <c r="G15" s="1470"/>
      <c r="H15" s="1470"/>
      <c r="I15" s="1470"/>
      <c r="J15" s="133"/>
      <c r="K15" s="1159" t="s">
        <v>697</v>
      </c>
      <c r="L15" s="1159"/>
      <c r="M15" s="1477" t="s">
        <v>698</v>
      </c>
      <c r="N15" s="1159" t="s">
        <v>699</v>
      </c>
      <c r="O15" s="1159"/>
      <c r="P15" s="1159" t="s">
        <v>639</v>
      </c>
      <c r="Q15" s="1159"/>
      <c r="R15" s="1159"/>
      <c r="T15" s="302"/>
      <c r="U15" s="302"/>
      <c r="V15" s="302"/>
      <c r="AI15" s="281"/>
      <c r="AV15" s="282"/>
      <c r="AW15" s="283"/>
    </row>
    <row r="16" spans="1:49" s="280" customFormat="1" ht="14.25" x14ac:dyDescent="0.2">
      <c r="A16" s="125"/>
      <c r="B16" s="308" t="s">
        <v>700</v>
      </c>
      <c r="C16" s="127"/>
      <c r="D16" s="310" t="s">
        <v>647</v>
      </c>
      <c r="E16" s="262"/>
      <c r="F16" s="1471">
        <f>SUM(FORM!T20:T22)</f>
        <v>0</v>
      </c>
      <c r="G16" s="1471"/>
      <c r="H16" s="1471"/>
      <c r="I16" s="1471"/>
      <c r="J16" s="124" t="s">
        <v>660</v>
      </c>
      <c r="K16" s="1437"/>
      <c r="L16" s="1437"/>
      <c r="M16" s="1478"/>
      <c r="N16" s="1437"/>
      <c r="O16" s="1437"/>
      <c r="P16" s="1437"/>
      <c r="Q16" s="1437"/>
      <c r="R16" s="1437"/>
      <c r="T16" s="302"/>
      <c r="U16" s="302"/>
      <c r="AI16" s="281"/>
      <c r="AV16" s="282"/>
      <c r="AW16" s="283"/>
    </row>
    <row r="17" spans="1:49" s="205" customFormat="1" ht="14.25" x14ac:dyDescent="0.2">
      <c r="A17" s="124"/>
      <c r="B17" s="289" t="s">
        <v>92</v>
      </c>
      <c r="C17" s="129"/>
      <c r="D17" s="147" t="s">
        <v>647</v>
      </c>
      <c r="E17" s="264"/>
      <c r="F17" s="1470">
        <f>F15-F16</f>
        <v>20466686.730335645</v>
      </c>
      <c r="G17" s="1470"/>
      <c r="H17" s="1470"/>
      <c r="I17" s="1470"/>
      <c r="J17" s="124"/>
      <c r="K17" s="1270" t="s">
        <v>624</v>
      </c>
      <c r="L17" s="1271"/>
      <c r="M17" s="137">
        <f>C1</f>
        <v>45870</v>
      </c>
      <c r="N17" s="1479">
        <f>F26</f>
        <v>50000</v>
      </c>
      <c r="O17" s="1480"/>
      <c r="P17" s="1413"/>
      <c r="Q17" s="1414"/>
      <c r="R17" s="1415"/>
      <c r="T17" s="278"/>
      <c r="U17" s="278"/>
      <c r="V17" s="692">
        <f>M17</f>
        <v>45870</v>
      </c>
      <c r="AI17" s="206"/>
      <c r="AV17" s="207"/>
      <c r="AW17" s="208"/>
    </row>
    <row r="18" spans="1:49" s="172" customFormat="1" ht="14.25" x14ac:dyDescent="0.2">
      <c r="A18" s="124"/>
      <c r="B18" s="134"/>
      <c r="C18" s="124"/>
      <c r="D18" s="310"/>
      <c r="E18" s="310"/>
      <c r="F18" s="135"/>
      <c r="G18" s="135"/>
      <c r="H18" s="135"/>
      <c r="I18" s="124"/>
      <c r="J18" s="125"/>
      <c r="K18" s="1274" t="str">
        <f t="shared" ref="K18:K39" si="1">IF(N18&gt;1,T19,0)</f>
        <v>1st EQUITY PAYMENT</v>
      </c>
      <c r="L18" s="1274"/>
      <c r="M18" s="137">
        <f t="shared" ref="M18:M53" si="2">IF(N18&gt;1,V19,0)</f>
        <v>45905</v>
      </c>
      <c r="N18" s="1301">
        <f>IF(E29&gt;0,F29,0)</f>
        <v>3559908.2587156412</v>
      </c>
      <c r="O18" s="1301"/>
      <c r="P18" s="1413"/>
      <c r="Q18" s="1414"/>
      <c r="R18" s="1415"/>
      <c r="T18" s="169"/>
      <c r="U18" s="169"/>
      <c r="V18" s="169"/>
    </row>
    <row r="19" spans="1:49" s="172" customFormat="1" ht="14.25" x14ac:dyDescent="0.3">
      <c r="A19" s="124"/>
      <c r="B19" s="136" t="s">
        <v>704</v>
      </c>
      <c r="C19" s="136"/>
      <c r="D19" s="310" t="s">
        <v>647</v>
      </c>
      <c r="E19" s="265">
        <f>'STANDARD COMP.'!E19</f>
        <v>0.1</v>
      </c>
      <c r="F19" s="1455">
        <f>E19*F15</f>
        <v>2046668.6730335646</v>
      </c>
      <c r="G19" s="1455"/>
      <c r="H19" s="1455"/>
      <c r="I19" s="1455"/>
      <c r="J19" s="124"/>
      <c r="K19" s="1274" t="str">
        <f t="shared" si="1"/>
        <v>2nd EQUITY PAYMENT</v>
      </c>
      <c r="L19" s="1274"/>
      <c r="M19" s="137">
        <f t="shared" si="2"/>
        <v>45935</v>
      </c>
      <c r="N19" s="1301">
        <f>IF(E29&gt;1,F29,0)</f>
        <v>3559908.2587156412</v>
      </c>
      <c r="O19" s="1301"/>
      <c r="P19" s="1413"/>
      <c r="Q19" s="1414"/>
      <c r="R19" s="1415"/>
      <c r="T19" s="169" t="s">
        <v>702</v>
      </c>
      <c r="U19" s="169"/>
      <c r="V19" s="303">
        <f>IF(DAY(V17)=31,Y19,AA19)</f>
        <v>45905</v>
      </c>
      <c r="X19" s="62" t="s">
        <v>708</v>
      </c>
      <c r="Y19" s="1106" t="b">
        <f>IF(DAY(V17)=31,DATE(YEAR(V17),MONTH(V17)+2,DAY(5)))</f>
        <v>0</v>
      </c>
      <c r="Z19" s="1107"/>
      <c r="AA19" s="664">
        <f>IF(AND(DAY(V17)&gt;=6,DAY(V17)&lt;=20),DATE(YEAR(V17),MONTH(V17)+1,DAY(20)),IF(AND(DAY(V17)&gt;=21,DAY(V17)&lt;=30),DATE(YEAR(V17),MONTH(V17)+1,IF(DAY(EOMONTH(V17,1))&lt;31,DAY(EOMONTH(V17,1)),DAY(30))),DATE(YEAR(V17),MONTH(V17)+1,DAY(5))))</f>
        <v>45905</v>
      </c>
    </row>
    <row r="20" spans="1:49" s="285" customFormat="1" ht="14.25" x14ac:dyDescent="0.2">
      <c r="A20" s="124"/>
      <c r="B20" s="127" t="s">
        <v>619</v>
      </c>
      <c r="C20" s="127"/>
      <c r="D20" s="310" t="s">
        <v>647</v>
      </c>
      <c r="E20" s="265">
        <f>'STANDARD COMP.'!E20</f>
        <v>0.12</v>
      </c>
      <c r="F20" s="1455">
        <f>E20*F17</f>
        <v>2456002.4076402774</v>
      </c>
      <c r="G20" s="1455"/>
      <c r="H20" s="1455"/>
      <c r="I20" s="1455"/>
      <c r="J20" s="125"/>
      <c r="K20" s="1274" t="str">
        <f t="shared" si="1"/>
        <v>3rd EQUITY PAYMENT</v>
      </c>
      <c r="L20" s="1274"/>
      <c r="M20" s="137">
        <f t="shared" si="2"/>
        <v>45966</v>
      </c>
      <c r="N20" s="1301">
        <f>IF(E29&gt;2,F29,0)</f>
        <v>3559908.2587156412</v>
      </c>
      <c r="O20" s="1301"/>
      <c r="P20" s="1413"/>
      <c r="Q20" s="1414"/>
      <c r="R20" s="1415"/>
      <c r="T20" s="169" t="s">
        <v>705</v>
      </c>
      <c r="U20" s="169"/>
      <c r="V20" s="303">
        <f>IF(AND(DAY(V19)&gt;=6,DAY(V19)&lt;=20),DATE(YEAR(V19),MONTH(V19)+1,DAY(20)),IF(AND(DAY(V19)&gt;=21,DAY(V19)&lt;=30),DATE(YEAR(V19),MONTH(V19)+1,IF(DAY(EOMONTH(V19,1))&lt;30,DAY(EOMONTH(V19,1)),DAY(30))),DATE(YEAR(V19),MONTH(V19)+1,DAY(5))))</f>
        <v>45935</v>
      </c>
    </row>
    <row r="21" spans="1:49" s="172" customFormat="1" ht="14.25" x14ac:dyDescent="0.2">
      <c r="A21" s="125"/>
      <c r="B21" s="134"/>
      <c r="C21" s="124"/>
      <c r="D21" s="310"/>
      <c r="E21" s="310"/>
      <c r="F21" s="135"/>
      <c r="G21" s="135"/>
      <c r="H21" s="135"/>
      <c r="I21" s="124"/>
      <c r="J21" s="124"/>
      <c r="K21" s="1274" t="str">
        <f t="shared" si="1"/>
        <v>4th EQUITY PAYMENT</v>
      </c>
      <c r="L21" s="1274"/>
      <c r="M21" s="137">
        <f t="shared" si="2"/>
        <v>45996</v>
      </c>
      <c r="N21" s="1301">
        <f>IF(E29&gt;3,F29,0)</f>
        <v>3559908.2587156412</v>
      </c>
      <c r="O21" s="1301"/>
      <c r="P21" s="1413"/>
      <c r="Q21" s="1414"/>
      <c r="R21" s="1415"/>
      <c r="T21" s="169" t="s">
        <v>707</v>
      </c>
      <c r="U21" s="169"/>
      <c r="V21" s="303">
        <f t="shared" ref="V21:V64" si="3">IF(AND(DAY(V20)&gt;=6,DAY(V20)&lt;=20),DATE(YEAR(V20),MONTH(V20)+1,DAY(20)),IF(AND(DAY(V20)&gt;=21,DAY(V20)&lt;=30),DATE(YEAR(V20),MONTH(V20)+1,IF(DAY(EOMONTH(V20,1))&lt;30,DAY(EOMONTH(V20,1)),DAY(30))),DATE(YEAR(V20),MONTH(V20)+1,DAY(5))))</f>
        <v>45966</v>
      </c>
    </row>
    <row r="22" spans="1:49" s="285" customFormat="1" ht="14.25" x14ac:dyDescent="0.2">
      <c r="A22" s="124"/>
      <c r="B22" s="289" t="s">
        <v>621</v>
      </c>
      <c r="C22" s="129"/>
      <c r="D22" s="147" t="s">
        <v>647</v>
      </c>
      <c r="E22" s="266"/>
      <c r="F22" s="1453">
        <f>F17+F20+F19</f>
        <v>24969357.811009489</v>
      </c>
      <c r="G22" s="1453"/>
      <c r="H22" s="1453"/>
      <c r="I22" s="1453"/>
      <c r="J22" s="124"/>
      <c r="K22" s="1274" t="str">
        <f t="shared" si="1"/>
        <v>5th EQUITY PAYMENT</v>
      </c>
      <c r="L22" s="1274"/>
      <c r="M22" s="137">
        <f t="shared" si="2"/>
        <v>46027</v>
      </c>
      <c r="N22" s="1301">
        <f>IF(E29&gt;4,F29,0)</f>
        <v>3559908.2587156412</v>
      </c>
      <c r="O22" s="1301"/>
      <c r="P22" s="1413"/>
      <c r="Q22" s="1414"/>
      <c r="R22" s="1415"/>
      <c r="T22" s="169" t="s">
        <v>709</v>
      </c>
      <c r="U22" s="169"/>
      <c r="V22" s="303">
        <f t="shared" si="3"/>
        <v>45996</v>
      </c>
    </row>
    <row r="23" spans="1:49" s="172" customFormat="1" ht="14.25" x14ac:dyDescent="0.2">
      <c r="A23" s="124"/>
      <c r="B23" s="134"/>
      <c r="C23" s="124"/>
      <c r="D23" s="310"/>
      <c r="E23" s="310"/>
      <c r="F23" s="135"/>
      <c r="G23" s="135"/>
      <c r="H23" s="135"/>
      <c r="I23" s="124"/>
      <c r="J23" s="124"/>
      <c r="K23" s="1274" t="str">
        <f t="shared" si="1"/>
        <v>6th EQUITY PAYMENT</v>
      </c>
      <c r="L23" s="1274"/>
      <c r="M23" s="137">
        <f t="shared" si="2"/>
        <v>46058</v>
      </c>
      <c r="N23" s="1301">
        <f>IF(E29&gt;5,F29,0)</f>
        <v>3559908.2587156412</v>
      </c>
      <c r="O23" s="1301"/>
      <c r="P23" s="1413"/>
      <c r="Q23" s="1414"/>
      <c r="R23" s="1415"/>
      <c r="T23" s="169" t="s">
        <v>710</v>
      </c>
      <c r="U23" s="169"/>
      <c r="V23" s="303">
        <f t="shared" si="3"/>
        <v>46027</v>
      </c>
    </row>
    <row r="24" spans="1:49" s="172" customFormat="1" ht="14.25" x14ac:dyDescent="0.2">
      <c r="A24" s="125"/>
      <c r="B24" s="167" t="s">
        <v>919</v>
      </c>
      <c r="C24" s="136"/>
      <c r="D24" s="310" t="s">
        <v>647</v>
      </c>
      <c r="E24" s="307"/>
      <c r="F24" s="1455">
        <f>F22</f>
        <v>24969357.811009489</v>
      </c>
      <c r="G24" s="1455"/>
      <c r="H24" s="1455"/>
      <c r="I24" s="1455"/>
      <c r="J24" s="124"/>
      <c r="K24" s="1274" t="str">
        <f t="shared" si="1"/>
        <v>7th EQUITY PAYMENT</v>
      </c>
      <c r="L24" s="1274"/>
      <c r="M24" s="137">
        <f t="shared" si="2"/>
        <v>46086</v>
      </c>
      <c r="N24" s="1301">
        <f>IF(E29&gt;6,F29,0)</f>
        <v>3559908.2587156412</v>
      </c>
      <c r="O24" s="1301"/>
      <c r="P24" s="1413"/>
      <c r="Q24" s="1414"/>
      <c r="R24" s="1415"/>
      <c r="T24" s="169" t="s">
        <v>711</v>
      </c>
      <c r="U24" s="169"/>
      <c r="V24" s="303">
        <f t="shared" si="3"/>
        <v>46058</v>
      </c>
    </row>
    <row r="25" spans="1:49" s="172" customFormat="1" ht="14.25" x14ac:dyDescent="0.2">
      <c r="A25" s="124"/>
      <c r="B25" s="167" t="s">
        <v>920</v>
      </c>
      <c r="C25" s="136"/>
      <c r="D25" s="310" t="s">
        <v>647</v>
      </c>
      <c r="E25" s="307"/>
      <c r="F25" s="1483">
        <f>SUM(FORM!T26:T28)</f>
        <v>0</v>
      </c>
      <c r="G25" s="1484"/>
      <c r="H25" s="1484"/>
      <c r="I25" s="1485"/>
      <c r="J25" s="125"/>
      <c r="K25" s="1274">
        <f t="shared" si="1"/>
        <v>0</v>
      </c>
      <c r="L25" s="1274"/>
      <c r="M25" s="137">
        <f t="shared" si="2"/>
        <v>0</v>
      </c>
      <c r="N25" s="1301">
        <f>IF(E29&gt;7,F29,0)</f>
        <v>0</v>
      </c>
      <c r="O25" s="1301"/>
      <c r="P25" s="1413"/>
      <c r="Q25" s="1414"/>
      <c r="R25" s="1415"/>
      <c r="T25" s="169" t="s">
        <v>713</v>
      </c>
      <c r="U25" s="169"/>
      <c r="V25" s="303">
        <f t="shared" si="3"/>
        <v>46086</v>
      </c>
    </row>
    <row r="26" spans="1:49" s="172" customFormat="1" ht="14.25" x14ac:dyDescent="0.2">
      <c r="A26" s="125"/>
      <c r="B26" s="167" t="s">
        <v>910</v>
      </c>
      <c r="C26" s="136"/>
      <c r="D26" s="310" t="s">
        <v>647</v>
      </c>
      <c r="E26" s="307"/>
      <c r="F26" s="1455">
        <f>FORM!G24</f>
        <v>50000</v>
      </c>
      <c r="G26" s="1455"/>
      <c r="H26" s="1455"/>
      <c r="I26" s="1455"/>
      <c r="J26" s="124"/>
      <c r="K26" s="1274">
        <f t="shared" si="1"/>
        <v>0</v>
      </c>
      <c r="L26" s="1274"/>
      <c r="M26" s="137">
        <f t="shared" si="2"/>
        <v>0</v>
      </c>
      <c r="N26" s="1301">
        <f>IF(E29&gt;8,F29,0)</f>
        <v>0</v>
      </c>
      <c r="O26" s="1301"/>
      <c r="P26" s="1413"/>
      <c r="Q26" s="1414"/>
      <c r="R26" s="1415"/>
      <c r="T26" s="169" t="s">
        <v>715</v>
      </c>
      <c r="U26" s="169"/>
      <c r="V26" s="303">
        <f t="shared" si="3"/>
        <v>46117</v>
      </c>
    </row>
    <row r="27" spans="1:49" s="172" customFormat="1" ht="14.25" x14ac:dyDescent="0.2">
      <c r="A27" s="124"/>
      <c r="B27" s="267" t="s">
        <v>889</v>
      </c>
      <c r="C27" s="123"/>
      <c r="D27" s="147" t="s">
        <v>647</v>
      </c>
      <c r="E27" s="266"/>
      <c r="F27" s="1453">
        <f>F24-F26</f>
        <v>24919357.811009489</v>
      </c>
      <c r="G27" s="1453"/>
      <c r="H27" s="1453"/>
      <c r="I27" s="1453"/>
      <c r="J27" s="124"/>
      <c r="K27" s="1274">
        <f t="shared" si="1"/>
        <v>0</v>
      </c>
      <c r="L27" s="1274"/>
      <c r="M27" s="137">
        <f t="shared" si="2"/>
        <v>0</v>
      </c>
      <c r="N27" s="1301">
        <f>IF(E29&gt;9,F29,0)</f>
        <v>0</v>
      </c>
      <c r="O27" s="1301"/>
      <c r="P27" s="1413"/>
      <c r="Q27" s="1414"/>
      <c r="R27" s="1415"/>
      <c r="T27" s="169" t="s">
        <v>717</v>
      </c>
      <c r="U27" s="169"/>
      <c r="V27" s="303">
        <f t="shared" si="3"/>
        <v>46147</v>
      </c>
    </row>
    <row r="28" spans="1:49" s="285" customFormat="1" ht="14.25" x14ac:dyDescent="0.2">
      <c r="A28" s="124"/>
      <c r="B28" s="286"/>
      <c r="C28" s="287"/>
      <c r="D28" s="147"/>
      <c r="E28" s="147"/>
      <c r="F28" s="288"/>
      <c r="G28" s="288"/>
      <c r="H28" s="288"/>
      <c r="I28" s="288"/>
      <c r="J28" s="125"/>
      <c r="K28" s="1274">
        <f t="shared" si="1"/>
        <v>0</v>
      </c>
      <c r="L28" s="1274"/>
      <c r="M28" s="137">
        <f t="shared" si="2"/>
        <v>0</v>
      </c>
      <c r="N28" s="1301">
        <f>IF(E29&gt;10,F29,0)</f>
        <v>0</v>
      </c>
      <c r="O28" s="1301"/>
      <c r="P28" s="1413"/>
      <c r="Q28" s="1414"/>
      <c r="R28" s="1415"/>
      <c r="T28" s="169" t="s">
        <v>719</v>
      </c>
      <c r="U28" s="169"/>
      <c r="V28" s="303">
        <f t="shared" si="3"/>
        <v>46178</v>
      </c>
    </row>
    <row r="29" spans="1:49" s="172" customFormat="1" ht="14.25" x14ac:dyDescent="0.2">
      <c r="A29" s="124"/>
      <c r="B29" s="289" t="s">
        <v>921</v>
      </c>
      <c r="C29" s="139"/>
      <c r="D29" s="310" t="s">
        <v>647</v>
      </c>
      <c r="E29" s="266">
        <f>'STANDARD COMP.'!E29</f>
        <v>7</v>
      </c>
      <c r="F29" s="1481">
        <f>F27/E29</f>
        <v>3559908.2587156412</v>
      </c>
      <c r="G29" s="1453"/>
      <c r="H29" s="1453"/>
      <c r="I29" s="1453"/>
      <c r="J29" s="125"/>
      <c r="K29" s="1274">
        <f t="shared" si="1"/>
        <v>0</v>
      </c>
      <c r="L29" s="1274"/>
      <c r="M29" s="137">
        <f t="shared" si="2"/>
        <v>0</v>
      </c>
      <c r="N29" s="1301">
        <f>IF(E29&gt;11,F29,0)</f>
        <v>0</v>
      </c>
      <c r="O29" s="1301"/>
      <c r="P29" s="1413"/>
      <c r="Q29" s="1414"/>
      <c r="R29" s="1415"/>
      <c r="T29" s="169" t="s">
        <v>720</v>
      </c>
      <c r="U29" s="169"/>
      <c r="V29" s="303">
        <f t="shared" si="3"/>
        <v>46208</v>
      </c>
    </row>
    <row r="30" spans="1:49" s="285" customFormat="1" ht="14.25" x14ac:dyDescent="0.2">
      <c r="A30" s="124"/>
      <c r="B30" s="290"/>
      <c r="C30" s="124"/>
      <c r="D30" s="310"/>
      <c r="E30" s="124"/>
      <c r="F30" s="124"/>
      <c r="G30" s="124"/>
      <c r="H30" s="124"/>
      <c r="I30" s="124"/>
      <c r="J30" s="124"/>
      <c r="K30" s="1274">
        <f t="shared" si="1"/>
        <v>0</v>
      </c>
      <c r="L30" s="1274"/>
      <c r="M30" s="137">
        <f t="shared" si="2"/>
        <v>0</v>
      </c>
      <c r="N30" s="1301">
        <f>IF(E29&gt;12,F29,0)</f>
        <v>0</v>
      </c>
      <c r="O30" s="1301"/>
      <c r="P30" s="1413"/>
      <c r="Q30" s="1414"/>
      <c r="R30" s="1415"/>
      <c r="T30" s="169" t="s">
        <v>722</v>
      </c>
      <c r="U30" s="169"/>
      <c r="V30" s="303">
        <f t="shared" si="3"/>
        <v>46239</v>
      </c>
    </row>
    <row r="31" spans="1:49" s="285" customFormat="1" ht="14.25" x14ac:dyDescent="0.2">
      <c r="A31" s="124"/>
      <c r="B31" s="291"/>
      <c r="C31" s="172"/>
      <c r="D31" s="292"/>
      <c r="E31" s="172"/>
      <c r="F31" s="172"/>
      <c r="G31" s="172"/>
      <c r="H31" s="124"/>
      <c r="I31" s="124"/>
      <c r="J31" s="124"/>
      <c r="K31" s="1274">
        <f t="shared" si="1"/>
        <v>0</v>
      </c>
      <c r="L31" s="1274"/>
      <c r="M31" s="137">
        <f t="shared" si="2"/>
        <v>0</v>
      </c>
      <c r="N31" s="1301">
        <f>IF(E29&gt;13,F29,0)</f>
        <v>0</v>
      </c>
      <c r="O31" s="1301"/>
      <c r="P31" s="1413"/>
      <c r="Q31" s="1414"/>
      <c r="R31" s="1415"/>
      <c r="T31" s="169" t="s">
        <v>723</v>
      </c>
      <c r="U31" s="169"/>
      <c r="V31" s="303">
        <f t="shared" si="3"/>
        <v>46270</v>
      </c>
    </row>
    <row r="32" spans="1:49" s="172" customFormat="1" ht="14.25" x14ac:dyDescent="0.2">
      <c r="A32" s="124"/>
      <c r="D32" s="292"/>
      <c r="J32" s="125"/>
      <c r="K32" s="1274">
        <f t="shared" si="1"/>
        <v>0</v>
      </c>
      <c r="L32" s="1274"/>
      <c r="M32" s="137">
        <f t="shared" si="2"/>
        <v>0</v>
      </c>
      <c r="N32" s="1301">
        <f>IF(E29&gt;14,F29,0)</f>
        <v>0</v>
      </c>
      <c r="O32" s="1301"/>
      <c r="P32" s="1413"/>
      <c r="Q32" s="1414"/>
      <c r="R32" s="1415"/>
      <c r="T32" s="169" t="s">
        <v>725</v>
      </c>
      <c r="U32" s="169"/>
      <c r="V32" s="303">
        <f t="shared" si="3"/>
        <v>46300</v>
      </c>
    </row>
    <row r="33" spans="1:22" s="172" customFormat="1" ht="14.25" x14ac:dyDescent="0.2">
      <c r="A33" s="124"/>
      <c r="B33" s="129" t="s">
        <v>749</v>
      </c>
      <c r="C33" s="293"/>
      <c r="D33" s="125"/>
      <c r="E33" s="125"/>
      <c r="F33" s="125"/>
      <c r="G33" s="125"/>
      <c r="H33" s="125"/>
      <c r="I33" s="125"/>
      <c r="J33" s="124"/>
      <c r="K33" s="1274">
        <f t="shared" si="1"/>
        <v>0</v>
      </c>
      <c r="L33" s="1274"/>
      <c r="M33" s="137">
        <f t="shared" si="2"/>
        <v>0</v>
      </c>
      <c r="N33" s="1301">
        <f>IF(E29&gt;15,F29,0)</f>
        <v>0</v>
      </c>
      <c r="O33" s="1301"/>
      <c r="P33" s="1413"/>
      <c r="Q33" s="1414"/>
      <c r="R33" s="1415"/>
      <c r="T33" s="169" t="s">
        <v>726</v>
      </c>
      <c r="U33" s="169"/>
      <c r="V33" s="303">
        <f t="shared" si="3"/>
        <v>46331</v>
      </c>
    </row>
    <row r="34" spans="1:22" s="285" customFormat="1" ht="14.25" x14ac:dyDescent="0.2">
      <c r="A34" s="124"/>
      <c r="B34" s="125"/>
      <c r="C34" s="125"/>
      <c r="D34" s="125"/>
      <c r="E34" s="125"/>
      <c r="F34" s="125"/>
      <c r="G34" s="125"/>
      <c r="H34" s="125"/>
      <c r="I34" s="125"/>
      <c r="J34" s="124"/>
      <c r="K34" s="1274">
        <f t="shared" si="1"/>
        <v>0</v>
      </c>
      <c r="L34" s="1274"/>
      <c r="M34" s="137">
        <f t="shared" si="2"/>
        <v>0</v>
      </c>
      <c r="N34" s="1301">
        <f>IF(E29&gt;16,F29,0)</f>
        <v>0</v>
      </c>
      <c r="O34" s="1301"/>
      <c r="P34" s="1413"/>
      <c r="Q34" s="1414"/>
      <c r="R34" s="1415"/>
      <c r="T34" s="169" t="s">
        <v>728</v>
      </c>
      <c r="U34" s="169"/>
      <c r="V34" s="303">
        <f t="shared" si="3"/>
        <v>46361</v>
      </c>
    </row>
    <row r="35" spans="1:22" s="172" customFormat="1" ht="14.25" x14ac:dyDescent="0.2">
      <c r="A35" s="124"/>
      <c r="B35" s="1277" t="s">
        <v>655</v>
      </c>
      <c r="C35" s="1277"/>
      <c r="D35" s="1277" t="s">
        <v>656</v>
      </c>
      <c r="E35" s="1277"/>
      <c r="F35" s="1277"/>
      <c r="G35" s="1277"/>
      <c r="H35" s="1277" t="s">
        <v>754</v>
      </c>
      <c r="I35" s="1277"/>
      <c r="J35" s="124"/>
      <c r="K35" s="1274">
        <f t="shared" si="1"/>
        <v>0</v>
      </c>
      <c r="L35" s="1274"/>
      <c r="M35" s="137">
        <f t="shared" si="2"/>
        <v>0</v>
      </c>
      <c r="N35" s="1479">
        <f>IF(E29&gt;17,F29,0)</f>
        <v>0</v>
      </c>
      <c r="O35" s="1480"/>
      <c r="P35" s="1413"/>
      <c r="Q35" s="1414"/>
      <c r="R35" s="1415"/>
      <c r="T35" s="169" t="s">
        <v>729</v>
      </c>
      <c r="U35" s="169"/>
      <c r="V35" s="303">
        <f t="shared" si="3"/>
        <v>46392</v>
      </c>
    </row>
    <row r="36" spans="1:22" s="172" customFormat="1" ht="14.25" x14ac:dyDescent="0.2">
      <c r="A36" s="124"/>
      <c r="B36" s="1443">
        <f>'SPOT CASH_60 DAYS'!B34</f>
        <v>0</v>
      </c>
      <c r="C36" s="1445"/>
      <c r="D36" s="1443">
        <f>'SPOT CASH_60 DAYS'!D34:D34</f>
        <v>0</v>
      </c>
      <c r="E36" s="1444"/>
      <c r="F36" s="1444"/>
      <c r="G36" s="1445"/>
      <c r="H36" s="1366">
        <f>'SPOT CASH_60 DAYS'!G34</f>
        <v>0</v>
      </c>
      <c r="I36" s="1367"/>
      <c r="J36" s="124"/>
      <c r="K36" s="1274">
        <f t="shared" si="1"/>
        <v>0</v>
      </c>
      <c r="L36" s="1274"/>
      <c r="M36" s="137">
        <f t="shared" si="2"/>
        <v>0</v>
      </c>
      <c r="N36" s="1301">
        <f>IF(E29&gt;18,F29,0)</f>
        <v>0</v>
      </c>
      <c r="O36" s="1301"/>
      <c r="P36" s="1413"/>
      <c r="Q36" s="1414"/>
      <c r="R36" s="1415"/>
      <c r="T36" s="169" t="s">
        <v>735</v>
      </c>
      <c r="U36" s="169"/>
      <c r="V36" s="303">
        <f t="shared" si="3"/>
        <v>46423</v>
      </c>
    </row>
    <row r="37" spans="1:22" s="172" customFormat="1" ht="14.25" x14ac:dyDescent="0.2">
      <c r="A37" s="124"/>
      <c r="B37" s="1446"/>
      <c r="C37" s="1448"/>
      <c r="D37" s="1446"/>
      <c r="E37" s="1447"/>
      <c r="F37" s="1447"/>
      <c r="G37" s="1448"/>
      <c r="H37" s="1368"/>
      <c r="I37" s="1369"/>
      <c r="J37" s="124"/>
      <c r="K37" s="1274">
        <f t="shared" si="1"/>
        <v>0</v>
      </c>
      <c r="L37" s="1274"/>
      <c r="M37" s="137">
        <f t="shared" si="2"/>
        <v>0</v>
      </c>
      <c r="N37" s="1301">
        <f>IF(E29&gt;19,F29,0)</f>
        <v>0</v>
      </c>
      <c r="O37" s="1301"/>
      <c r="P37" s="1413"/>
      <c r="Q37" s="1414"/>
      <c r="R37" s="1415"/>
      <c r="T37" s="169" t="s">
        <v>736</v>
      </c>
      <c r="U37" s="169"/>
      <c r="V37" s="303">
        <f t="shared" si="3"/>
        <v>46451</v>
      </c>
    </row>
    <row r="38" spans="1:22" s="172" customFormat="1" ht="15" customHeight="1" x14ac:dyDescent="0.2">
      <c r="A38" s="124"/>
      <c r="B38" s="1443">
        <f>'SPOT CASH_60 DAYS'!B36</f>
        <v>0</v>
      </c>
      <c r="C38" s="1445"/>
      <c r="D38" s="1443">
        <f>'SPOT CASH_60 DAYS'!D36:D36</f>
        <v>0</v>
      </c>
      <c r="E38" s="1444"/>
      <c r="F38" s="1444"/>
      <c r="G38" s="1445"/>
      <c r="H38" s="1366">
        <f>'SPOT CASH_60 DAYS'!G36</f>
        <v>0</v>
      </c>
      <c r="I38" s="1367"/>
      <c r="J38" s="124"/>
      <c r="K38" s="1274">
        <f t="shared" si="1"/>
        <v>0</v>
      </c>
      <c r="L38" s="1274"/>
      <c r="M38" s="137">
        <f t="shared" si="2"/>
        <v>0</v>
      </c>
      <c r="N38" s="1301">
        <f>IF(E29&gt;20,F29,0)</f>
        <v>0</v>
      </c>
      <c r="O38" s="1301"/>
      <c r="P38" s="1413"/>
      <c r="Q38" s="1414"/>
      <c r="R38" s="1415"/>
      <c r="T38" s="169" t="s">
        <v>737</v>
      </c>
      <c r="U38" s="169"/>
      <c r="V38" s="303">
        <f t="shared" si="3"/>
        <v>46482</v>
      </c>
    </row>
    <row r="39" spans="1:22" s="172" customFormat="1" ht="14.25" x14ac:dyDescent="0.2">
      <c r="A39" s="124"/>
      <c r="B39" s="1446"/>
      <c r="C39" s="1448"/>
      <c r="D39" s="1446"/>
      <c r="E39" s="1447"/>
      <c r="F39" s="1447"/>
      <c r="G39" s="1448"/>
      <c r="H39" s="1368"/>
      <c r="I39" s="1369"/>
      <c r="J39" s="124"/>
      <c r="K39" s="1274">
        <f t="shared" si="1"/>
        <v>0</v>
      </c>
      <c r="L39" s="1274"/>
      <c r="M39" s="137">
        <f t="shared" si="2"/>
        <v>0</v>
      </c>
      <c r="N39" s="1301">
        <f>IF(E29&gt;21,F29,0)</f>
        <v>0</v>
      </c>
      <c r="O39" s="1301"/>
      <c r="P39" s="1413"/>
      <c r="Q39" s="1414"/>
      <c r="R39" s="1415"/>
      <c r="T39" s="169" t="s">
        <v>738</v>
      </c>
      <c r="U39" s="169"/>
      <c r="V39" s="303">
        <f t="shared" si="3"/>
        <v>46512</v>
      </c>
    </row>
    <row r="40" spans="1:22" s="172" customFormat="1" ht="15" customHeight="1" x14ac:dyDescent="0.2">
      <c r="A40" s="124"/>
      <c r="B40" s="1443">
        <f>'SPOT CASH_60 DAYS'!B38</f>
        <v>0</v>
      </c>
      <c r="C40" s="1445"/>
      <c r="D40" s="1443">
        <f>'SPOT CASH_60 DAYS'!D38:D38</f>
        <v>0</v>
      </c>
      <c r="E40" s="1444"/>
      <c r="F40" s="1444"/>
      <c r="G40" s="1445"/>
      <c r="H40" s="1366">
        <f>'SPOT CASH_60 DAYS'!G38</f>
        <v>0</v>
      </c>
      <c r="I40" s="1367"/>
      <c r="J40" s="124"/>
      <c r="K40" s="1274">
        <f t="shared" ref="K40:K45" si="4">IF(N40&gt;1,T41,0)</f>
        <v>0</v>
      </c>
      <c r="L40" s="1274"/>
      <c r="M40" s="137">
        <f t="shared" si="2"/>
        <v>0</v>
      </c>
      <c r="N40" s="1301">
        <f>IF($E$29&gt;22,$F$29,0)</f>
        <v>0</v>
      </c>
      <c r="O40" s="1301"/>
      <c r="P40" s="1413"/>
      <c r="Q40" s="1414"/>
      <c r="R40" s="1415"/>
      <c r="T40" s="169" t="s">
        <v>739</v>
      </c>
      <c r="U40" s="169"/>
      <c r="V40" s="303">
        <f t="shared" si="3"/>
        <v>46543</v>
      </c>
    </row>
    <row r="41" spans="1:22" s="172" customFormat="1" ht="14.25" customHeight="1" x14ac:dyDescent="0.2">
      <c r="A41" s="124"/>
      <c r="B41" s="1446"/>
      <c r="C41" s="1448"/>
      <c r="D41" s="1446"/>
      <c r="E41" s="1447"/>
      <c r="F41" s="1447"/>
      <c r="G41" s="1448"/>
      <c r="H41" s="1368"/>
      <c r="I41" s="1369"/>
      <c r="J41" s="124"/>
      <c r="K41" s="1274">
        <f t="shared" si="4"/>
        <v>0</v>
      </c>
      <c r="L41" s="1274"/>
      <c r="M41" s="137">
        <f t="shared" si="2"/>
        <v>0</v>
      </c>
      <c r="N41" s="1301">
        <f>IF(E29&gt;23,F29,0)</f>
        <v>0</v>
      </c>
      <c r="O41" s="1301"/>
      <c r="P41" s="1413"/>
      <c r="Q41" s="1414"/>
      <c r="R41" s="1415"/>
      <c r="T41" s="169" t="s">
        <v>741</v>
      </c>
      <c r="U41" s="169"/>
      <c r="V41" s="303">
        <f t="shared" si="3"/>
        <v>46573</v>
      </c>
    </row>
    <row r="42" spans="1:22" s="172" customFormat="1" ht="15" customHeight="1" x14ac:dyDescent="0.2">
      <c r="A42" s="124"/>
      <c r="B42" s="1443">
        <f>'SPOT CASH_60 DAYS'!B40</f>
        <v>0</v>
      </c>
      <c r="C42" s="1445"/>
      <c r="D42" s="1443">
        <f>'SPOT CASH_60 DAYS'!D40:D40</f>
        <v>0</v>
      </c>
      <c r="E42" s="1444"/>
      <c r="F42" s="1444"/>
      <c r="G42" s="1445"/>
      <c r="H42" s="1366">
        <f>'SPOT CASH_60 DAYS'!G40</f>
        <v>0</v>
      </c>
      <c r="I42" s="1367"/>
      <c r="J42" s="124"/>
      <c r="K42" s="1274">
        <f t="shared" si="4"/>
        <v>0</v>
      </c>
      <c r="L42" s="1274"/>
      <c r="M42" s="137">
        <f t="shared" si="2"/>
        <v>0</v>
      </c>
      <c r="N42" s="1486">
        <f>IF(E29&gt;24,F29,0)</f>
        <v>0</v>
      </c>
      <c r="O42" s="1486"/>
      <c r="P42" s="1413"/>
      <c r="Q42" s="1414"/>
      <c r="R42" s="1415"/>
      <c r="T42" s="169" t="s">
        <v>743</v>
      </c>
      <c r="U42" s="169"/>
      <c r="V42" s="303">
        <f t="shared" si="3"/>
        <v>46604</v>
      </c>
    </row>
    <row r="43" spans="1:22" s="172" customFormat="1" ht="14.25" customHeight="1" x14ac:dyDescent="0.2">
      <c r="A43" s="124"/>
      <c r="B43" s="1446"/>
      <c r="C43" s="1448"/>
      <c r="D43" s="1446"/>
      <c r="E43" s="1447"/>
      <c r="F43" s="1447"/>
      <c r="G43" s="1448"/>
      <c r="H43" s="1368"/>
      <c r="I43" s="1369"/>
      <c r="J43" s="124"/>
      <c r="K43" s="1274">
        <f t="shared" si="4"/>
        <v>0</v>
      </c>
      <c r="L43" s="1274"/>
      <c r="M43" s="137">
        <f t="shared" si="2"/>
        <v>0</v>
      </c>
      <c r="N43" s="1301">
        <f>IF(E29&gt;25,F29,0)</f>
        <v>0</v>
      </c>
      <c r="O43" s="1301"/>
      <c r="P43" s="1413"/>
      <c r="Q43" s="1414"/>
      <c r="R43" s="1415"/>
      <c r="T43" s="169" t="s">
        <v>745</v>
      </c>
      <c r="U43" s="169"/>
      <c r="V43" s="303">
        <f t="shared" si="3"/>
        <v>46635</v>
      </c>
    </row>
    <row r="44" spans="1:22" s="172" customFormat="1" ht="15" customHeight="1" x14ac:dyDescent="0.2">
      <c r="A44" s="124"/>
      <c r="B44" s="1443">
        <f>'SPOT CASH_60 DAYS'!B42</f>
        <v>0</v>
      </c>
      <c r="C44" s="1445"/>
      <c r="D44" s="1443">
        <f>'SPOT CASH_60 DAYS'!D42:D42</f>
        <v>0</v>
      </c>
      <c r="E44" s="1444"/>
      <c r="F44" s="1444"/>
      <c r="G44" s="1445"/>
      <c r="H44" s="1366">
        <f>'SPOT CASH_60 DAYS'!G42</f>
        <v>0</v>
      </c>
      <c r="I44" s="1367"/>
      <c r="J44" s="124"/>
      <c r="K44" s="1274">
        <f t="shared" si="4"/>
        <v>0</v>
      </c>
      <c r="L44" s="1274"/>
      <c r="M44" s="137">
        <f t="shared" si="2"/>
        <v>0</v>
      </c>
      <c r="N44" s="1301">
        <f>IF(E29&gt;26,F29,0)</f>
        <v>0</v>
      </c>
      <c r="O44" s="1301"/>
      <c r="P44" s="1413"/>
      <c r="Q44" s="1414"/>
      <c r="R44" s="1415"/>
      <c r="T44" s="169" t="s">
        <v>747</v>
      </c>
      <c r="U44" s="169"/>
      <c r="V44" s="303">
        <f t="shared" si="3"/>
        <v>46665</v>
      </c>
    </row>
    <row r="45" spans="1:22" s="172" customFormat="1" ht="14.25" customHeight="1" x14ac:dyDescent="0.2">
      <c r="A45" s="124"/>
      <c r="B45" s="1446"/>
      <c r="C45" s="1448"/>
      <c r="D45" s="1446"/>
      <c r="E45" s="1447"/>
      <c r="F45" s="1447"/>
      <c r="G45" s="1448"/>
      <c r="H45" s="1368"/>
      <c r="I45" s="1369"/>
      <c r="J45" s="124"/>
      <c r="K45" s="1274">
        <f t="shared" si="4"/>
        <v>0</v>
      </c>
      <c r="L45" s="1274"/>
      <c r="M45" s="137">
        <f t="shared" si="2"/>
        <v>0</v>
      </c>
      <c r="N45" s="1301">
        <f>IF(E29&gt;27,F29,0)</f>
        <v>0</v>
      </c>
      <c r="O45" s="1301"/>
      <c r="P45" s="1413"/>
      <c r="Q45" s="1414"/>
      <c r="R45" s="1415"/>
      <c r="T45" s="169" t="s">
        <v>748</v>
      </c>
      <c r="U45" s="169"/>
      <c r="V45" s="303">
        <f t="shared" si="3"/>
        <v>46696</v>
      </c>
    </row>
    <row r="46" spans="1:22" s="172" customFormat="1" ht="15" customHeight="1" x14ac:dyDescent="0.2">
      <c r="A46" s="144"/>
      <c r="B46" s="1443">
        <f>'SPOT CASH_60 DAYS'!B44</f>
        <v>0</v>
      </c>
      <c r="C46" s="1445"/>
      <c r="D46" s="1443">
        <f>'SPOT CASH_60 DAYS'!D44:D44</f>
        <v>0</v>
      </c>
      <c r="E46" s="1444"/>
      <c r="F46" s="1444"/>
      <c r="G46" s="1445"/>
      <c r="H46" s="1366">
        <f>'SPOT CASH_60 DAYS'!G44</f>
        <v>0</v>
      </c>
      <c r="I46" s="1367"/>
      <c r="J46" s="144"/>
      <c r="K46" s="1274">
        <f t="shared" ref="K46:K53" si="5">IF(N46&gt;1,T47,0)</f>
        <v>0</v>
      </c>
      <c r="L46" s="1274"/>
      <c r="M46" s="137">
        <f t="shared" si="2"/>
        <v>0</v>
      </c>
      <c r="N46" s="1301">
        <f>IF(E29&gt;28,F29,0)</f>
        <v>0</v>
      </c>
      <c r="O46" s="1301"/>
      <c r="P46" s="1413"/>
      <c r="Q46" s="1414"/>
      <c r="R46" s="1415"/>
      <c r="T46" s="169" t="s">
        <v>750</v>
      </c>
      <c r="U46" s="169"/>
      <c r="V46" s="303">
        <f t="shared" si="3"/>
        <v>46726</v>
      </c>
    </row>
    <row r="47" spans="1:22" s="172" customFormat="1" ht="14.25" customHeight="1" x14ac:dyDescent="0.2">
      <c r="A47" s="144"/>
      <c r="B47" s="1446"/>
      <c r="C47" s="1448"/>
      <c r="D47" s="1446"/>
      <c r="E47" s="1447"/>
      <c r="F47" s="1447"/>
      <c r="G47" s="1448"/>
      <c r="H47" s="1368"/>
      <c r="I47" s="1369"/>
      <c r="J47" s="144"/>
      <c r="K47" s="1274">
        <f t="shared" si="5"/>
        <v>0</v>
      </c>
      <c r="L47" s="1274"/>
      <c r="M47" s="137">
        <f t="shared" si="2"/>
        <v>0</v>
      </c>
      <c r="N47" s="1301">
        <f>IF(E29&gt;29,F29,0)</f>
        <v>0</v>
      </c>
      <c r="O47" s="1301"/>
      <c r="P47" s="1413"/>
      <c r="Q47" s="1414"/>
      <c r="R47" s="1415"/>
      <c r="T47" s="169" t="s">
        <v>751</v>
      </c>
      <c r="U47" s="169"/>
      <c r="V47" s="303">
        <f t="shared" si="3"/>
        <v>46757</v>
      </c>
    </row>
    <row r="48" spans="1:22" ht="16.5" x14ac:dyDescent="0.25">
      <c r="A48" s="144"/>
      <c r="B48" s="172"/>
      <c r="C48" s="172"/>
      <c r="D48" s="292"/>
      <c r="E48" s="172"/>
      <c r="F48" s="172"/>
      <c r="G48" s="172"/>
      <c r="H48" s="172"/>
      <c r="I48" s="172"/>
      <c r="J48" s="144"/>
      <c r="K48" s="1274">
        <f t="shared" si="5"/>
        <v>0</v>
      </c>
      <c r="L48" s="1274"/>
      <c r="M48" s="137">
        <f t="shared" si="2"/>
        <v>0</v>
      </c>
      <c r="N48" s="1301">
        <f>IF(E29&gt;30,F29,0)</f>
        <v>0</v>
      </c>
      <c r="O48" s="1301"/>
      <c r="P48" s="1413"/>
      <c r="Q48" s="1414"/>
      <c r="R48" s="1415"/>
      <c r="T48" s="160" t="s">
        <v>755</v>
      </c>
      <c r="U48" s="160"/>
      <c r="V48" s="303">
        <f t="shared" si="3"/>
        <v>46788</v>
      </c>
    </row>
    <row r="49" spans="1:22" ht="16.5" customHeight="1" x14ac:dyDescent="0.25">
      <c r="A49" s="144"/>
      <c r="B49" s="172"/>
      <c r="C49" s="172"/>
      <c r="D49" s="172"/>
      <c r="E49" s="172"/>
      <c r="F49" s="125"/>
      <c r="G49" s="124"/>
      <c r="H49" s="125"/>
      <c r="I49" s="125"/>
      <c r="J49" s="144"/>
      <c r="K49" s="1274">
        <f t="shared" si="5"/>
        <v>0</v>
      </c>
      <c r="L49" s="1274"/>
      <c r="M49" s="137">
        <f t="shared" si="2"/>
        <v>0</v>
      </c>
      <c r="N49" s="1301">
        <f>IF(E29&gt;31,F29,0)</f>
        <v>0</v>
      </c>
      <c r="O49" s="1301"/>
      <c r="P49" s="1413"/>
      <c r="Q49" s="1414"/>
      <c r="R49" s="1415"/>
      <c r="T49" s="162" t="s">
        <v>756</v>
      </c>
      <c r="U49" s="162"/>
      <c r="V49" s="303">
        <f t="shared" si="3"/>
        <v>46817</v>
      </c>
    </row>
    <row r="50" spans="1:22" ht="16.5" x14ac:dyDescent="0.3">
      <c r="B50" s="5"/>
      <c r="C50" s="5"/>
      <c r="D50" s="103"/>
      <c r="E50" s="5"/>
      <c r="F50" s="5"/>
      <c r="G50" s="5"/>
      <c r="H50" s="5"/>
      <c r="I50" s="5"/>
      <c r="J50" s="131"/>
      <c r="K50" s="1274">
        <f t="shared" si="5"/>
        <v>0</v>
      </c>
      <c r="L50" s="1274"/>
      <c r="M50" s="137">
        <f t="shared" si="2"/>
        <v>0</v>
      </c>
      <c r="N50" s="1301">
        <f>IF(E29&gt;32,F29,0)</f>
        <v>0</v>
      </c>
      <c r="O50" s="1301"/>
      <c r="P50" s="1413"/>
      <c r="Q50" s="1414"/>
      <c r="R50" s="1415"/>
      <c r="T50" s="162" t="s">
        <v>757</v>
      </c>
      <c r="U50" s="162"/>
      <c r="V50" s="303">
        <f t="shared" si="3"/>
        <v>46848</v>
      </c>
    </row>
    <row r="51" spans="1:22" ht="16.5" x14ac:dyDescent="0.3">
      <c r="A51" s="258">
        <f>F17*12%</f>
        <v>2456002.4076402774</v>
      </c>
      <c r="B51" s="5"/>
      <c r="C51" s="5"/>
      <c r="D51" s="103"/>
      <c r="E51" s="5"/>
      <c r="F51" s="5"/>
      <c r="G51" s="5"/>
      <c r="H51" s="5"/>
      <c r="I51" s="5"/>
      <c r="J51" s="131"/>
      <c r="K51" s="1274">
        <f t="shared" si="5"/>
        <v>0</v>
      </c>
      <c r="L51" s="1274"/>
      <c r="M51" s="137">
        <f t="shared" si="2"/>
        <v>0</v>
      </c>
      <c r="N51" s="1301">
        <f>IF(E29&gt;33,F29,0)</f>
        <v>0</v>
      </c>
      <c r="O51" s="1301"/>
      <c r="P51" s="1413"/>
      <c r="Q51" s="1414"/>
      <c r="R51" s="1415"/>
      <c r="T51" s="301" t="s">
        <v>758</v>
      </c>
      <c r="V51" s="303">
        <f t="shared" si="3"/>
        <v>46878</v>
      </c>
    </row>
    <row r="52" spans="1:22" ht="16.5" x14ac:dyDescent="0.3">
      <c r="C52" s="300" t="s">
        <v>769</v>
      </c>
      <c r="D52" s="1487"/>
      <c r="E52" s="1487"/>
      <c r="F52" s="1487"/>
      <c r="G52" s="1487"/>
      <c r="H52" s="5"/>
      <c r="I52" s="5"/>
      <c r="J52" s="294"/>
      <c r="K52" s="1274">
        <f t="shared" si="5"/>
        <v>0</v>
      </c>
      <c r="L52" s="1274"/>
      <c r="M52" s="137">
        <f t="shared" si="2"/>
        <v>0</v>
      </c>
      <c r="N52" s="1301">
        <f>IF(E29&gt;34,F29,0)</f>
        <v>0</v>
      </c>
      <c r="O52" s="1301"/>
      <c r="P52" s="1413"/>
      <c r="Q52" s="1414"/>
      <c r="R52" s="1415"/>
      <c r="T52" s="301" t="s">
        <v>759</v>
      </c>
      <c r="V52" s="303">
        <f t="shared" si="3"/>
        <v>46909</v>
      </c>
    </row>
    <row r="53" spans="1:22" ht="16.5" x14ac:dyDescent="0.3">
      <c r="B53" s="5"/>
      <c r="C53" s="5"/>
      <c r="D53" s="103"/>
      <c r="E53" s="5"/>
      <c r="F53" s="5"/>
      <c r="G53" s="5"/>
      <c r="H53" s="5"/>
      <c r="I53" s="5"/>
      <c r="J53" s="296"/>
      <c r="K53" s="1274">
        <f t="shared" si="5"/>
        <v>0</v>
      </c>
      <c r="L53" s="1274"/>
      <c r="M53" s="137">
        <f t="shared" si="2"/>
        <v>0</v>
      </c>
      <c r="N53" s="1301">
        <f>IF(E29&gt;35,F29,0)</f>
        <v>0</v>
      </c>
      <c r="O53" s="1301"/>
      <c r="P53" s="1413"/>
      <c r="Q53" s="1414"/>
      <c r="R53" s="1415"/>
      <c r="T53" s="301" t="s">
        <v>760</v>
      </c>
      <c r="V53" s="303">
        <f t="shared" si="3"/>
        <v>46939</v>
      </c>
    </row>
    <row r="54" spans="1:22" ht="16.5" x14ac:dyDescent="0.25">
      <c r="J54" s="144"/>
      <c r="K54" s="1274">
        <f t="shared" ref="K54:K60" si="6">IF(N54&gt;1,T55,0)</f>
        <v>0</v>
      </c>
      <c r="L54" s="1274"/>
      <c r="M54" s="137">
        <f t="shared" ref="M54:M60" si="7">IF(N54&gt;1,V55,0)</f>
        <v>0</v>
      </c>
      <c r="N54" s="1301">
        <f>IF(E29&gt;36,F29,0)</f>
        <v>0</v>
      </c>
      <c r="O54" s="1301"/>
      <c r="P54" s="1413"/>
      <c r="Q54" s="1414"/>
      <c r="R54" s="1415"/>
      <c r="T54" s="301" t="s">
        <v>761</v>
      </c>
      <c r="V54" s="303">
        <f t="shared" si="3"/>
        <v>46970</v>
      </c>
    </row>
    <row r="55" spans="1:22" ht="16.5" x14ac:dyDescent="0.3">
      <c r="I55" s="131"/>
      <c r="J55" s="5"/>
      <c r="K55" s="1274">
        <f t="shared" si="6"/>
        <v>0</v>
      </c>
      <c r="L55" s="1274"/>
      <c r="M55" s="137">
        <f t="shared" si="7"/>
        <v>0</v>
      </c>
      <c r="N55" s="1301">
        <f>IF(E29&gt;37,F29,0)</f>
        <v>0</v>
      </c>
      <c r="O55" s="1301"/>
      <c r="P55" s="1413"/>
      <c r="Q55" s="1414"/>
      <c r="R55" s="1415"/>
      <c r="T55" s="301" t="s">
        <v>762</v>
      </c>
      <c r="V55" s="303">
        <f t="shared" si="3"/>
        <v>47001</v>
      </c>
    </row>
    <row r="56" spans="1:22" ht="16.5" x14ac:dyDescent="0.3">
      <c r="J56" s="5"/>
      <c r="K56" s="1274">
        <f t="shared" si="6"/>
        <v>0</v>
      </c>
      <c r="L56" s="1274"/>
      <c r="M56" s="137">
        <f t="shared" si="7"/>
        <v>0</v>
      </c>
      <c r="N56" s="1301">
        <f>IF(E29&gt;38,F29,0)</f>
        <v>0</v>
      </c>
      <c r="O56" s="1301"/>
      <c r="P56" s="1413"/>
      <c r="Q56" s="1414"/>
      <c r="R56" s="1415"/>
      <c r="T56" s="301" t="s">
        <v>763</v>
      </c>
      <c r="V56" s="303">
        <f t="shared" si="3"/>
        <v>47031</v>
      </c>
    </row>
    <row r="57" spans="1:22" ht="16.5" x14ac:dyDescent="0.3">
      <c r="J57" s="5"/>
      <c r="K57" s="1274">
        <f t="shared" si="6"/>
        <v>0</v>
      </c>
      <c r="L57" s="1274"/>
      <c r="M57" s="137">
        <f t="shared" si="7"/>
        <v>0</v>
      </c>
      <c r="N57" s="1301">
        <f>IF(E29&gt;39,F29,0)</f>
        <v>0</v>
      </c>
      <c r="O57" s="1301"/>
      <c r="P57" s="1413"/>
      <c r="Q57" s="1414"/>
      <c r="R57" s="1415"/>
      <c r="T57" s="301" t="s">
        <v>764</v>
      </c>
      <c r="V57" s="303">
        <f t="shared" si="3"/>
        <v>47062</v>
      </c>
    </row>
    <row r="58" spans="1:22" x14ac:dyDescent="0.25">
      <c r="K58" s="1274">
        <f t="shared" si="6"/>
        <v>0</v>
      </c>
      <c r="L58" s="1274"/>
      <c r="M58" s="137">
        <f t="shared" si="7"/>
        <v>0</v>
      </c>
      <c r="N58" s="1301">
        <f>IF(E29&gt;40,F29,0)</f>
        <v>0</v>
      </c>
      <c r="O58" s="1301"/>
      <c r="P58" s="1413"/>
      <c r="Q58" s="1414"/>
      <c r="R58" s="1415"/>
      <c r="T58" s="301" t="s">
        <v>765</v>
      </c>
      <c r="V58" s="303">
        <f t="shared" si="3"/>
        <v>47092</v>
      </c>
    </row>
    <row r="59" spans="1:22" x14ac:dyDescent="0.25">
      <c r="B59" s="133" t="s">
        <v>774</v>
      </c>
      <c r="C59" s="133"/>
      <c r="D59" s="223"/>
      <c r="E59" s="133"/>
      <c r="G59" s="133" t="s">
        <v>775</v>
      </c>
      <c r="H59" s="133"/>
      <c r="I59" s="131"/>
      <c r="K59" s="1274">
        <f t="shared" si="6"/>
        <v>0</v>
      </c>
      <c r="L59" s="1274"/>
      <c r="M59" s="137">
        <f t="shared" si="7"/>
        <v>0</v>
      </c>
      <c r="N59" s="1301">
        <f>IF(E29&gt;41,F29,0)</f>
        <v>0</v>
      </c>
      <c r="O59" s="1301"/>
      <c r="P59" s="1413"/>
      <c r="Q59" s="1414"/>
      <c r="R59" s="1415"/>
      <c r="T59" s="301" t="s">
        <v>766</v>
      </c>
      <c r="V59" s="303">
        <f t="shared" si="3"/>
        <v>47123</v>
      </c>
    </row>
    <row r="60" spans="1:22" ht="15" customHeight="1" x14ac:dyDescent="0.25">
      <c r="B60" s="131"/>
      <c r="C60" s="131"/>
      <c r="D60" s="217"/>
      <c r="E60" s="131"/>
      <c r="F60" s="131"/>
      <c r="H60" s="131"/>
      <c r="I60" s="131"/>
      <c r="K60" s="1274">
        <f t="shared" si="6"/>
        <v>0</v>
      </c>
      <c r="L60" s="1274"/>
      <c r="M60" s="137">
        <f t="shared" si="7"/>
        <v>0</v>
      </c>
      <c r="N60" s="1301">
        <f>IF(E29&gt;42,F29,0)</f>
        <v>0</v>
      </c>
      <c r="O60" s="1301"/>
      <c r="P60" s="1413"/>
      <c r="Q60" s="1414"/>
      <c r="R60" s="1415"/>
      <c r="T60" s="301" t="s">
        <v>767</v>
      </c>
      <c r="V60" s="303">
        <f t="shared" si="3"/>
        <v>47154</v>
      </c>
    </row>
    <row r="61" spans="1:22" ht="15" customHeight="1" x14ac:dyDescent="0.25">
      <c r="B61" s="1474" t="str">
        <f>FORM!G32</f>
        <v>Seller</v>
      </c>
      <c r="C61" s="1474"/>
      <c r="D61" s="1474"/>
      <c r="E61" s="133"/>
      <c r="F61" s="133"/>
      <c r="G61" s="1474">
        <f>FORM!G30</f>
        <v>0</v>
      </c>
      <c r="H61" s="1474"/>
      <c r="I61" s="1474"/>
      <c r="K61" s="1274">
        <f t="shared" ref="K61:K62" si="8">IF(N61&gt;1,T62,0)</f>
        <v>0</v>
      </c>
      <c r="L61" s="1274"/>
      <c r="M61" s="137">
        <f t="shared" ref="M61:M62" si="9">IF(N61&gt;1,V62,0)</f>
        <v>0</v>
      </c>
      <c r="N61" s="1301">
        <f>IF(E29&gt;43,F29,0)</f>
        <v>0</v>
      </c>
      <c r="O61" s="1301"/>
      <c r="P61" s="1413"/>
      <c r="Q61" s="1414"/>
      <c r="R61" s="1415"/>
      <c r="T61" s="301" t="s">
        <v>768</v>
      </c>
      <c r="V61" s="303">
        <f t="shared" si="3"/>
        <v>47182</v>
      </c>
    </row>
    <row r="62" spans="1:22" ht="15" customHeight="1" x14ac:dyDescent="0.25">
      <c r="B62" s="1476" t="s">
        <v>777</v>
      </c>
      <c r="C62" s="1476"/>
      <c r="D62" s="1476"/>
      <c r="E62" s="131"/>
      <c r="F62" s="131"/>
      <c r="G62" s="1475" t="s">
        <v>777</v>
      </c>
      <c r="H62" s="1475"/>
      <c r="I62" s="1475"/>
      <c r="K62" s="1274">
        <f t="shared" si="8"/>
        <v>0</v>
      </c>
      <c r="L62" s="1274"/>
      <c r="M62" s="137">
        <f t="shared" si="9"/>
        <v>0</v>
      </c>
      <c r="N62" s="1301">
        <f>IF(E29&gt;44,F29,0)</f>
        <v>0</v>
      </c>
      <c r="O62" s="1301"/>
      <c r="P62" s="1413"/>
      <c r="Q62" s="1414"/>
      <c r="R62" s="1415"/>
      <c r="T62" s="301" t="s">
        <v>770</v>
      </c>
      <c r="V62" s="303">
        <f t="shared" si="3"/>
        <v>47213</v>
      </c>
    </row>
    <row r="63" spans="1:22" ht="15" customHeight="1" x14ac:dyDescent="0.25">
      <c r="Q63" s="131"/>
      <c r="R63" s="131"/>
      <c r="T63" s="301" t="s">
        <v>771</v>
      </c>
      <c r="V63" s="303">
        <f t="shared" si="3"/>
        <v>47243</v>
      </c>
    </row>
    <row r="64" spans="1:22" ht="15" customHeight="1" x14ac:dyDescent="0.25">
      <c r="K64" s="133" t="s">
        <v>774</v>
      </c>
      <c r="L64" s="133"/>
      <c r="M64" s="223"/>
      <c r="N64" s="133"/>
      <c r="P64" s="133" t="s">
        <v>775</v>
      </c>
      <c r="Q64" s="131"/>
      <c r="R64" s="131"/>
      <c r="T64" s="301" t="s">
        <v>772</v>
      </c>
      <c r="V64" s="303">
        <f t="shared" si="3"/>
        <v>47274</v>
      </c>
    </row>
    <row r="65" spans="11:18" x14ac:dyDescent="0.25">
      <c r="K65" s="131"/>
      <c r="L65" s="131"/>
      <c r="M65" s="217"/>
      <c r="N65" s="131"/>
      <c r="O65" s="131"/>
      <c r="P65" s="131"/>
      <c r="Q65" s="131"/>
      <c r="R65" s="131"/>
    </row>
    <row r="66" spans="11:18" x14ac:dyDescent="0.25">
      <c r="K66" s="1135" t="str">
        <f>FORM!G32</f>
        <v>Seller</v>
      </c>
      <c r="L66" s="1135"/>
      <c r="M66" s="1135"/>
      <c r="N66" s="133"/>
      <c r="O66" s="133"/>
      <c r="P66" s="1135">
        <f>FORM!G30</f>
        <v>0</v>
      </c>
      <c r="Q66" s="1135"/>
      <c r="R66" s="1135"/>
    </row>
    <row r="67" spans="11:18" x14ac:dyDescent="0.25">
      <c r="K67" s="295" t="s">
        <v>776</v>
      </c>
      <c r="L67" s="1442"/>
      <c r="M67" s="1137"/>
      <c r="N67" s="131"/>
      <c r="O67" s="131"/>
      <c r="P67" s="146" t="s">
        <v>777</v>
      </c>
      <c r="Q67" s="1442"/>
      <c r="R67" s="1137"/>
    </row>
    <row r="68" spans="11:18" x14ac:dyDescent="0.25">
      <c r="L68" s="151"/>
    </row>
    <row r="69" spans="11:18" x14ac:dyDescent="0.25">
      <c r="L69" s="151"/>
    </row>
    <row r="70" spans="11:18" x14ac:dyDescent="0.25">
      <c r="L70" s="151"/>
    </row>
  </sheetData>
  <sheetProtection algorithmName="SHA-512" hashValue="zWGMm54oZaAts7qhldg2hEel38EM/4UPJGhnh27kUuVTx9Bj+nTV3XiHb+QINrN2y85cgVSz18EsZKM7wnMQuw==" saltValue="RohwKqFLW891uLBXdzQS/A==" spinCount="100000" sheet="1" formatCells="0" formatColumns="0" formatRows="0" selectLockedCells="1"/>
  <mergeCells count="212">
    <mergeCell ref="P58:R58"/>
    <mergeCell ref="P59:R59"/>
    <mergeCell ref="P60:R60"/>
    <mergeCell ref="P61:R61"/>
    <mergeCell ref="P62:R62"/>
    <mergeCell ref="K61:L61"/>
    <mergeCell ref="N61:O61"/>
    <mergeCell ref="K62:L62"/>
    <mergeCell ref="N62:O62"/>
    <mergeCell ref="K58:L58"/>
    <mergeCell ref="N58:O58"/>
    <mergeCell ref="K59:L59"/>
    <mergeCell ref="N59:O59"/>
    <mergeCell ref="K60:L60"/>
    <mergeCell ref="N60:O60"/>
    <mergeCell ref="K55:L55"/>
    <mergeCell ref="N55:O55"/>
    <mergeCell ref="K56:L56"/>
    <mergeCell ref="N56:O56"/>
    <mergeCell ref="P54:R54"/>
    <mergeCell ref="P55:R55"/>
    <mergeCell ref="P56:R56"/>
    <mergeCell ref="K57:L57"/>
    <mergeCell ref="N57:O57"/>
    <mergeCell ref="P57:R57"/>
    <mergeCell ref="N51:O51"/>
    <mergeCell ref="K52:L52"/>
    <mergeCell ref="N52:O52"/>
    <mergeCell ref="K53:L53"/>
    <mergeCell ref="N53:O53"/>
    <mergeCell ref="P51:R51"/>
    <mergeCell ref="P52:R52"/>
    <mergeCell ref="P53:R53"/>
    <mergeCell ref="K54:L54"/>
    <mergeCell ref="N54:O54"/>
    <mergeCell ref="B40:C41"/>
    <mergeCell ref="D40:G41"/>
    <mergeCell ref="H40:I41"/>
    <mergeCell ref="D35:G35"/>
    <mergeCell ref="H35:I35"/>
    <mergeCell ref="B35:C35"/>
    <mergeCell ref="B36:C37"/>
    <mergeCell ref="D36:G37"/>
    <mergeCell ref="H36:I37"/>
    <mergeCell ref="B38:C39"/>
    <mergeCell ref="D38:G39"/>
    <mergeCell ref="H38:I39"/>
    <mergeCell ref="B42:C43"/>
    <mergeCell ref="H42:I43"/>
    <mergeCell ref="B61:D61"/>
    <mergeCell ref="K66:M66"/>
    <mergeCell ref="P66:R66"/>
    <mergeCell ref="K46:L46"/>
    <mergeCell ref="N46:O46"/>
    <mergeCell ref="K43:L43"/>
    <mergeCell ref="K44:L44"/>
    <mergeCell ref="K45:L45"/>
    <mergeCell ref="N43:O43"/>
    <mergeCell ref="N44:O44"/>
    <mergeCell ref="H44:I45"/>
    <mergeCell ref="D44:G45"/>
    <mergeCell ref="B44:C45"/>
    <mergeCell ref="B46:C47"/>
    <mergeCell ref="D46:G47"/>
    <mergeCell ref="H46:I47"/>
    <mergeCell ref="D52:G52"/>
    <mergeCell ref="K47:L47"/>
    <mergeCell ref="N47:O47"/>
    <mergeCell ref="N45:O45"/>
    <mergeCell ref="D42:G43"/>
    <mergeCell ref="K49:L49"/>
    <mergeCell ref="K40:L40"/>
    <mergeCell ref="N40:O40"/>
    <mergeCell ref="K41:L41"/>
    <mergeCell ref="P34:R34"/>
    <mergeCell ref="P35:R35"/>
    <mergeCell ref="P36:R36"/>
    <mergeCell ref="P37:R37"/>
    <mergeCell ref="L67:M67"/>
    <mergeCell ref="Q67:R67"/>
    <mergeCell ref="K35:L35"/>
    <mergeCell ref="N35:O35"/>
    <mergeCell ref="K42:L42"/>
    <mergeCell ref="N42:O42"/>
    <mergeCell ref="N49:O49"/>
    <mergeCell ref="K50:L50"/>
    <mergeCell ref="N50:O50"/>
    <mergeCell ref="K48:L48"/>
    <mergeCell ref="N48:O48"/>
    <mergeCell ref="P47:R47"/>
    <mergeCell ref="P48:R48"/>
    <mergeCell ref="P49:R49"/>
    <mergeCell ref="P50:R50"/>
    <mergeCell ref="K51:L51"/>
    <mergeCell ref="N41:O41"/>
    <mergeCell ref="K37:L37"/>
    <mergeCell ref="N37:O37"/>
    <mergeCell ref="K38:L38"/>
    <mergeCell ref="N38:O38"/>
    <mergeCell ref="K39:L39"/>
    <mergeCell ref="N39:O39"/>
    <mergeCell ref="K36:L36"/>
    <mergeCell ref="N36:O36"/>
    <mergeCell ref="F27:I27"/>
    <mergeCell ref="K27:L27"/>
    <mergeCell ref="N27:O27"/>
    <mergeCell ref="K28:L28"/>
    <mergeCell ref="N28:O28"/>
    <mergeCell ref="K29:L29"/>
    <mergeCell ref="N29:O29"/>
    <mergeCell ref="K30:L30"/>
    <mergeCell ref="K31:L31"/>
    <mergeCell ref="N31:O31"/>
    <mergeCell ref="N34:O34"/>
    <mergeCell ref="N30:O30"/>
    <mergeCell ref="K34:L34"/>
    <mergeCell ref="K32:L32"/>
    <mergeCell ref="K26:L26"/>
    <mergeCell ref="N26:O26"/>
    <mergeCell ref="F22:I22"/>
    <mergeCell ref="K23:L23"/>
    <mergeCell ref="N23:O23"/>
    <mergeCell ref="F24:I24"/>
    <mergeCell ref="F25:I25"/>
    <mergeCell ref="K21:L21"/>
    <mergeCell ref="N21:O21"/>
    <mergeCell ref="K24:L24"/>
    <mergeCell ref="Q1:R1"/>
    <mergeCell ref="Q2:R2"/>
    <mergeCell ref="E8:I8"/>
    <mergeCell ref="N8:R8"/>
    <mergeCell ref="E9:I9"/>
    <mergeCell ref="N9:R9"/>
    <mergeCell ref="B3:I4"/>
    <mergeCell ref="K3:R4"/>
    <mergeCell ref="E6:I6"/>
    <mergeCell ref="N6:R6"/>
    <mergeCell ref="E7:I7"/>
    <mergeCell ref="N7:R7"/>
    <mergeCell ref="G62:I62"/>
    <mergeCell ref="B62:D62"/>
    <mergeCell ref="F15:I15"/>
    <mergeCell ref="K15:L16"/>
    <mergeCell ref="M15:M16"/>
    <mergeCell ref="N15:O16"/>
    <mergeCell ref="F26:I26"/>
    <mergeCell ref="F20:I20"/>
    <mergeCell ref="K20:L20"/>
    <mergeCell ref="N20:O20"/>
    <mergeCell ref="F16:I16"/>
    <mergeCell ref="K17:L17"/>
    <mergeCell ref="N17:O17"/>
    <mergeCell ref="F17:I17"/>
    <mergeCell ref="K18:L18"/>
    <mergeCell ref="N18:O18"/>
    <mergeCell ref="N24:O24"/>
    <mergeCell ref="K25:L25"/>
    <mergeCell ref="N25:O25"/>
    <mergeCell ref="N22:O22"/>
    <mergeCell ref="F29:I29"/>
    <mergeCell ref="N32:O32"/>
    <mergeCell ref="K33:L33"/>
    <mergeCell ref="N33:O33"/>
    <mergeCell ref="E10:F10"/>
    <mergeCell ref="G10:I10"/>
    <mergeCell ref="N10:O10"/>
    <mergeCell ref="P10:R10"/>
    <mergeCell ref="G61:I61"/>
    <mergeCell ref="E11:F11"/>
    <mergeCell ref="G11:I11"/>
    <mergeCell ref="N11:O11"/>
    <mergeCell ref="P11:R11"/>
    <mergeCell ref="E12:F12"/>
    <mergeCell ref="G12:I12"/>
    <mergeCell ref="N12:O12"/>
    <mergeCell ref="P12:R12"/>
    <mergeCell ref="E13:F13"/>
    <mergeCell ref="G13:I13"/>
    <mergeCell ref="N13:O13"/>
    <mergeCell ref="P13:R13"/>
    <mergeCell ref="K22:L22"/>
    <mergeCell ref="F19:I19"/>
    <mergeCell ref="K19:L19"/>
    <mergeCell ref="N19:O19"/>
    <mergeCell ref="P15:R16"/>
    <mergeCell ref="P17:R17"/>
    <mergeCell ref="P18:R18"/>
    <mergeCell ref="P46:R46"/>
    <mergeCell ref="P25:R25"/>
    <mergeCell ref="P26:R26"/>
    <mergeCell ref="P27:R27"/>
    <mergeCell ref="P28:R28"/>
    <mergeCell ref="P29:R29"/>
    <mergeCell ref="P30:R30"/>
    <mergeCell ref="P31:R31"/>
    <mergeCell ref="P32:R32"/>
    <mergeCell ref="P33:R33"/>
    <mergeCell ref="Y19:Z19"/>
    <mergeCell ref="P38:R38"/>
    <mergeCell ref="P39:R39"/>
    <mergeCell ref="P40:R40"/>
    <mergeCell ref="P41:R41"/>
    <mergeCell ref="P42:R42"/>
    <mergeCell ref="P43:R43"/>
    <mergeCell ref="P44:R44"/>
    <mergeCell ref="P45:R45"/>
    <mergeCell ref="P19:R19"/>
    <mergeCell ref="P20:R20"/>
    <mergeCell ref="P21:R21"/>
    <mergeCell ref="P22:R22"/>
    <mergeCell ref="P23:R23"/>
    <mergeCell ref="P24:R24"/>
  </mergeCells>
  <pageMargins left="0.59055118110236227" right="0.70866141732283472" top="1.1811023622047245" bottom="0.74803149606299213" header="0.31496062992125984" footer="0.31496062992125984"/>
  <pageSetup paperSize="14" scale="82" orientation="portrait" r:id="rId1"/>
  <headerFooter>
    <oddHeader xml:space="preserve">&amp;R&amp;"Century Gothic,Bold"&amp;14ANNEX A: 
SAMPLE PACKAGE COMPUTATION
</oddHeader>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1A0157-B163-4704-942B-C3370BD20606}">
  <sheetPr codeName="Sheet33"/>
  <dimension ref="A1:U80"/>
  <sheetViews>
    <sheetView showGridLines="0" showZeros="0" view="pageBreakPreview" topLeftCell="A10" zoomScale="115" zoomScaleNormal="100" zoomScaleSheetLayoutView="115" workbookViewId="0">
      <selection activeCell="R30" sqref="R30"/>
    </sheetView>
  </sheetViews>
  <sheetFormatPr defaultColWidth="9.28515625" defaultRowHeight="16.5" x14ac:dyDescent="0.3"/>
  <cols>
    <col min="1" max="1" width="3.28515625" style="5" customWidth="1"/>
    <col min="2" max="2" width="1.28515625" style="5" customWidth="1"/>
    <col min="3" max="3" width="4.5703125" style="5" customWidth="1"/>
    <col min="4" max="4" width="2.7109375" style="5" customWidth="1"/>
    <col min="5" max="5" width="7" style="5" customWidth="1"/>
    <col min="6" max="6" width="4.28515625" style="5" customWidth="1"/>
    <col min="7" max="7" width="3.42578125" style="5" customWidth="1"/>
    <col min="8" max="8" width="3.28515625" style="5" customWidth="1"/>
    <col min="9" max="9" width="5.28515625" style="5" customWidth="1"/>
    <col min="10" max="10" width="3.28515625" style="5" customWidth="1"/>
    <col min="11" max="11" width="4.7109375" style="5" customWidth="1"/>
    <col min="12" max="12" width="5.7109375" style="5" customWidth="1"/>
    <col min="13" max="13" width="7" style="5" customWidth="1"/>
    <col min="14" max="14" width="3.28515625" style="5" customWidth="1"/>
    <col min="15" max="15" width="4.42578125" style="5" customWidth="1"/>
    <col min="16" max="16" width="7" style="5" customWidth="1"/>
    <col min="17" max="17" width="5.28515625" style="5" customWidth="1"/>
    <col min="18" max="18" width="15.7109375" style="5" customWidth="1"/>
    <col min="19" max="19" width="2.42578125" style="5" customWidth="1"/>
    <col min="20" max="20" width="12.7109375" style="5" customWidth="1"/>
    <col min="21" max="21" width="1.28515625" style="5" customWidth="1"/>
    <col min="22" max="16384" width="9.28515625" style="5"/>
  </cols>
  <sheetData>
    <row r="1" spans="1:21" ht="7.5" customHeight="1" x14ac:dyDescent="0.3">
      <c r="U1" s="58"/>
    </row>
    <row r="2" spans="1:21" s="18" customFormat="1" ht="14.25" x14ac:dyDescent="0.3">
      <c r="A2" s="18" t="s">
        <v>778</v>
      </c>
      <c r="C2" s="1227">
        <f>FORM!G22</f>
        <v>45870</v>
      </c>
      <c r="D2" s="1227"/>
      <c r="E2" s="1227"/>
      <c r="F2" s="1227"/>
    </row>
    <row r="3" spans="1:21" s="18" customFormat="1" ht="13.5" x14ac:dyDescent="0.3"/>
    <row r="4" spans="1:21" s="18" customFormat="1" ht="14.25" x14ac:dyDescent="0.3">
      <c r="A4" s="655" t="s">
        <v>779</v>
      </c>
    </row>
    <row r="5" spans="1:21" s="18" customFormat="1" ht="9" customHeight="1" x14ac:dyDescent="0.3"/>
    <row r="6" spans="1:21" s="18" customFormat="1" ht="16.5" customHeight="1" x14ac:dyDescent="0.3">
      <c r="A6" s="1228" t="s">
        <v>780</v>
      </c>
      <c r="B6" s="1228"/>
      <c r="C6" s="1228"/>
      <c r="D6" s="1228"/>
      <c r="E6" s="1228"/>
      <c r="F6" s="1228"/>
      <c r="G6" s="1228"/>
      <c r="H6" s="1228"/>
      <c r="I6" s="1228"/>
      <c r="J6" s="1228"/>
      <c r="K6" s="1228"/>
      <c r="L6" s="1228"/>
      <c r="M6" s="1228"/>
      <c r="N6" s="1228"/>
      <c r="O6" s="1228"/>
      <c r="P6" s="1228"/>
      <c r="Q6" s="1228"/>
      <c r="R6" s="1228"/>
      <c r="S6" s="1228"/>
      <c r="T6" s="1228"/>
      <c r="U6" s="1228"/>
    </row>
    <row r="7" spans="1:21" ht="8.25" customHeight="1" x14ac:dyDescent="0.3">
      <c r="A7" s="21"/>
      <c r="B7" s="21"/>
      <c r="C7" s="21"/>
      <c r="D7" s="21"/>
      <c r="E7" s="21"/>
      <c r="F7" s="21"/>
      <c r="G7" s="21"/>
      <c r="H7" s="21"/>
      <c r="I7" s="21"/>
      <c r="J7" s="21"/>
      <c r="K7" s="21"/>
      <c r="L7" s="21"/>
      <c r="M7" s="21"/>
      <c r="N7" s="21"/>
      <c r="O7" s="21"/>
      <c r="P7" s="21"/>
      <c r="Q7" s="21"/>
      <c r="R7" s="21"/>
      <c r="S7" s="21"/>
      <c r="T7" s="21"/>
      <c r="U7" s="21"/>
    </row>
    <row r="8" spans="1:21" x14ac:dyDescent="0.3">
      <c r="A8" s="25" t="s">
        <v>781</v>
      </c>
      <c r="B8" s="26"/>
      <c r="C8" s="26"/>
      <c r="D8" s="24"/>
      <c r="E8" s="1229" t="str">
        <f>FORM!G11</f>
        <v>WEECOMM CENTRE</v>
      </c>
      <c r="F8" s="1229"/>
      <c r="G8" s="1229"/>
      <c r="H8" s="1229"/>
      <c r="I8" s="1229"/>
      <c r="J8" s="1229"/>
      <c r="K8" s="1229"/>
      <c r="L8" s="1229"/>
      <c r="M8" s="1229"/>
      <c r="N8" s="1229"/>
      <c r="O8" s="1229"/>
      <c r="P8" s="1229"/>
      <c r="Q8" s="1229"/>
      <c r="R8" s="1229"/>
      <c r="S8" s="1229"/>
      <c r="T8" s="1229"/>
      <c r="U8" s="62"/>
    </row>
    <row r="9" spans="1:21" x14ac:dyDescent="0.3">
      <c r="A9" s="27" t="s">
        <v>782</v>
      </c>
      <c r="B9" s="28"/>
      <c r="C9" s="28"/>
      <c r="D9" s="29"/>
      <c r="E9" s="30" t="s">
        <v>783</v>
      </c>
      <c r="F9" s="29"/>
      <c r="G9" s="29"/>
      <c r="H9" s="29"/>
      <c r="I9" s="29"/>
      <c r="J9" s="29"/>
      <c r="K9" s="29"/>
      <c r="L9" s="60"/>
      <c r="M9" s="29"/>
      <c r="N9" s="29"/>
      <c r="O9" s="29"/>
      <c r="P9" s="29"/>
      <c r="Q9" s="29"/>
      <c r="R9" s="29"/>
      <c r="S9" s="29"/>
      <c r="T9" s="30"/>
      <c r="U9" s="59"/>
    </row>
    <row r="10" spans="1:21" x14ac:dyDescent="0.3">
      <c r="A10" s="31"/>
      <c r="B10" s="8"/>
      <c r="C10" s="8"/>
      <c r="D10" s="8"/>
      <c r="E10" s="32"/>
      <c r="F10" s="8"/>
      <c r="G10" s="8"/>
      <c r="H10" s="8"/>
      <c r="I10" s="8"/>
      <c r="J10" s="8"/>
      <c r="K10" s="8"/>
      <c r="L10" s="32"/>
      <c r="M10" s="8"/>
      <c r="N10" s="8"/>
      <c r="O10" s="8"/>
      <c r="P10" s="8"/>
      <c r="Q10" s="8"/>
      <c r="R10" s="8"/>
      <c r="S10" s="8"/>
      <c r="T10" s="32"/>
      <c r="U10" s="33"/>
    </row>
    <row r="11" spans="1:21" ht="7.5" customHeight="1" x14ac:dyDescent="0.3">
      <c r="T11" s="5" t="s">
        <v>660</v>
      </c>
    </row>
    <row r="12" spans="1:21" x14ac:dyDescent="0.3">
      <c r="A12" s="1230" t="s">
        <v>784</v>
      </c>
      <c r="B12" s="1231"/>
      <c r="C12" s="1231"/>
      <c r="D12" s="1231"/>
      <c r="E12" s="1231"/>
      <c r="F12" s="1232"/>
      <c r="G12" s="1230" t="s">
        <v>267</v>
      </c>
      <c r="H12" s="1231"/>
      <c r="I12" s="1231"/>
      <c r="J12" s="1231"/>
      <c r="K12" s="1231"/>
      <c r="L12" s="1232"/>
      <c r="M12" s="1230" t="s">
        <v>785</v>
      </c>
      <c r="N12" s="1231"/>
      <c r="O12" s="1231"/>
      <c r="P12" s="1231"/>
      <c r="Q12" s="1232"/>
      <c r="R12" s="1230" t="s">
        <v>786</v>
      </c>
      <c r="S12" s="1231"/>
      <c r="T12" s="1231"/>
      <c r="U12" s="1232"/>
    </row>
    <row r="13" spans="1:21" x14ac:dyDescent="0.3">
      <c r="A13" s="40" t="s">
        <v>787</v>
      </c>
      <c r="B13" s="41"/>
      <c r="C13" s="41"/>
      <c r="D13" s="1193">
        <f>RA_Standard!D21</f>
        <v>1</v>
      </c>
      <c r="E13" s="1194"/>
      <c r="F13" s="1195"/>
      <c r="G13" s="40" t="s">
        <v>787</v>
      </c>
      <c r="H13" s="41"/>
      <c r="I13" s="42"/>
      <c r="J13" s="1207"/>
      <c r="K13" s="1208"/>
      <c r="L13" s="1209"/>
      <c r="M13" s="40" t="s">
        <v>788</v>
      </c>
      <c r="N13" s="41"/>
      <c r="O13" s="42"/>
      <c r="P13" s="1210"/>
      <c r="Q13" s="1197"/>
      <c r="R13" s="1211" t="s">
        <v>787</v>
      </c>
      <c r="S13" s="1212"/>
      <c r="T13" s="1213"/>
      <c r="U13" s="1214"/>
    </row>
    <row r="14" spans="1:21" x14ac:dyDescent="0.3">
      <c r="A14" s="36" t="s">
        <v>789</v>
      </c>
      <c r="B14" s="37"/>
      <c r="C14" s="37"/>
      <c r="D14" s="1193" t="str">
        <f>RA_Standard!D22</f>
        <v>GF</v>
      </c>
      <c r="E14" s="1194"/>
      <c r="F14" s="1195"/>
      <c r="G14" s="40" t="s">
        <v>790</v>
      </c>
      <c r="H14" s="41"/>
      <c r="I14" s="42"/>
      <c r="J14" s="1207"/>
      <c r="K14" s="1208"/>
      <c r="L14" s="1209"/>
      <c r="M14" s="40" t="s">
        <v>791</v>
      </c>
      <c r="N14" s="41"/>
      <c r="O14" s="42"/>
      <c r="P14" s="1210"/>
      <c r="Q14" s="1197"/>
      <c r="R14" s="1211" t="s">
        <v>792</v>
      </c>
      <c r="S14" s="1212"/>
      <c r="T14" s="1213"/>
      <c r="U14" s="1214"/>
    </row>
    <row r="15" spans="1:21" x14ac:dyDescent="0.3">
      <c r="A15" s="40" t="s">
        <v>792</v>
      </c>
      <c r="B15" s="41"/>
      <c r="C15" s="42"/>
      <c r="D15" s="1193" t="str">
        <f>RA_Standard!D23</f>
        <v>9G</v>
      </c>
      <c r="E15" s="1194"/>
      <c r="F15" s="1195"/>
      <c r="G15" s="40" t="s">
        <v>793</v>
      </c>
      <c r="H15" s="41"/>
      <c r="I15" s="42"/>
      <c r="J15" s="1207"/>
      <c r="K15" s="1208"/>
      <c r="L15" s="1209"/>
      <c r="M15" s="40" t="s">
        <v>794</v>
      </c>
      <c r="N15" s="41"/>
      <c r="O15" s="42"/>
      <c r="P15" s="1210"/>
      <c r="Q15" s="1197"/>
      <c r="R15" s="1211" t="s">
        <v>795</v>
      </c>
      <c r="S15" s="1212"/>
      <c r="T15" s="1213"/>
      <c r="U15" s="1214"/>
    </row>
    <row r="16" spans="1:21" ht="16.5" customHeight="1" x14ac:dyDescent="0.3">
      <c r="A16" s="36" t="s">
        <v>80</v>
      </c>
      <c r="B16" s="40"/>
      <c r="C16" s="42"/>
      <c r="D16" s="1193">
        <f>RA_Standard!D24</f>
        <v>108.78</v>
      </c>
      <c r="E16" s="1194"/>
      <c r="F16" s="1195"/>
      <c r="G16" s="40" t="s">
        <v>795</v>
      </c>
      <c r="H16" s="41"/>
      <c r="I16" s="42"/>
      <c r="J16" s="1207"/>
      <c r="K16" s="1208"/>
      <c r="L16" s="1209"/>
      <c r="M16" s="36" t="s">
        <v>80</v>
      </c>
      <c r="N16" s="37"/>
      <c r="O16" s="37"/>
      <c r="P16" s="1196"/>
      <c r="Q16" s="1197"/>
      <c r="R16" s="1215" t="s">
        <v>796</v>
      </c>
      <c r="S16" s="1216"/>
      <c r="T16" s="1221"/>
      <c r="U16" s="1222"/>
    </row>
    <row r="17" spans="1:21" ht="16.5" customHeight="1" x14ac:dyDescent="0.3">
      <c r="A17" s="40" t="s">
        <v>797</v>
      </c>
      <c r="B17" s="37"/>
      <c r="C17" s="37"/>
      <c r="D17" s="1193" t="str">
        <f>RA_Standard!D25</f>
        <v>2-BR BARE</v>
      </c>
      <c r="E17" s="1194"/>
      <c r="F17" s="1195"/>
      <c r="G17" s="40" t="s">
        <v>798</v>
      </c>
      <c r="H17" s="41"/>
      <c r="I17" s="42"/>
      <c r="J17" s="698"/>
      <c r="K17" s="699"/>
      <c r="L17" s="700"/>
      <c r="M17" s="36" t="s">
        <v>799</v>
      </c>
      <c r="N17" s="37"/>
      <c r="O17" s="37"/>
      <c r="P17" s="1196"/>
      <c r="Q17" s="1197"/>
      <c r="R17" s="1217"/>
      <c r="S17" s="1218"/>
      <c r="T17" s="1223"/>
      <c r="U17" s="1224"/>
    </row>
    <row r="18" spans="1:21" x14ac:dyDescent="0.3">
      <c r="B18"/>
      <c r="C18"/>
      <c r="D18"/>
      <c r="E18"/>
      <c r="F18"/>
      <c r="G18"/>
      <c r="H18"/>
      <c r="I18"/>
      <c r="J18"/>
      <c r="K18"/>
      <c r="L18"/>
      <c r="M18" s="40" t="s">
        <v>800</v>
      </c>
      <c r="N18" s="41"/>
      <c r="O18" s="42"/>
      <c r="P18" s="1198"/>
      <c r="Q18" s="1195"/>
      <c r="R18" s="1219"/>
      <c r="S18" s="1220"/>
      <c r="T18" s="1225"/>
      <c r="U18" s="1226"/>
    </row>
    <row r="19" spans="1:21" ht="7.5" customHeight="1" x14ac:dyDescent="0.3"/>
    <row r="20" spans="1:21" x14ac:dyDescent="0.3">
      <c r="A20" s="40" t="s">
        <v>37</v>
      </c>
      <c r="B20" s="41"/>
      <c r="C20" s="41"/>
      <c r="D20" s="41"/>
      <c r="E20" s="41"/>
      <c r="F20" s="41"/>
      <c r="G20" s="41"/>
      <c r="H20" s="42"/>
      <c r="I20" s="1199">
        <f>RA_DEFERRED!I26</f>
        <v>20466686.730335645</v>
      </c>
      <c r="J20" s="1200"/>
      <c r="K20" s="1200"/>
      <c r="L20" s="1200"/>
      <c r="M20" s="1200"/>
      <c r="N20" s="1200"/>
      <c r="O20" s="1200"/>
      <c r="P20" s="1200"/>
      <c r="Q20" s="1200"/>
      <c r="R20" s="1200"/>
      <c r="S20" s="1200"/>
      <c r="T20" s="1200"/>
      <c r="U20" s="1201"/>
    </row>
    <row r="21" spans="1:21" x14ac:dyDescent="0.3">
      <c r="A21" s="40" t="s">
        <v>801</v>
      </c>
      <c r="B21" s="41"/>
      <c r="C21" s="43"/>
      <c r="D21" s="43"/>
      <c r="E21" s="43"/>
      <c r="F21" s="43"/>
      <c r="G21" s="43"/>
      <c r="H21" s="44"/>
      <c r="I21" s="1199">
        <f>RA_DEFERRED!I27</f>
        <v>0</v>
      </c>
      <c r="J21" s="1200"/>
      <c r="K21" s="1200"/>
      <c r="L21" s="1200"/>
      <c r="M21" s="1200"/>
      <c r="N21" s="1200"/>
      <c r="O21" s="1200"/>
      <c r="P21" s="1200"/>
      <c r="Q21" s="1200"/>
      <c r="R21" s="1200"/>
      <c r="S21" s="1200"/>
      <c r="T21" s="1200"/>
      <c r="U21" s="1201"/>
    </row>
    <row r="22" spans="1:21" x14ac:dyDescent="0.3">
      <c r="A22" s="52" t="s">
        <v>92</v>
      </c>
      <c r="B22" s="53"/>
      <c r="C22" s="54"/>
      <c r="D22" s="54"/>
      <c r="E22" s="54"/>
      <c r="F22" s="54"/>
      <c r="G22" s="54"/>
      <c r="H22" s="51"/>
      <c r="I22" s="1199">
        <f>RA_DEFERRED!I28</f>
        <v>20466686.730335645</v>
      </c>
      <c r="J22" s="1200"/>
      <c r="K22" s="1200"/>
      <c r="L22" s="1200"/>
      <c r="M22" s="1200"/>
      <c r="N22" s="1200"/>
      <c r="O22" s="1200"/>
      <c r="P22" s="1200"/>
      <c r="Q22" s="1200"/>
      <c r="R22" s="1200"/>
      <c r="S22" s="1200"/>
      <c r="T22" s="1200"/>
      <c r="U22" s="1201"/>
    </row>
    <row r="23" spans="1:21" x14ac:dyDescent="0.3">
      <c r="A23" s="40" t="s">
        <v>802</v>
      </c>
      <c r="B23" s="41"/>
      <c r="C23" s="43"/>
      <c r="D23" s="43"/>
      <c r="E23" s="43"/>
      <c r="F23" s="43"/>
      <c r="G23" s="43"/>
      <c r="H23" s="44"/>
      <c r="I23" s="1199">
        <f>RA_DEFERRED!I29</f>
        <v>2046668.6730335646</v>
      </c>
      <c r="J23" s="1200"/>
      <c r="K23" s="1200"/>
      <c r="L23" s="1200"/>
      <c r="M23" s="1200"/>
      <c r="N23" s="1200"/>
      <c r="O23" s="1200"/>
      <c r="P23" s="1200"/>
      <c r="Q23" s="1200"/>
      <c r="R23" s="1200"/>
      <c r="S23" s="1200"/>
      <c r="T23" s="1200"/>
      <c r="U23" s="1201"/>
    </row>
    <row r="24" spans="1:21" x14ac:dyDescent="0.3">
      <c r="A24" s="40" t="s">
        <v>803</v>
      </c>
      <c r="B24" s="41"/>
      <c r="C24" s="43"/>
      <c r="D24" s="43"/>
      <c r="E24" s="43"/>
      <c r="F24" s="43"/>
      <c r="G24" s="43"/>
      <c r="H24" s="44"/>
      <c r="I24" s="1199">
        <f>RA_DEFERRED!I30</f>
        <v>2456002.4076402774</v>
      </c>
      <c r="J24" s="1200"/>
      <c r="K24" s="1200"/>
      <c r="L24" s="1200"/>
      <c r="M24" s="1200"/>
      <c r="N24" s="1200"/>
      <c r="O24" s="1200"/>
      <c r="P24" s="1200"/>
      <c r="Q24" s="1200"/>
      <c r="R24" s="1200"/>
      <c r="S24" s="1200"/>
      <c r="T24" s="1200"/>
      <c r="U24" s="1201"/>
    </row>
    <row r="25" spans="1:21" x14ac:dyDescent="0.3">
      <c r="A25" s="40" t="s">
        <v>41</v>
      </c>
      <c r="B25" s="41"/>
      <c r="C25" s="43"/>
      <c r="D25" s="43"/>
      <c r="E25" s="43"/>
      <c r="F25" s="43"/>
      <c r="G25" s="43"/>
      <c r="H25" s="44"/>
      <c r="I25" s="1199">
        <f>RA_DEFERRED!I31</f>
        <v>24969357.811009489</v>
      </c>
      <c r="J25" s="1200"/>
      <c r="K25" s="1200"/>
      <c r="L25" s="1200"/>
      <c r="M25" s="1200"/>
      <c r="N25" s="1200"/>
      <c r="O25" s="1200"/>
      <c r="P25" s="1200"/>
      <c r="Q25" s="1200"/>
      <c r="R25" s="1200"/>
      <c r="S25" s="1200"/>
      <c r="T25" s="1200"/>
      <c r="U25" s="1201"/>
    </row>
    <row r="26" spans="1:21" ht="7.5" customHeight="1" x14ac:dyDescent="0.3"/>
    <row r="27" spans="1:21" x14ac:dyDescent="0.3">
      <c r="A27" s="18" t="s">
        <v>804</v>
      </c>
      <c r="B27" s="18"/>
      <c r="C27" s="18"/>
      <c r="D27" s="18"/>
      <c r="E27" s="18"/>
      <c r="F27" s="18"/>
      <c r="G27" s="1205" t="str">
        <f>IF(OR(LEN(FLOOR(P27,1))=13,FLOOR(P27,1)&lt;=0),"Out of range",PROPER(SUBSTITUTE(CONCATENATE(CHOOSE(MID(TEXT(INT(P27),REPT(0,12)),1,1)+1,"","one hundred ","two hundred ","three hundred ","four hundred ","five hundred ","six hundred ","seven hundred ","eight hundred ","nine hundred "),CHOOSE(MID(TEXT(INT(P27),REPT(0,12)),2,1)+1,"",CHOOSE(MID(TEXT(INT(P27),REPT(0,12)),3,1)+1,"ten","eleven","twelve","thirteen","fourteen","fifteen","sixteen","seventeen","eighteen","nineteen"),"twenty","thirty","forty","fifty","sixty","seventy","eighty","ninety"),IF(VALUE(MID(TEXT(INT(P27),REPT(0,12)),2,1))&gt;1,CHOOSE(MID(TEXT(INT(P27),REPT(0,12)),3,1)+1,"","-one","-two","-three","-four","-five","-six","-seven","-eight","-nine"),IF(VALUE(MID(TEXT(INT(P27),REPT(0,12)),2,1))=0,CHOOSE(MID(TEXT(INT(P27),REPT(0,12)),3,1)+1,"","one","two","three","four","five","six","seven","eight","nine"),"")),IF(P27&gt;=10^9," billion ",""),CHOOSE(MID(TEXT(INT(P27),REPT(0,12)),4,1)+1,"","one hundred ","two hundred ","three hundred ","four hundred ","five hundred ","six hundred ","seven hundred ","eight hundred ","nine hundred "),CHOOSE(MID(TEXT(INT(P27),REPT(0,12)),5,1)+1,"",CHOOSE(MID(TEXT(INT(P27),REPT(0,12)),6,1)+1,"ten","eleven","twelve","thirteen","fourteen","fifteen","sixteen","seventeen","eighteen","nineteen"),"twenty","thirty","forty","fifty","sixty","seventy","eighty","ninety"),IF(VALUE(MID(TEXT(INT(P27),REPT(0,12)),5,1))&gt;1,CHOOSE(MID(TEXT(INT(P27),REPT(0,12)),6,1)+1,"","-one","-two","-three","-four","-five","-six","-seven","-eight","-nine"),IF(VALUE(MID(TEXT(INT(P27),REPT(0,12)),5,1))=0,CHOOSE(MID(TEXT(INT(P27),REPT(0,12)),6,1)+1,"","one","two","three","four","five","six","seven","eight","nine"),"")),IF(VALUE(MID(TEXT(INT(P27),REPT(0,12)),4,3))&gt;0," million ",""),CHOOSE(MID(TEXT(INT(P27),REPT(0,12)),7,1)+1,"","one hundred ","two hundred ","three hundred ","four hundred ","five hundred ","six hundred ","seven hundred ","eight hundred ","nine hundred "),CHOOSE(MID(TEXT(INT(P27),REPT(0,12)),8,1)+1,"",CHOOSE(MID(TEXT(INT(P27),REPT(0,12)),9,1)+1,"ten","eleven","twelve","thirteen","fourteen","fifteen","sixteen","seventeen","eighteen","nineteen"),"twenty","thirty","forty","fifty","sixty","seventy","eighty","ninety"),IF(VALUE(MID(TEXT(INT(P27),REPT(0,12)),8,1))&gt;1,CHOOSE(MID(TEXT(INT(P27),REPT(0,12)),9,1)+1,"","-one","-two","-three","-four","-five","-six","-seven","-eight","-nine"),IF(VALUE(MID(TEXT(INT(P27),REPT(0,12)),8,1))=0,CHOOSE(MID(TEXT(INT(P27),REPT(0,12)),9,1)+1,"","one","two","three","four","five","six","seven","eight","nine"),"")),IF(VALUE(MID(TEXT(INT(P27),REPT(0,12)),7,3))," thousand ",""),CHOOSE(MID(TEXT(INT(P27),REPT(0,12)),10,1)+1,"","one hundred ","two hundred ","three hundred ","four hundred ","five hundred ","six hundred ","seven hundred ","eight hundred ","nine hundred "),CHOOSE(MID(TEXT(INT(P27),REPT(0,12)),11,1)+1,"",CHOOSE(MID(TEXT(INT(P27),REPT(0,12)),12,1)+1,"ten","eleven","twelve","thirteen","fourteen","fifteen","sixteen","seventeen","eighteen","nineteen"),"twenty","thirty","forty","fifty","sixty","seventy","eighty","ninety"),IF(VALUE(MID(TEXT(INT(P27),REPT(0,12)),11,1))&gt;1,CHOOSE(MID(TEXT(INT(P27),REPT(0,12)),12,1)+1,"","-one","-two","-three","-four","-five","-six","-seven","-eight","-nine"),IF(VALUE(MID(TEXT(INT(P27),REPT(0,12)),11,1))=0,CHOOSE(MID(TEXT(INT(P27),REPT(0,12)),12,1)+1,"","one","two","three","four","five","six","seven","eight","nine"),""))),"  "," ")&amp;IF(FLOOR(P27,1)&gt;1," PESOS"," dollar"))&amp;IF(ISERROR(FIND(".",P27,1)),""," and "&amp;PROPER(IF(LEN(LEFT(TRIM(MID(SUBSTITUTE([22]Sheet1!A2,".",REPT(" ",255)),255,200)),2))=1,CHOOSE(1*LEFT(TRIM(MID(SUBSTITUTE([22]Sheet1!A2,".",REPT(" ",255)),255,200)),2),"ten","twenty","thirty","forty","fifty","sixty","seventy","eighty","ninety")&amp;" cents","")&amp;CONCATENATE(CHOOSE(MID(TEXT(INT(LEFT(TRIM(MID(SUBSTITUTE([22]Sheet1!A2,".",REPT(" ",255)),255,200)),2)),REPT(0,12)),11,1)+1,"",CHOOSE(MID(TEXT(INT(LEFT(TRIM(MID(SUBSTITUTE([22]Sheet1!A2,".",REPT(" ",255)),255,200)),2)),REPT(0,12)),12,1)+1,"ten","eleven","twelve","thirteen","fourteen","fifteen","sixteen","seventeen","eighteen","nineteen")&amp;" cents","twenty","thirty","forty","fifty","sixty","seventy","eighty","ninety"),IF(VALUE(MID(TEXT(INT(LEFT(TRIM(MID(SUBSTITUTE([22]Sheet1!A2,".",REPT(" ",255)),255,200)),2)),REPT(0,12)),11,1))&gt;1,CHOOSE(MID(TEXT(INT(LEFT(TRIM(MID(SUBSTITUTE([22]Sheet1!A2,".",REPT(" ",255)),255,200)),2)),REPT(0,12)),12,1)+1,"","-one","-two","-three","-four","-five","-six","-seven","-eight","-nine")&amp;" cents",IF(LEFT(TRIM(MID(SUBSTITUTE([22]Sheet1!A2,".",REPT(" ",255)),255,200)),2)="01","one cent",IF(LEFT(TRIM(MID(SUBSTITUTE([22]Sheet1!A2,".",REPT(" ",255)),255,200)),1)="0",CHOOSE(MID(TEXT(INT(LEFT(TRIM(MID(SUBSTITUTE([22]Sheet1!A2,".",REPT(" ",255)),255,200)),2)),REPT(0,12)),12,1)+1,"","one","two","three","four","five","six","seven","eight","nine")&amp;" cents","")))))))</f>
        <v>Fifty Thousand  Pesos</v>
      </c>
      <c r="H27" s="1205"/>
      <c r="I27" s="1205"/>
      <c r="J27" s="1205"/>
      <c r="K27" s="1205"/>
      <c r="L27" s="1205"/>
      <c r="M27" s="1205"/>
      <c r="N27" s="18"/>
      <c r="O27" s="701" t="s">
        <v>805</v>
      </c>
      <c r="P27" s="1205">
        <f>FORM!G24</f>
        <v>50000</v>
      </c>
      <c r="Q27" s="1205"/>
      <c r="R27" s="1205"/>
      <c r="S27" s="18" t="s">
        <v>806</v>
      </c>
      <c r="T27" s="18"/>
      <c r="U27" s="18"/>
    </row>
    <row r="28" spans="1:21" ht="7.5" customHeight="1" x14ac:dyDescent="0.3">
      <c r="A28" s="77"/>
      <c r="B28" s="78"/>
      <c r="C28" s="78"/>
      <c r="D28" s="78"/>
      <c r="E28" s="78"/>
      <c r="F28" s="78"/>
      <c r="G28" s="78"/>
      <c r="H28" s="78"/>
      <c r="I28" s="78"/>
      <c r="J28" s="78"/>
      <c r="K28" s="78"/>
      <c r="L28" s="78"/>
      <c r="M28" s="78"/>
      <c r="N28" s="78"/>
      <c r="O28" s="84"/>
      <c r="P28" s="84"/>
      <c r="Q28" s="84"/>
      <c r="R28" s="84"/>
      <c r="S28" s="61"/>
      <c r="T28" s="85"/>
      <c r="U28" s="61"/>
    </row>
    <row r="29" spans="1:21" ht="13.5" customHeight="1" x14ac:dyDescent="0.3">
      <c r="A29" s="18" t="s">
        <v>807</v>
      </c>
      <c r="B29" s="78"/>
      <c r="C29" s="78"/>
      <c r="D29" s="78"/>
      <c r="E29" s="78"/>
      <c r="F29" s="78"/>
      <c r="G29" s="78"/>
      <c r="H29" s="78"/>
      <c r="I29" s="78"/>
      <c r="J29" s="78"/>
      <c r="K29" s="78"/>
      <c r="L29" s="78"/>
      <c r="M29" s="78"/>
      <c r="N29" s="78"/>
      <c r="O29" s="84"/>
      <c r="P29" s="84"/>
      <c r="Q29" s="84"/>
      <c r="R29" s="84"/>
      <c r="S29" s="61"/>
      <c r="T29" s="85"/>
      <c r="U29" s="61"/>
    </row>
    <row r="30" spans="1:21" ht="13.5" customHeight="1" x14ac:dyDescent="0.3">
      <c r="A30" s="702" t="s">
        <v>808</v>
      </c>
      <c r="B30" s="78"/>
      <c r="C30" s="78"/>
      <c r="D30" s="78"/>
      <c r="E30" s="78"/>
      <c r="F30" s="78"/>
      <c r="G30" s="78"/>
      <c r="H30" s="78"/>
      <c r="I30" s="78"/>
      <c r="J30" s="78"/>
      <c r="K30" s="78"/>
      <c r="L30" s="78"/>
      <c r="M30" s="78"/>
      <c r="N30" s="78"/>
      <c r="O30" s="84"/>
      <c r="P30" s="84"/>
      <c r="Q30" s="84"/>
      <c r="R30" s="84"/>
      <c r="S30" s="61"/>
      <c r="T30" s="85"/>
      <c r="U30" s="61"/>
    </row>
    <row r="31" spans="1:21" ht="13.5" customHeight="1" x14ac:dyDescent="0.3">
      <c r="A31" s="702" t="s">
        <v>809</v>
      </c>
      <c r="B31" s="78"/>
      <c r="C31" s="78"/>
      <c r="D31" s="78"/>
      <c r="E31" s="78"/>
      <c r="F31" s="78"/>
      <c r="G31" s="78"/>
      <c r="H31" s="78"/>
      <c r="I31" s="78"/>
      <c r="J31" s="78"/>
      <c r="K31" s="78"/>
      <c r="L31" s="78"/>
      <c r="M31" s="78"/>
      <c r="N31" s="78"/>
      <c r="O31" s="84"/>
      <c r="P31" s="84"/>
      <c r="Q31" s="84"/>
      <c r="R31" s="84"/>
      <c r="S31" s="61"/>
      <c r="T31" s="85"/>
      <c r="U31" s="61"/>
    </row>
    <row r="32" spans="1:21" ht="7.5" customHeight="1" x14ac:dyDescent="0.3">
      <c r="A32" s="77"/>
      <c r="B32" s="78"/>
      <c r="C32" s="78"/>
      <c r="D32" s="78"/>
      <c r="E32" s="78"/>
      <c r="F32" s="78"/>
      <c r="G32" s="78"/>
      <c r="H32" s="78"/>
      <c r="I32" s="78"/>
      <c r="J32" s="78"/>
      <c r="K32" s="78"/>
      <c r="L32" s="78"/>
      <c r="M32" s="78"/>
      <c r="N32" s="78"/>
      <c r="O32" s="84"/>
      <c r="P32" s="84"/>
      <c r="Q32" s="84"/>
      <c r="R32" s="84"/>
      <c r="S32" s="61"/>
      <c r="T32" s="85"/>
      <c r="U32" s="61"/>
    </row>
    <row r="33" spans="1:21" ht="13.5" customHeight="1" x14ac:dyDescent="0.3">
      <c r="A33" s="701" t="s">
        <v>810</v>
      </c>
      <c r="B33" s="78"/>
      <c r="C33" s="78"/>
      <c r="D33" s="78"/>
      <c r="E33" s="78"/>
      <c r="F33" s="78"/>
      <c r="G33" s="78"/>
      <c r="H33" s="78"/>
      <c r="I33" s="78"/>
      <c r="J33" s="78"/>
      <c r="K33" s="78"/>
      <c r="L33" s="78"/>
      <c r="M33" s="78"/>
      <c r="N33" s="78"/>
      <c r="O33" s="84"/>
      <c r="P33" s="84"/>
      <c r="Q33" s="84"/>
      <c r="R33" s="84"/>
      <c r="S33" s="61"/>
      <c r="T33" s="85"/>
      <c r="U33" s="61"/>
    </row>
    <row r="34" spans="1:21" ht="13.5" customHeight="1" x14ac:dyDescent="0.3">
      <c r="A34" s="701" t="s">
        <v>811</v>
      </c>
      <c r="B34" s="78"/>
      <c r="C34" s="78"/>
      <c r="D34" s="78"/>
      <c r="E34" s="78"/>
      <c r="F34" s="78"/>
      <c r="G34" s="78"/>
      <c r="H34" s="78"/>
      <c r="I34" s="78"/>
      <c r="J34" s="78"/>
      <c r="K34" s="78"/>
      <c r="L34" s="78"/>
      <c r="M34" s="78"/>
      <c r="N34" s="78"/>
      <c r="O34" s="84"/>
      <c r="P34" s="84"/>
      <c r="Q34" s="84"/>
      <c r="R34" s="84"/>
      <c r="S34" s="61"/>
      <c r="T34" s="85"/>
      <c r="U34" s="61"/>
    </row>
    <row r="35" spans="1:21" ht="7.5" customHeight="1" x14ac:dyDescent="0.3">
      <c r="A35" s="77"/>
      <c r="B35" s="78"/>
      <c r="C35" s="78"/>
      <c r="D35" s="78"/>
      <c r="E35" s="78"/>
      <c r="F35" s="78"/>
      <c r="G35" s="78"/>
      <c r="H35" s="78"/>
      <c r="I35" s="78"/>
      <c r="J35" s="78"/>
      <c r="K35" s="78"/>
      <c r="L35" s="78"/>
      <c r="M35" s="78"/>
      <c r="N35" s="78"/>
      <c r="O35" s="84"/>
      <c r="P35" s="84"/>
      <c r="Q35" s="84"/>
      <c r="R35" s="84"/>
      <c r="S35" s="61"/>
      <c r="T35" s="85"/>
      <c r="U35" s="61"/>
    </row>
    <row r="36" spans="1:21" ht="13.5" customHeight="1" x14ac:dyDescent="0.3">
      <c r="A36" s="702" t="s">
        <v>812</v>
      </c>
      <c r="B36" s="78"/>
      <c r="C36" s="78"/>
      <c r="D36" s="78"/>
      <c r="E36" s="78"/>
      <c r="F36" s="78"/>
      <c r="G36" s="78"/>
      <c r="H36" s="78"/>
      <c r="I36" s="78"/>
      <c r="J36" s="78"/>
      <c r="K36" s="78"/>
      <c r="L36" s="78"/>
      <c r="M36" s="78"/>
      <c r="N36" s="78"/>
      <c r="O36" s="84"/>
      <c r="P36" s="84"/>
      <c r="Q36" s="84"/>
      <c r="R36" s="84"/>
      <c r="S36" s="61"/>
      <c r="T36" s="85"/>
      <c r="U36" s="61"/>
    </row>
    <row r="37" spans="1:21" ht="7.5" customHeight="1" x14ac:dyDescent="0.3">
      <c r="A37" s="77"/>
      <c r="B37" s="78"/>
      <c r="C37" s="78"/>
      <c r="D37" s="78"/>
      <c r="E37" s="78"/>
      <c r="F37" s="78"/>
      <c r="G37" s="78"/>
      <c r="H37" s="78"/>
      <c r="I37" s="78"/>
      <c r="J37" s="78"/>
      <c r="K37" s="78"/>
      <c r="L37" s="78"/>
      <c r="M37" s="78"/>
      <c r="N37" s="78"/>
      <c r="O37" s="84"/>
      <c r="P37" s="84"/>
      <c r="Q37" s="84"/>
      <c r="R37" s="84"/>
      <c r="S37" s="61"/>
      <c r="T37" s="85"/>
      <c r="U37" s="61"/>
    </row>
    <row r="38" spans="1:21" ht="13.5" customHeight="1" x14ac:dyDescent="0.3">
      <c r="A38" s="701" t="s">
        <v>813</v>
      </c>
      <c r="B38" s="78"/>
      <c r="C38" s="78"/>
      <c r="D38" s="78"/>
      <c r="E38" s="78"/>
      <c r="F38" s="78"/>
      <c r="G38" s="78"/>
      <c r="H38" s="78"/>
      <c r="I38" s="78"/>
      <c r="J38" s="78"/>
      <c r="K38" s="78"/>
      <c r="L38" s="78"/>
      <c r="M38" s="78"/>
      <c r="N38" s="78"/>
      <c r="O38" s="84"/>
      <c r="P38" s="84"/>
      <c r="Q38" s="84"/>
      <c r="R38" s="84"/>
      <c r="S38" s="61"/>
      <c r="T38" s="85"/>
      <c r="U38" s="61"/>
    </row>
    <row r="39" spans="1:21" ht="13.5" customHeight="1" x14ac:dyDescent="0.3">
      <c r="A39" s="703" t="s">
        <v>814</v>
      </c>
      <c r="B39" s="78"/>
      <c r="C39" s="78"/>
      <c r="D39" s="78"/>
      <c r="E39" s="78"/>
      <c r="F39" s="78"/>
      <c r="G39" s="78"/>
      <c r="H39" s="78"/>
      <c r="I39" s="78"/>
      <c r="J39" s="78"/>
      <c r="K39" s="78"/>
      <c r="L39" s="78"/>
      <c r="M39" s="78"/>
      <c r="N39" s="78"/>
      <c r="O39" s="84"/>
      <c r="P39" s="84"/>
      <c r="Q39" s="84"/>
      <c r="R39" s="84"/>
      <c r="S39" s="61"/>
      <c r="T39" s="85"/>
      <c r="U39" s="61"/>
    </row>
    <row r="40" spans="1:21" ht="13.5" customHeight="1" x14ac:dyDescent="0.3">
      <c r="A40" s="703" t="s">
        <v>815</v>
      </c>
      <c r="B40" s="78"/>
      <c r="C40" s="78"/>
      <c r="D40" s="78"/>
      <c r="E40" s="78"/>
      <c r="F40" s="78"/>
      <c r="G40" s="78"/>
      <c r="H40" s="78"/>
      <c r="I40" s="78"/>
      <c r="J40" s="78"/>
      <c r="K40" s="78"/>
      <c r="L40" s="78"/>
      <c r="M40" s="78"/>
      <c r="N40" s="78"/>
      <c r="O40" s="84"/>
      <c r="P40" s="84"/>
      <c r="Q40" s="84"/>
      <c r="R40" s="84"/>
      <c r="S40" s="61"/>
      <c r="T40" s="85"/>
      <c r="U40" s="61"/>
    </row>
    <row r="41" spans="1:21" ht="13.5" customHeight="1" x14ac:dyDescent="0.3">
      <c r="A41" s="77"/>
      <c r="B41" s="78"/>
      <c r="C41" s="78"/>
      <c r="D41" s="78"/>
      <c r="E41" s="78"/>
      <c r="F41" s="78"/>
      <c r="G41" s="78"/>
      <c r="H41" s="78"/>
      <c r="I41" s="78"/>
      <c r="J41" s="78"/>
      <c r="K41" s="78"/>
      <c r="L41" s="78"/>
      <c r="M41" s="78"/>
      <c r="N41" s="78"/>
      <c r="O41" s="84"/>
      <c r="P41" s="84"/>
      <c r="Q41" s="84"/>
      <c r="R41" s="84"/>
      <c r="S41" s="61"/>
      <c r="T41" s="85"/>
      <c r="U41" s="61"/>
    </row>
    <row r="42" spans="1:21" ht="13.5" customHeight="1" x14ac:dyDescent="0.3">
      <c r="A42" s="702" t="s">
        <v>816</v>
      </c>
      <c r="B42" s="78"/>
      <c r="C42" s="78"/>
      <c r="D42" s="78"/>
      <c r="E42" s="78"/>
      <c r="F42" s="78"/>
      <c r="G42" s="78"/>
      <c r="H42" s="78"/>
      <c r="I42" s="78"/>
      <c r="J42" s="78"/>
      <c r="K42" s="78"/>
      <c r="L42" s="78"/>
      <c r="M42" s="78"/>
      <c r="N42" s="78"/>
      <c r="O42" s="84"/>
      <c r="P42" s="84"/>
      <c r="Q42" s="84"/>
      <c r="R42" s="84"/>
      <c r="S42" s="61"/>
      <c r="T42" s="85"/>
      <c r="U42" s="61"/>
    </row>
    <row r="43" spans="1:21" ht="13.5" customHeight="1" x14ac:dyDescent="0.3">
      <c r="A43" s="77"/>
      <c r="B43" s="78"/>
      <c r="C43" s="78"/>
      <c r="D43" s="78"/>
      <c r="E43" s="78"/>
      <c r="F43" s="78"/>
      <c r="G43" s="78"/>
      <c r="H43" s="78"/>
      <c r="I43" s="78"/>
      <c r="J43" s="78"/>
      <c r="K43" s="78"/>
      <c r="L43" s="78"/>
      <c r="M43" s="78"/>
      <c r="N43" s="78"/>
      <c r="O43" s="84"/>
      <c r="P43" s="84"/>
      <c r="Q43" s="84"/>
      <c r="R43" s="84"/>
      <c r="S43" s="61"/>
      <c r="T43" s="85"/>
      <c r="U43" s="61"/>
    </row>
    <row r="44" spans="1:21" ht="13.5" customHeight="1" x14ac:dyDescent="0.3">
      <c r="A44" s="704"/>
      <c r="B44" s="705"/>
      <c r="C44" s="705"/>
      <c r="D44" s="1191" t="s">
        <v>817</v>
      </c>
      <c r="E44" s="1191"/>
      <c r="F44" s="1191"/>
      <c r="G44" s="1191"/>
      <c r="H44" s="1191"/>
      <c r="I44" s="1191"/>
      <c r="J44" s="705"/>
      <c r="K44" s="705"/>
      <c r="L44" s="705"/>
      <c r="M44" s="705"/>
      <c r="N44" s="705"/>
      <c r="O44" s="706"/>
      <c r="P44" s="706"/>
      <c r="Q44" s="1192" t="s">
        <v>774</v>
      </c>
      <c r="R44" s="1192"/>
      <c r="S44" s="1192"/>
      <c r="T44" s="707"/>
      <c r="U44" s="61"/>
    </row>
    <row r="45" spans="1:21" ht="13.5" customHeight="1" x14ac:dyDescent="0.3">
      <c r="A45" s="704"/>
      <c r="B45" s="705"/>
      <c r="C45" s="705"/>
      <c r="D45" s="705"/>
      <c r="E45" s="705"/>
      <c r="F45" s="705"/>
      <c r="G45" s="705"/>
      <c r="H45" s="705"/>
      <c r="I45" s="705"/>
      <c r="J45" s="705"/>
      <c r="K45" s="705"/>
      <c r="L45" s="705"/>
      <c r="M45" s="705"/>
      <c r="N45" s="705"/>
      <c r="O45" s="706"/>
      <c r="P45" s="706"/>
      <c r="Q45" s="706"/>
      <c r="R45" s="706"/>
      <c r="S45" s="708"/>
      <c r="T45" s="707"/>
      <c r="U45" s="61"/>
    </row>
    <row r="46" spans="1:21" ht="13.5" customHeight="1" x14ac:dyDescent="0.3">
      <c r="A46" s="704"/>
      <c r="B46" s="705"/>
      <c r="C46" s="705"/>
      <c r="D46" s="705"/>
      <c r="E46" s="705"/>
      <c r="F46" s="705"/>
      <c r="G46" s="705"/>
      <c r="H46" s="705"/>
      <c r="I46" s="705"/>
      <c r="J46" s="705"/>
      <c r="K46" s="705"/>
      <c r="L46" s="705"/>
      <c r="M46" s="705"/>
      <c r="N46" s="705"/>
      <c r="O46" s="706"/>
      <c r="P46" s="706"/>
      <c r="Q46" s="706"/>
      <c r="R46" s="706"/>
      <c r="S46" s="708"/>
      <c r="T46" s="707"/>
      <c r="U46" s="61"/>
    </row>
    <row r="47" spans="1:21" ht="13.5" customHeight="1" x14ac:dyDescent="0.3">
      <c r="A47" s="704"/>
      <c r="B47" s="705"/>
      <c r="C47" s="705"/>
      <c r="D47" s="705"/>
      <c r="E47" s="705"/>
      <c r="F47" s="705"/>
      <c r="G47" s="705"/>
      <c r="H47" s="705"/>
      <c r="I47" s="705"/>
      <c r="J47" s="705"/>
      <c r="K47" s="705"/>
      <c r="L47" s="705"/>
      <c r="M47" s="705"/>
      <c r="N47" s="705"/>
      <c r="O47" s="706"/>
      <c r="P47" s="706"/>
      <c r="Q47" s="706"/>
      <c r="R47" s="706"/>
      <c r="S47" s="708"/>
      <c r="T47" s="707"/>
      <c r="U47" s="61"/>
    </row>
    <row r="48" spans="1:21" x14ac:dyDescent="0.3">
      <c r="A48" s="50"/>
      <c r="B48" s="50"/>
      <c r="C48" s="50"/>
      <c r="D48" s="1188">
        <f>FORM!G30</f>
        <v>0</v>
      </c>
      <c r="E48" s="1188"/>
      <c r="F48" s="1188"/>
      <c r="G48" s="1188"/>
      <c r="H48" s="1188"/>
      <c r="I48" s="1188"/>
      <c r="J48" s="50"/>
      <c r="K48" s="50"/>
      <c r="L48" s="50"/>
      <c r="M48" s="50"/>
      <c r="N48" s="50"/>
      <c r="O48" s="50"/>
      <c r="P48" s="50"/>
      <c r="Q48" s="1188" t="str">
        <f>FORM!G32</f>
        <v>Seller</v>
      </c>
      <c r="R48" s="1188"/>
      <c r="S48" s="1188"/>
      <c r="T48" s="50"/>
      <c r="U48" s="50"/>
    </row>
    <row r="49" spans="1:21" x14ac:dyDescent="0.3">
      <c r="A49" s="50"/>
      <c r="B49" s="50"/>
      <c r="C49" s="50"/>
      <c r="D49" s="1189" t="s">
        <v>818</v>
      </c>
      <c r="E49" s="1189"/>
      <c r="F49" s="1189"/>
      <c r="G49" s="1189"/>
      <c r="H49" s="1189"/>
      <c r="I49" s="1189"/>
      <c r="J49" s="50"/>
      <c r="K49" s="50"/>
      <c r="L49" s="50"/>
      <c r="M49" s="50"/>
      <c r="N49" s="50"/>
      <c r="O49" s="50"/>
      <c r="P49" s="50"/>
      <c r="Q49" s="1189" t="s">
        <v>818</v>
      </c>
      <c r="R49" s="1189"/>
      <c r="S49" s="1189"/>
      <c r="T49" s="50"/>
      <c r="U49" s="50"/>
    </row>
    <row r="50" spans="1:21" x14ac:dyDescent="0.3">
      <c r="A50" s="50"/>
      <c r="B50" s="50"/>
      <c r="C50" s="50"/>
      <c r="D50" s="1190" t="s">
        <v>819</v>
      </c>
      <c r="E50" s="1190"/>
      <c r="F50" s="1190"/>
      <c r="G50" s="1190"/>
      <c r="H50" s="1190"/>
      <c r="I50" s="1190"/>
      <c r="J50" s="50"/>
      <c r="K50" s="50"/>
      <c r="L50" s="50"/>
      <c r="M50" s="50"/>
      <c r="N50" s="50"/>
      <c r="O50" s="50"/>
      <c r="P50" s="50"/>
      <c r="Q50" s="1190" t="s">
        <v>820</v>
      </c>
      <c r="R50" s="1190"/>
      <c r="S50" s="1190"/>
      <c r="T50" s="50"/>
      <c r="U50" s="50"/>
    </row>
    <row r="51" spans="1:21" x14ac:dyDescent="0.3">
      <c r="A51" s="50"/>
      <c r="B51" s="50"/>
      <c r="C51" s="50"/>
      <c r="D51" s="50"/>
      <c r="E51" s="50"/>
      <c r="F51" s="50"/>
      <c r="G51" s="50"/>
      <c r="H51" s="50"/>
      <c r="I51" s="50"/>
      <c r="J51" s="50"/>
      <c r="K51" s="50"/>
      <c r="L51" s="50"/>
      <c r="M51" s="50"/>
      <c r="N51" s="50"/>
      <c r="O51" s="50"/>
      <c r="P51" s="50"/>
      <c r="Q51" s="50"/>
      <c r="R51" s="50"/>
      <c r="S51" s="50"/>
      <c r="T51" s="50"/>
      <c r="U51" s="50"/>
    </row>
    <row r="53" spans="1:21" x14ac:dyDescent="0.3">
      <c r="A53" s="1183" t="s">
        <v>821</v>
      </c>
      <c r="B53" s="1184"/>
      <c r="C53" s="1184"/>
      <c r="D53" s="1184"/>
      <c r="E53" s="1184"/>
      <c r="F53" s="1184"/>
      <c r="G53" s="1184"/>
      <c r="H53" s="1184"/>
      <c r="I53" s="1184"/>
      <c r="J53" s="1184"/>
      <c r="K53" s="1184"/>
      <c r="L53" s="1184"/>
      <c r="M53" s="1184"/>
      <c r="N53" s="1184"/>
      <c r="O53" s="1184"/>
      <c r="P53" s="1184"/>
      <c r="Q53" s="1184"/>
      <c r="R53" s="1184"/>
      <c r="S53" s="1184"/>
      <c r="T53" s="1184"/>
      <c r="U53" s="1185"/>
    </row>
    <row r="54" spans="1:21" x14ac:dyDescent="0.3">
      <c r="A54" s="1186" t="s">
        <v>822</v>
      </c>
      <c r="B54" s="1186"/>
      <c r="C54" s="1186"/>
      <c r="D54" s="1186"/>
      <c r="E54" s="1186"/>
      <c r="F54" s="1186"/>
      <c r="G54" s="1186"/>
      <c r="H54" s="1186"/>
      <c r="I54" s="1186" t="s">
        <v>823</v>
      </c>
      <c r="J54" s="1186"/>
      <c r="K54" s="1186"/>
      <c r="L54" s="1186"/>
      <c r="M54" s="1186"/>
      <c r="N54" s="1186"/>
      <c r="O54" s="1186"/>
      <c r="P54" s="1187" t="s">
        <v>824</v>
      </c>
      <c r="Q54" s="1187"/>
      <c r="R54" s="1187"/>
      <c r="S54" s="1187"/>
      <c r="T54" s="1187"/>
      <c r="U54" s="1187"/>
    </row>
    <row r="55" spans="1:21" x14ac:dyDescent="0.3">
      <c r="A55" s="1182" t="s">
        <v>825</v>
      </c>
      <c r="B55" s="1182"/>
      <c r="C55" s="1182"/>
      <c r="D55" s="1182"/>
      <c r="E55" s="1182"/>
      <c r="F55" s="1182"/>
      <c r="G55" s="1182"/>
      <c r="H55" s="1182"/>
      <c r="I55" s="1182">
        <f>FORM!J47</f>
        <v>0</v>
      </c>
      <c r="J55" s="1182"/>
      <c r="K55" s="1182"/>
      <c r="L55" s="1182"/>
      <c r="M55" s="1182"/>
      <c r="N55" s="1182"/>
      <c r="O55" s="1182"/>
      <c r="P55" s="1182">
        <f>FORM!Q47</f>
        <v>0</v>
      </c>
      <c r="Q55" s="1182"/>
      <c r="R55" s="1182"/>
      <c r="S55" s="1182"/>
      <c r="T55" s="1182"/>
      <c r="U55" s="1182"/>
    </row>
    <row r="56" spans="1:21" x14ac:dyDescent="0.3">
      <c r="A56" s="1182" t="s">
        <v>826</v>
      </c>
      <c r="B56" s="1182"/>
      <c r="C56" s="1182"/>
      <c r="D56" s="1182"/>
      <c r="E56" s="1182"/>
      <c r="F56" s="1182"/>
      <c r="G56" s="1182"/>
      <c r="H56" s="1182"/>
      <c r="I56" s="1182">
        <f>FORM!J48</f>
        <v>0</v>
      </c>
      <c r="J56" s="1182"/>
      <c r="K56" s="1182"/>
      <c r="L56" s="1182"/>
      <c r="M56" s="1182"/>
      <c r="N56" s="1182"/>
      <c r="O56" s="1182"/>
      <c r="P56" s="1182">
        <f>FORM!Q48</f>
        <v>0</v>
      </c>
      <c r="Q56" s="1182"/>
      <c r="R56" s="1182"/>
      <c r="S56" s="1182"/>
      <c r="T56" s="1182"/>
      <c r="U56" s="1182"/>
    </row>
    <row r="57" spans="1:21" x14ac:dyDescent="0.3">
      <c r="A57" s="1182" t="s">
        <v>827</v>
      </c>
      <c r="B57" s="1182"/>
      <c r="C57" s="1182"/>
      <c r="D57" s="1182"/>
      <c r="E57" s="1182"/>
      <c r="F57" s="1182"/>
      <c r="G57" s="1182"/>
      <c r="H57" s="1182"/>
      <c r="I57" s="1182">
        <f>FORM!J49</f>
        <v>0</v>
      </c>
      <c r="J57" s="1182"/>
      <c r="K57" s="1182"/>
      <c r="L57" s="1182"/>
      <c r="M57" s="1182"/>
      <c r="N57" s="1182"/>
      <c r="O57" s="1182"/>
      <c r="P57" s="1182">
        <f>FORM!Q49</f>
        <v>0</v>
      </c>
      <c r="Q57" s="1182"/>
      <c r="R57" s="1182"/>
      <c r="S57" s="1182"/>
      <c r="T57" s="1182"/>
      <c r="U57" s="1182"/>
    </row>
    <row r="58" spans="1:21" x14ac:dyDescent="0.3">
      <c r="A58" s="1182" t="s">
        <v>828</v>
      </c>
      <c r="B58" s="1182"/>
      <c r="C58" s="1182"/>
      <c r="D58" s="1182"/>
      <c r="E58" s="1182"/>
      <c r="F58" s="1182"/>
      <c r="G58" s="1182"/>
      <c r="H58" s="1182"/>
      <c r="I58" s="1182">
        <f>FORM!J50</f>
        <v>0</v>
      </c>
      <c r="J58" s="1182"/>
      <c r="K58" s="1182"/>
      <c r="L58" s="1182"/>
      <c r="M58" s="1182"/>
      <c r="N58" s="1182"/>
      <c r="O58" s="1182"/>
      <c r="P58" s="1182">
        <f>FORM!Q50</f>
        <v>0</v>
      </c>
      <c r="Q58" s="1182"/>
      <c r="R58" s="1182"/>
      <c r="S58" s="1182"/>
      <c r="T58" s="1182"/>
      <c r="U58" s="1182"/>
    </row>
    <row r="60" spans="1:21" x14ac:dyDescent="0.3">
      <c r="A60"/>
      <c r="B60"/>
      <c r="C60"/>
      <c r="D60"/>
      <c r="E60"/>
      <c r="F60"/>
      <c r="G60"/>
      <c r="H60"/>
      <c r="I60"/>
      <c r="J60"/>
      <c r="K60"/>
      <c r="L60"/>
      <c r="M60"/>
      <c r="N60"/>
      <c r="O60"/>
      <c r="P60"/>
      <c r="Q60"/>
      <c r="R60"/>
      <c r="S60"/>
      <c r="T60"/>
      <c r="U60"/>
    </row>
    <row r="68" spans="1:21" x14ac:dyDescent="0.3">
      <c r="A68"/>
      <c r="B68"/>
      <c r="C68"/>
      <c r="D68"/>
      <c r="E68"/>
      <c r="F68"/>
      <c r="G68"/>
      <c r="H68"/>
      <c r="I68"/>
      <c r="J68"/>
      <c r="K68"/>
      <c r="L68"/>
      <c r="M68"/>
      <c r="N68"/>
      <c r="O68"/>
      <c r="P68"/>
      <c r="Q68"/>
      <c r="R68"/>
      <c r="S68"/>
      <c r="T68"/>
      <c r="U68"/>
    </row>
    <row r="69" spans="1:21" x14ac:dyDescent="0.3">
      <c r="A69"/>
      <c r="B69"/>
      <c r="C69"/>
      <c r="D69"/>
      <c r="E69"/>
      <c r="F69"/>
      <c r="G69"/>
      <c r="H69"/>
      <c r="I69"/>
      <c r="J69"/>
      <c r="K69"/>
      <c r="L69"/>
      <c r="M69"/>
      <c r="N69"/>
      <c r="O69"/>
      <c r="P69"/>
      <c r="Q69"/>
      <c r="R69"/>
      <c r="S69"/>
      <c r="T69"/>
      <c r="U69"/>
    </row>
    <row r="70" spans="1:21" ht="25.5" customHeight="1" x14ac:dyDescent="0.3">
      <c r="A70"/>
      <c r="B70"/>
      <c r="C70"/>
      <c r="D70"/>
      <c r="E70"/>
      <c r="F70"/>
      <c r="G70"/>
      <c r="H70"/>
      <c r="I70"/>
      <c r="J70"/>
      <c r="K70"/>
      <c r="L70"/>
      <c r="M70"/>
      <c r="N70"/>
      <c r="O70"/>
      <c r="P70"/>
      <c r="Q70"/>
      <c r="R70"/>
      <c r="S70"/>
      <c r="T70"/>
      <c r="U70"/>
    </row>
    <row r="71" spans="1:21" x14ac:dyDescent="0.3">
      <c r="A71"/>
      <c r="B71"/>
      <c r="C71"/>
      <c r="D71"/>
      <c r="E71"/>
      <c r="F71"/>
      <c r="G71"/>
      <c r="H71"/>
      <c r="I71"/>
      <c r="J71"/>
      <c r="K71"/>
      <c r="L71"/>
      <c r="M71"/>
      <c r="N71"/>
      <c r="O71"/>
      <c r="P71"/>
      <c r="Q71"/>
      <c r="R71"/>
      <c r="S71"/>
      <c r="T71"/>
      <c r="U71"/>
    </row>
    <row r="72" spans="1:21" x14ac:dyDescent="0.3">
      <c r="A72"/>
      <c r="B72"/>
      <c r="C72"/>
      <c r="D72"/>
      <c r="E72"/>
      <c r="F72"/>
      <c r="G72"/>
      <c r="H72"/>
      <c r="I72"/>
      <c r="J72"/>
      <c r="K72"/>
      <c r="L72"/>
      <c r="M72"/>
      <c r="N72"/>
      <c r="O72"/>
      <c r="P72"/>
      <c r="Q72"/>
      <c r="R72"/>
      <c r="S72"/>
      <c r="T72"/>
      <c r="U72"/>
    </row>
    <row r="73" spans="1:21" x14ac:dyDescent="0.3">
      <c r="A73"/>
      <c r="B73"/>
      <c r="C73"/>
      <c r="D73"/>
      <c r="E73"/>
      <c r="F73"/>
      <c r="G73"/>
      <c r="H73"/>
      <c r="I73"/>
      <c r="J73"/>
      <c r="K73"/>
      <c r="L73"/>
      <c r="M73"/>
      <c r="N73"/>
      <c r="O73"/>
      <c r="P73"/>
      <c r="Q73"/>
      <c r="R73"/>
      <c r="S73"/>
      <c r="T73"/>
      <c r="U73"/>
    </row>
    <row r="74" spans="1:21" ht="21.75" customHeight="1" x14ac:dyDescent="0.3">
      <c r="A74"/>
      <c r="B74"/>
      <c r="C74"/>
      <c r="D74"/>
      <c r="E74"/>
      <c r="F74"/>
      <c r="G74"/>
      <c r="H74"/>
      <c r="I74"/>
      <c r="J74"/>
      <c r="K74"/>
      <c r="L74"/>
      <c r="M74"/>
      <c r="N74"/>
      <c r="O74"/>
      <c r="P74"/>
      <c r="Q74"/>
      <c r="R74"/>
      <c r="S74"/>
      <c r="T74"/>
      <c r="U74"/>
    </row>
    <row r="75" spans="1:21" x14ac:dyDescent="0.3">
      <c r="A75" s="21"/>
      <c r="B75" s="21"/>
      <c r="C75" s="21"/>
      <c r="D75" s="21"/>
      <c r="E75" s="21"/>
      <c r="F75" s="21"/>
      <c r="G75" s="21"/>
      <c r="H75" s="21"/>
      <c r="I75" s="21"/>
      <c r="J75" s="21"/>
      <c r="K75" s="21"/>
      <c r="L75" s="21"/>
      <c r="M75" s="21"/>
      <c r="N75" s="21"/>
      <c r="O75" s="21"/>
      <c r="P75" s="21"/>
      <c r="Q75" s="21"/>
      <c r="R75" s="21"/>
      <c r="S75" s="21"/>
      <c r="T75" s="21"/>
      <c r="U75" s="21"/>
    </row>
    <row r="76" spans="1:21" x14ac:dyDescent="0.3">
      <c r="A76" s="21"/>
      <c r="B76" s="21"/>
      <c r="C76" s="21"/>
      <c r="D76" s="21"/>
      <c r="E76" s="21"/>
      <c r="F76" s="21"/>
      <c r="G76" s="21"/>
      <c r="H76" s="21"/>
      <c r="I76" s="22"/>
      <c r="J76" s="22"/>
      <c r="K76" s="22"/>
      <c r="L76" s="22"/>
      <c r="M76" s="22"/>
      <c r="N76" s="22"/>
      <c r="O76" s="22"/>
      <c r="P76" s="22"/>
      <c r="Q76" s="22"/>
      <c r="R76" s="21"/>
      <c r="S76" s="21"/>
      <c r="T76" s="21"/>
      <c r="U76" s="21"/>
    </row>
    <row r="80" spans="1:21" x14ac:dyDescent="0.3">
      <c r="I80" s="56"/>
    </row>
  </sheetData>
  <sheetProtection sheet="1" formatCells="0" formatColumns="0" formatRows="0"/>
  <mergeCells count="62">
    <mergeCell ref="C2:F2"/>
    <mergeCell ref="A6:U6"/>
    <mergeCell ref="E8:T8"/>
    <mergeCell ref="A12:F12"/>
    <mergeCell ref="G12:L12"/>
    <mergeCell ref="M12:Q12"/>
    <mergeCell ref="R12:U12"/>
    <mergeCell ref="D14:F14"/>
    <mergeCell ref="J14:L14"/>
    <mergeCell ref="P14:Q14"/>
    <mergeCell ref="R14:S14"/>
    <mergeCell ref="T14:U14"/>
    <mergeCell ref="D13:F13"/>
    <mergeCell ref="J13:L13"/>
    <mergeCell ref="P13:Q13"/>
    <mergeCell ref="R13:S13"/>
    <mergeCell ref="T13:U13"/>
    <mergeCell ref="D16:F16"/>
    <mergeCell ref="J16:L16"/>
    <mergeCell ref="P16:Q16"/>
    <mergeCell ref="R16:S18"/>
    <mergeCell ref="T16:U18"/>
    <mergeCell ref="D15:F15"/>
    <mergeCell ref="J15:L15"/>
    <mergeCell ref="P15:Q15"/>
    <mergeCell ref="R15:S15"/>
    <mergeCell ref="T15:U15"/>
    <mergeCell ref="D44:I44"/>
    <mergeCell ref="Q44:S44"/>
    <mergeCell ref="D17:F17"/>
    <mergeCell ref="P17:Q17"/>
    <mergeCell ref="P18:Q18"/>
    <mergeCell ref="I20:U20"/>
    <mergeCell ref="I21:U21"/>
    <mergeCell ref="I22:U22"/>
    <mergeCell ref="I23:U23"/>
    <mergeCell ref="I24:U24"/>
    <mergeCell ref="I25:U25"/>
    <mergeCell ref="G27:M27"/>
    <mergeCell ref="P27:R27"/>
    <mergeCell ref="D48:I48"/>
    <mergeCell ref="Q48:S48"/>
    <mergeCell ref="D49:I49"/>
    <mergeCell ref="Q49:S49"/>
    <mergeCell ref="D50:I50"/>
    <mergeCell ref="Q50:S50"/>
    <mergeCell ref="A53:U53"/>
    <mergeCell ref="A54:H54"/>
    <mergeCell ref="I54:O54"/>
    <mergeCell ref="P54:U54"/>
    <mergeCell ref="A55:H55"/>
    <mergeCell ref="I55:O55"/>
    <mergeCell ref="P55:U55"/>
    <mergeCell ref="A58:H58"/>
    <mergeCell ref="I58:O58"/>
    <mergeCell ref="P58:U58"/>
    <mergeCell ref="A56:H56"/>
    <mergeCell ref="I56:O56"/>
    <mergeCell ref="P56:U56"/>
    <mergeCell ref="A57:H57"/>
    <mergeCell ref="I57:O57"/>
    <mergeCell ref="P57:U57"/>
  </mergeCells>
  <pageMargins left="0.51181102362204722" right="0.51181102362204722" top="0.87791666666666668" bottom="0.74803149606299213" header="0.31496062992125984" footer="0.31496062992125984"/>
  <pageSetup paperSize="305" scale="86" orientation="portrait" verticalDpi="360" r:id="rId1"/>
  <headerFooter>
    <oddHeader xml:space="preserve">&amp;R
&amp;"Century Gothic,Bold"&amp;18LETTER OF INTENT    
 &amp;"-,Regular"&amp;11
</oddHeader>
    <oddFooter>&amp;C&amp;"Century Gothic,Regular"&amp;8Page &amp;P of &amp;N</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95233" r:id="rId4" name="Check Box 1">
              <controlPr defaultSize="0" autoFill="0" autoLine="0" autoPict="0">
                <anchor moveWithCells="1">
                  <from>
                    <xdr:col>11</xdr:col>
                    <xdr:colOff>304800</xdr:colOff>
                    <xdr:row>7</xdr:row>
                    <xdr:rowOff>209550</xdr:rowOff>
                  </from>
                  <to>
                    <xdr:col>14</xdr:col>
                    <xdr:colOff>171450</xdr:colOff>
                    <xdr:row>9</xdr:row>
                    <xdr:rowOff>0</xdr:rowOff>
                  </to>
                </anchor>
              </controlPr>
            </control>
          </mc:Choice>
        </mc:AlternateContent>
        <mc:AlternateContent xmlns:mc="http://schemas.openxmlformats.org/markup-compatibility/2006">
          <mc:Choice Requires="x14">
            <control shapeId="95234" r:id="rId5" name="Check Box 2">
              <controlPr defaultSize="0" autoFill="0" autoLine="0" autoPict="0">
                <anchor moveWithCells="1">
                  <from>
                    <xdr:col>11</xdr:col>
                    <xdr:colOff>304800</xdr:colOff>
                    <xdr:row>9</xdr:row>
                    <xdr:rowOff>0</xdr:rowOff>
                  </from>
                  <to>
                    <xdr:col>14</xdr:col>
                    <xdr:colOff>171450</xdr:colOff>
                    <xdr:row>10</xdr:row>
                    <xdr:rowOff>0</xdr:rowOff>
                  </to>
                </anchor>
              </controlPr>
            </control>
          </mc:Choice>
        </mc:AlternateContent>
        <mc:AlternateContent xmlns:mc="http://schemas.openxmlformats.org/markup-compatibility/2006">
          <mc:Choice Requires="x14">
            <control shapeId="95235" r:id="rId6" name="Check Box 3">
              <controlPr defaultSize="0" autoFill="0" autoLine="0" autoPict="0">
                <anchor moveWithCells="1">
                  <from>
                    <xdr:col>4</xdr:col>
                    <xdr:colOff>57150</xdr:colOff>
                    <xdr:row>8</xdr:row>
                    <xdr:rowOff>19050</xdr:rowOff>
                  </from>
                  <to>
                    <xdr:col>8</xdr:col>
                    <xdr:colOff>285750</xdr:colOff>
                    <xdr:row>9</xdr:row>
                    <xdr:rowOff>19050</xdr:rowOff>
                  </to>
                </anchor>
              </controlPr>
            </control>
          </mc:Choice>
        </mc:AlternateContent>
        <mc:AlternateContent xmlns:mc="http://schemas.openxmlformats.org/markup-compatibility/2006">
          <mc:Choice Requires="x14">
            <control shapeId="95236" r:id="rId7" name="Check Box 4">
              <controlPr defaultSize="0" autoFill="0" autoLine="0" autoPict="0">
                <anchor moveWithCells="1">
                  <from>
                    <xdr:col>4</xdr:col>
                    <xdr:colOff>57150</xdr:colOff>
                    <xdr:row>8</xdr:row>
                    <xdr:rowOff>209550</xdr:rowOff>
                  </from>
                  <to>
                    <xdr:col>8</xdr:col>
                    <xdr:colOff>285750</xdr:colOff>
                    <xdr:row>10</xdr:row>
                    <xdr:rowOff>0</xdr:rowOff>
                  </to>
                </anchor>
              </controlPr>
            </control>
          </mc:Choice>
        </mc:AlternateContent>
        <mc:AlternateContent xmlns:mc="http://schemas.openxmlformats.org/markup-compatibility/2006">
          <mc:Choice Requires="x14">
            <control shapeId="95237" r:id="rId8" name="Check Box 5">
              <controlPr defaultSize="0" autoFill="0" autoLine="0" autoPict="0">
                <anchor moveWithCells="1">
                  <from>
                    <xdr:col>17</xdr:col>
                    <xdr:colOff>476250</xdr:colOff>
                    <xdr:row>8</xdr:row>
                    <xdr:rowOff>0</xdr:rowOff>
                  </from>
                  <to>
                    <xdr:col>19</xdr:col>
                    <xdr:colOff>180975</xdr:colOff>
                    <xdr:row>9</xdr:row>
                    <xdr:rowOff>0</xdr:rowOff>
                  </to>
                </anchor>
              </controlPr>
            </control>
          </mc:Choice>
        </mc:AlternateContent>
        <mc:AlternateContent xmlns:mc="http://schemas.openxmlformats.org/markup-compatibility/2006">
          <mc:Choice Requires="x14">
            <control shapeId="95238" r:id="rId9" name="Check Box 6">
              <controlPr defaultSize="0" autoFill="0" autoLine="0" autoPict="0">
                <anchor moveWithCells="1">
                  <from>
                    <xdr:col>17</xdr:col>
                    <xdr:colOff>476250</xdr:colOff>
                    <xdr:row>9</xdr:row>
                    <xdr:rowOff>0</xdr:rowOff>
                  </from>
                  <to>
                    <xdr:col>19</xdr:col>
                    <xdr:colOff>180975</xdr:colOff>
                    <xdr:row>10</xdr:row>
                    <xdr:rowOff>0</xdr:rowOff>
                  </to>
                </anchor>
              </controlPr>
            </control>
          </mc:Choice>
        </mc:AlternateContent>
      </controls>
    </mc:Choice>
  </mc:AlternateContent>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10"/>
  <dimension ref="A1:U121"/>
  <sheetViews>
    <sheetView showZeros="0" view="pageLayout" topLeftCell="A18" zoomScaleNormal="100" zoomScaleSheetLayoutView="100" workbookViewId="0">
      <selection activeCell="O39" sqref="O39:R39"/>
    </sheetView>
  </sheetViews>
  <sheetFormatPr defaultColWidth="9.28515625" defaultRowHeight="16.5" x14ac:dyDescent="0.3"/>
  <cols>
    <col min="1" max="1" width="2.7109375" style="5" customWidth="1"/>
    <col min="2" max="2" width="1.7109375" style="5" customWidth="1"/>
    <col min="3" max="3" width="4.5703125" style="5" customWidth="1"/>
    <col min="4" max="4" width="2.7109375" style="5" customWidth="1"/>
    <col min="5" max="5" width="7" style="5" customWidth="1"/>
    <col min="6" max="6" width="4.7109375" style="5" customWidth="1"/>
    <col min="7" max="7" width="3.42578125" style="5" customWidth="1"/>
    <col min="8" max="8" width="2.5703125" style="5" customWidth="1"/>
    <col min="9" max="9" width="7.28515625" style="5" customWidth="1"/>
    <col min="10" max="10" width="3.28515625" style="5" customWidth="1"/>
    <col min="11" max="11" width="4.7109375" style="5" customWidth="1"/>
    <col min="12" max="12" width="4.28515625" style="5" customWidth="1"/>
    <col min="13" max="13" width="5.7109375" style="5" customWidth="1"/>
    <col min="14" max="14" width="3.28515625" style="5" customWidth="1"/>
    <col min="15" max="15" width="4.42578125" style="5" customWidth="1"/>
    <col min="16" max="16" width="7" style="5" customWidth="1"/>
    <col min="17" max="17" width="5.28515625" style="5" customWidth="1"/>
    <col min="18" max="18" width="15.42578125" style="5" customWidth="1"/>
    <col min="19" max="19" width="4.42578125" style="5" customWidth="1"/>
    <col min="20" max="20" width="11.7109375" style="5" customWidth="1"/>
    <col min="21" max="21" width="2" style="5" customWidth="1"/>
    <col min="22" max="16384" width="9.28515625" style="5"/>
  </cols>
  <sheetData>
    <row r="1" spans="1:21" ht="14.25" customHeight="1" x14ac:dyDescent="0.3">
      <c r="U1" s="58"/>
    </row>
    <row r="2" spans="1:21" x14ac:dyDescent="0.3">
      <c r="A2" s="21" t="s">
        <v>829</v>
      </c>
      <c r="B2" s="21"/>
      <c r="C2" s="90"/>
      <c r="D2" s="1234">
        <f>FORM!G30</f>
        <v>0</v>
      </c>
      <c r="E2" s="1234"/>
      <c r="F2" s="1234"/>
      <c r="G2" s="1234"/>
      <c r="H2" s="1234"/>
      <c r="I2" s="1234"/>
      <c r="J2" s="1234"/>
      <c r="K2" s="1234"/>
      <c r="L2" s="1234"/>
      <c r="M2" s="1234"/>
      <c r="N2" s="1234"/>
      <c r="O2" s="1234"/>
      <c r="P2" s="1234"/>
      <c r="Q2" s="1234"/>
      <c r="R2" s="21"/>
      <c r="S2" s="21"/>
      <c r="T2" s="21"/>
      <c r="U2" s="23" t="s">
        <v>830</v>
      </c>
    </row>
    <row r="3" spans="1:21" x14ac:dyDescent="0.3">
      <c r="A3" s="1234">
        <f>FORM!G34</f>
        <v>0</v>
      </c>
      <c r="B3" s="1234"/>
      <c r="C3" s="1234"/>
      <c r="D3" s="1234"/>
      <c r="E3" s="1234"/>
      <c r="F3" s="1234"/>
      <c r="G3" s="1234"/>
      <c r="H3" s="1234"/>
      <c r="I3" s="1234"/>
      <c r="J3" s="1234"/>
      <c r="K3" s="1234"/>
      <c r="L3" s="1234"/>
      <c r="M3" s="1234"/>
      <c r="N3" s="1234"/>
      <c r="O3" s="1234"/>
      <c r="P3" s="1234"/>
      <c r="Q3" s="1234"/>
      <c r="R3" s="21"/>
      <c r="S3" s="21"/>
      <c r="T3" s="21"/>
      <c r="U3" s="23" t="s">
        <v>831</v>
      </c>
    </row>
    <row r="4" spans="1:21" ht="16.5" customHeight="1" x14ac:dyDescent="0.3">
      <c r="A4" s="1233" t="s">
        <v>832</v>
      </c>
      <c r="B4" s="1233"/>
      <c r="C4" s="1233"/>
      <c r="D4" s="1233"/>
      <c r="E4" s="1233"/>
      <c r="F4" s="1233"/>
      <c r="G4" s="1233"/>
      <c r="H4" s="1233"/>
      <c r="I4" s="1233"/>
      <c r="J4" s="1233"/>
      <c r="K4" s="1233"/>
      <c r="L4" s="1233"/>
      <c r="M4" s="1233"/>
      <c r="N4" s="1233"/>
      <c r="O4" s="1233"/>
      <c r="P4" s="1233"/>
      <c r="Q4" s="1233"/>
      <c r="R4" s="1233"/>
      <c r="S4" s="1233"/>
      <c r="T4" s="1233"/>
      <c r="U4" s="1233"/>
    </row>
    <row r="5" spans="1:21" x14ac:dyDescent="0.3">
      <c r="A5" s="1233"/>
      <c r="B5" s="1233"/>
      <c r="C5" s="1233"/>
      <c r="D5" s="1233"/>
      <c r="E5" s="1233"/>
      <c r="F5" s="1233"/>
      <c r="G5" s="1233"/>
      <c r="H5" s="1233"/>
      <c r="I5" s="1233"/>
      <c r="J5" s="1233"/>
      <c r="K5" s="1233"/>
      <c r="L5" s="1233"/>
      <c r="M5" s="1233"/>
      <c r="N5" s="1233"/>
      <c r="O5" s="1233"/>
      <c r="P5" s="1233"/>
      <c r="Q5" s="1233"/>
      <c r="R5" s="1233"/>
      <c r="S5" s="1233"/>
      <c r="T5" s="1233"/>
      <c r="U5" s="1233"/>
    </row>
    <row r="6" spans="1:21" ht="9" customHeight="1" x14ac:dyDescent="0.3">
      <c r="A6" s="21"/>
      <c r="B6" s="21"/>
      <c r="C6" s="21"/>
      <c r="D6" s="21"/>
      <c r="E6" s="21"/>
      <c r="F6" s="21"/>
      <c r="G6" s="21"/>
      <c r="H6" s="21"/>
      <c r="I6" s="21"/>
      <c r="J6" s="21"/>
      <c r="K6" s="21"/>
      <c r="L6" s="21"/>
      <c r="M6" s="21"/>
      <c r="N6" s="21"/>
      <c r="O6" s="21"/>
      <c r="P6" s="21"/>
      <c r="Q6" s="21"/>
      <c r="R6" s="21"/>
      <c r="S6" s="21"/>
      <c r="T6" s="21"/>
      <c r="U6" s="21"/>
    </row>
    <row r="7" spans="1:21" ht="16.5" customHeight="1" x14ac:dyDescent="0.3">
      <c r="A7" s="21" t="s">
        <v>833</v>
      </c>
      <c r="B7" s="21"/>
      <c r="C7" s="21"/>
      <c r="D7" s="21"/>
      <c r="E7" s="21"/>
      <c r="F7" s="21"/>
      <c r="G7" s="21"/>
      <c r="H7" s="1234" t="str">
        <f>FORM!Z13</f>
        <v>WEE COMMUNITY DEVELOPERS, INC.</v>
      </c>
      <c r="I7" s="1234"/>
      <c r="J7" s="1234"/>
      <c r="K7" s="1234"/>
      <c r="L7" s="1234"/>
      <c r="M7" s="1234"/>
      <c r="N7" s="1234"/>
      <c r="O7" s="1234"/>
      <c r="P7" s="21"/>
      <c r="Q7" s="21"/>
      <c r="R7" s="21"/>
      <c r="S7" s="21"/>
      <c r="T7" s="21"/>
      <c r="U7" s="23" t="s">
        <v>834</v>
      </c>
    </row>
    <row r="8" spans="1:21" x14ac:dyDescent="0.3">
      <c r="A8" s="1235" t="s">
        <v>835</v>
      </c>
      <c r="B8" s="1235"/>
      <c r="C8" s="1235"/>
      <c r="D8" s="1235"/>
      <c r="E8" s="1235"/>
      <c r="F8" s="1235"/>
      <c r="G8" s="1235"/>
      <c r="H8" s="1235"/>
      <c r="I8" s="1235"/>
      <c r="J8" s="1235"/>
      <c r="K8" s="1235"/>
      <c r="L8" s="1235"/>
      <c r="M8" s="1235"/>
      <c r="N8" s="1235"/>
      <c r="O8" s="1235"/>
      <c r="P8" s="1235"/>
      <c r="Q8" s="1235"/>
      <c r="R8" s="1235"/>
      <c r="S8" s="1235"/>
      <c r="T8" s="1235"/>
      <c r="U8" s="1235"/>
    </row>
    <row r="9" spans="1:21" x14ac:dyDescent="0.3">
      <c r="A9" s="1240" t="str">
        <f>FORM!Z14</f>
        <v>166 A. Mabini Street, Addition Hills, San Juan City</v>
      </c>
      <c r="B9" s="1240"/>
      <c r="C9" s="1240"/>
      <c r="D9" s="1240"/>
      <c r="E9" s="1240"/>
      <c r="F9" s="1240"/>
      <c r="G9" s="1240"/>
      <c r="H9" s="1240"/>
      <c r="I9" s="1240"/>
      <c r="J9" s="1240"/>
      <c r="K9" s="1240"/>
      <c r="L9" s="1240"/>
      <c r="M9" s="1240"/>
      <c r="N9" s="1240"/>
      <c r="O9" s="1240"/>
      <c r="P9" s="1240"/>
      <c r="Q9" s="21"/>
      <c r="R9" s="21"/>
      <c r="S9" s="21"/>
      <c r="T9" s="21"/>
      <c r="U9" s="23" t="s">
        <v>836</v>
      </c>
    </row>
    <row r="10" spans="1:21" x14ac:dyDescent="0.3">
      <c r="A10" s="21" t="s">
        <v>837</v>
      </c>
      <c r="B10" s="21"/>
      <c r="C10" s="21"/>
      <c r="D10" s="21"/>
      <c r="E10" s="21"/>
      <c r="F10" s="21"/>
      <c r="G10" s="21"/>
      <c r="H10" s="21"/>
      <c r="I10" s="1234" t="str">
        <f>FORM!G11</f>
        <v>WEECOMM CENTRE</v>
      </c>
      <c r="J10" s="1234"/>
      <c r="K10" s="1234"/>
      <c r="L10" s="1234"/>
      <c r="M10" s="1234"/>
      <c r="N10" s="1234"/>
      <c r="O10" s="1234"/>
      <c r="P10" s="1234"/>
      <c r="Q10" s="1234"/>
      <c r="R10" s="1234"/>
      <c r="S10" s="1234"/>
      <c r="T10" s="1234"/>
      <c r="U10" s="1234"/>
    </row>
    <row r="11" spans="1:21" x14ac:dyDescent="0.3">
      <c r="A11" s="21" t="s">
        <v>838</v>
      </c>
      <c r="B11" s="21"/>
      <c r="C11" s="21"/>
      <c r="D11" s="21"/>
      <c r="E11" s="21"/>
      <c r="F11" s="21"/>
      <c r="G11" s="21"/>
      <c r="H11" s="21"/>
      <c r="I11" s="21"/>
      <c r="J11" s="21"/>
      <c r="K11" s="21"/>
      <c r="L11" s="21"/>
      <c r="M11" s="1229" t="str">
        <f>'RA_Step up'!M12:U12</f>
        <v>#54 Tinio St. Barangay Addition Hills, Mandaluyong City</v>
      </c>
      <c r="N11" s="1229"/>
      <c r="O11" s="1229"/>
      <c r="P11" s="1229"/>
      <c r="Q11" s="1229"/>
      <c r="R11" s="1229"/>
      <c r="S11" s="1229"/>
      <c r="T11" s="1229"/>
      <c r="U11" s="1229"/>
    </row>
    <row r="12" spans="1:21" x14ac:dyDescent="0.3">
      <c r="A12" s="21" t="s">
        <v>839</v>
      </c>
      <c r="B12" s="21"/>
      <c r="C12" s="21"/>
      <c r="D12" s="21"/>
      <c r="E12" s="21"/>
      <c r="F12" s="21"/>
      <c r="G12" s="21"/>
      <c r="H12" s="21"/>
      <c r="I12" s="21"/>
      <c r="J12" s="21"/>
      <c r="K12" s="1241" t="str">
        <f>RA_SC60D!K12</f>
        <v>2-BR BARE</v>
      </c>
      <c r="L12" s="1234"/>
      <c r="M12" s="1234"/>
      <c r="N12" s="1234"/>
      <c r="O12" s="1234"/>
      <c r="P12" s="1234"/>
      <c r="Q12" s="1234"/>
      <c r="R12" s="1234"/>
      <c r="S12" s="1234"/>
      <c r="T12" s="1234"/>
      <c r="U12" s="1234"/>
    </row>
    <row r="13" spans="1:21" ht="13.5" customHeight="1" x14ac:dyDescent="0.3">
      <c r="A13" s="21" t="s">
        <v>840</v>
      </c>
      <c r="B13" s="21"/>
      <c r="C13" s="21"/>
      <c r="D13" s="21"/>
      <c r="E13" s="21"/>
      <c r="F13" s="21"/>
      <c r="G13" s="21"/>
      <c r="H13" s="21"/>
      <c r="I13" s="21"/>
      <c r="J13" s="21"/>
      <c r="K13" s="21"/>
      <c r="L13" s="21"/>
      <c r="M13" s="21"/>
      <c r="N13" s="21"/>
      <c r="O13" s="21"/>
      <c r="P13" s="21"/>
      <c r="Q13" s="21"/>
      <c r="R13" s="21"/>
      <c r="S13" s="21"/>
      <c r="T13" s="21"/>
      <c r="U13" s="21"/>
    </row>
    <row r="14" spans="1:21" x14ac:dyDescent="0.3">
      <c r="A14" s="21"/>
      <c r="B14" s="21"/>
      <c r="C14" s="21"/>
      <c r="D14" s="21"/>
      <c r="E14" s="21"/>
      <c r="F14" s="21"/>
      <c r="G14" s="21"/>
      <c r="H14" s="21"/>
      <c r="I14" s="21"/>
      <c r="J14" s="21"/>
      <c r="K14" s="21"/>
      <c r="L14" s="21"/>
      <c r="M14" s="21"/>
      <c r="N14" s="21"/>
      <c r="O14" s="21"/>
      <c r="P14" s="21"/>
      <c r="Q14" s="21"/>
      <c r="R14" s="21"/>
      <c r="S14" s="21"/>
      <c r="T14" s="21"/>
      <c r="U14" s="21"/>
    </row>
    <row r="15" spans="1:21" x14ac:dyDescent="0.3">
      <c r="A15" s="25" t="s">
        <v>781</v>
      </c>
      <c r="B15" s="26"/>
      <c r="C15" s="26"/>
      <c r="D15" s="24"/>
      <c r="E15" s="1229" t="str">
        <f>FORM!G11</f>
        <v>WEECOMM CENTRE</v>
      </c>
      <c r="F15" s="1229"/>
      <c r="G15" s="1229"/>
      <c r="H15" s="1229"/>
      <c r="I15" s="1229"/>
      <c r="J15" s="1229"/>
      <c r="K15" s="1229"/>
      <c r="L15" s="1229"/>
      <c r="M15" s="1229"/>
      <c r="N15" s="1229"/>
      <c r="O15" s="1229"/>
      <c r="P15" s="1229"/>
      <c r="Q15" s="1229"/>
      <c r="R15" s="1229"/>
      <c r="S15" s="1229"/>
      <c r="T15" s="1229"/>
      <c r="U15" s="62"/>
    </row>
    <row r="16" spans="1:21" x14ac:dyDescent="0.3">
      <c r="A16" s="27" t="s">
        <v>782</v>
      </c>
      <c r="B16" s="28"/>
      <c r="C16" s="28"/>
      <c r="D16" s="29"/>
      <c r="E16" s="30" t="s">
        <v>841</v>
      </c>
      <c r="F16" s="29"/>
      <c r="G16" s="29"/>
      <c r="H16" s="29"/>
      <c r="I16" s="29"/>
      <c r="J16" s="29"/>
      <c r="K16" s="29"/>
      <c r="L16" s="60" t="s">
        <v>842</v>
      </c>
      <c r="M16" s="29"/>
      <c r="N16" s="29"/>
      <c r="O16" s="29"/>
      <c r="P16" s="29"/>
      <c r="Q16" s="29"/>
      <c r="R16" s="29"/>
      <c r="S16" s="29"/>
      <c r="T16" s="30" t="s">
        <v>843</v>
      </c>
      <c r="U16" s="59"/>
    </row>
    <row r="17" spans="1:21" x14ac:dyDescent="0.3">
      <c r="A17" s="31"/>
      <c r="B17" s="8"/>
      <c r="C17" s="8"/>
      <c r="D17" s="8"/>
      <c r="E17" s="32" t="s">
        <v>844</v>
      </c>
      <c r="F17" s="8"/>
      <c r="G17" s="8"/>
      <c r="H17" s="8"/>
      <c r="I17" s="8"/>
      <c r="J17" s="8"/>
      <c r="K17" s="8"/>
      <c r="L17" s="32" t="s">
        <v>786</v>
      </c>
      <c r="M17" s="8"/>
      <c r="N17" s="8"/>
      <c r="O17" s="8"/>
      <c r="P17" s="8"/>
      <c r="Q17" s="8"/>
      <c r="R17" s="8"/>
      <c r="S17" s="8"/>
      <c r="T17" s="32" t="s">
        <v>845</v>
      </c>
      <c r="U17" s="33"/>
    </row>
    <row r="18" spans="1:21" x14ac:dyDescent="0.3">
      <c r="T18" s="5" t="s">
        <v>660</v>
      </c>
    </row>
    <row r="19" spans="1:21" x14ac:dyDescent="0.3">
      <c r="A19" s="1230" t="s">
        <v>784</v>
      </c>
      <c r="B19" s="1231"/>
      <c r="C19" s="1231"/>
      <c r="D19" s="1231"/>
      <c r="E19" s="1231"/>
      <c r="F19" s="1232"/>
      <c r="G19" s="1230" t="s">
        <v>267</v>
      </c>
      <c r="H19" s="1231"/>
      <c r="I19" s="1231"/>
      <c r="J19" s="1231"/>
      <c r="K19" s="1231"/>
      <c r="L19" s="1232"/>
      <c r="M19" s="1230" t="s">
        <v>785</v>
      </c>
      <c r="N19" s="1231"/>
      <c r="O19" s="1231"/>
      <c r="P19" s="1231"/>
      <c r="Q19" s="1232"/>
      <c r="R19" s="1230" t="s">
        <v>786</v>
      </c>
      <c r="S19" s="1231"/>
      <c r="T19" s="1231"/>
      <c r="U19" s="1232"/>
    </row>
    <row r="20" spans="1:21" x14ac:dyDescent="0.3">
      <c r="A20" s="40" t="s">
        <v>787</v>
      </c>
      <c r="B20" s="41"/>
      <c r="C20" s="41"/>
      <c r="D20" s="1193">
        <f>FORM!G14</f>
        <v>1</v>
      </c>
      <c r="E20" s="1194"/>
      <c r="F20" s="1195"/>
      <c r="G20" s="40" t="s">
        <v>787</v>
      </c>
      <c r="H20" s="41"/>
      <c r="I20" s="42"/>
      <c r="J20" s="1207"/>
      <c r="K20" s="1208"/>
      <c r="L20" s="1209"/>
      <c r="M20" s="40" t="s">
        <v>788</v>
      </c>
      <c r="N20" s="41"/>
      <c r="O20" s="42"/>
      <c r="P20" s="1210"/>
      <c r="Q20" s="1197"/>
      <c r="R20" s="1211" t="s">
        <v>787</v>
      </c>
      <c r="S20" s="1212"/>
      <c r="T20" s="1213"/>
      <c r="U20" s="1214"/>
    </row>
    <row r="21" spans="1:21" x14ac:dyDescent="0.3">
      <c r="A21" s="36" t="s">
        <v>789</v>
      </c>
      <c r="B21" s="37"/>
      <c r="C21" s="37"/>
      <c r="D21" s="1193" t="str">
        <f>'RA_Step up'!D22:E22</f>
        <v>GF</v>
      </c>
      <c r="E21" s="1194"/>
      <c r="F21" s="55"/>
      <c r="G21" s="40" t="s">
        <v>790</v>
      </c>
      <c r="H21" s="41"/>
      <c r="I21" s="42"/>
      <c r="J21" s="1207"/>
      <c r="K21" s="1208"/>
      <c r="L21" s="1209"/>
      <c r="M21" s="40" t="s">
        <v>791</v>
      </c>
      <c r="N21" s="41"/>
      <c r="O21" s="42"/>
      <c r="P21" s="1210"/>
      <c r="Q21" s="1197"/>
      <c r="R21" s="1211" t="s">
        <v>792</v>
      </c>
      <c r="S21" s="1212"/>
      <c r="T21" s="1213"/>
      <c r="U21" s="1214"/>
    </row>
    <row r="22" spans="1:21" x14ac:dyDescent="0.3">
      <c r="A22" s="40" t="s">
        <v>792</v>
      </c>
      <c r="B22" s="41"/>
      <c r="C22" s="42"/>
      <c r="D22" s="1193" t="str">
        <f>'RA_Step up'!D23:E23</f>
        <v>9G</v>
      </c>
      <c r="E22" s="1194"/>
      <c r="F22" s="55"/>
      <c r="G22" s="40" t="s">
        <v>793</v>
      </c>
      <c r="H22" s="41"/>
      <c r="I22" s="42"/>
      <c r="J22" s="1207"/>
      <c r="K22" s="1208"/>
      <c r="L22" s="1209"/>
      <c r="M22" s="40" t="s">
        <v>794</v>
      </c>
      <c r="N22" s="41"/>
      <c r="O22" s="42"/>
      <c r="P22" s="1210"/>
      <c r="Q22" s="1197"/>
      <c r="R22" s="1211" t="s">
        <v>795</v>
      </c>
      <c r="S22" s="1212"/>
      <c r="T22" s="1213"/>
      <c r="U22" s="1214"/>
    </row>
    <row r="23" spans="1:21" ht="16.5" customHeight="1" x14ac:dyDescent="0.3">
      <c r="A23" s="36" t="s">
        <v>80</v>
      </c>
      <c r="B23" s="37"/>
      <c r="C23" s="37"/>
      <c r="D23" s="1242">
        <f>'STANDARD COMP.'!E13</f>
        <v>108.78</v>
      </c>
      <c r="E23" s="1243"/>
      <c r="F23" s="55" t="s">
        <v>693</v>
      </c>
      <c r="G23" s="40" t="s">
        <v>795</v>
      </c>
      <c r="H23" s="41"/>
      <c r="I23" s="42"/>
      <c r="J23" s="1207"/>
      <c r="K23" s="1208"/>
      <c r="L23" s="1209"/>
      <c r="M23" s="36" t="s">
        <v>846</v>
      </c>
      <c r="N23" s="37"/>
      <c r="O23" s="37"/>
      <c r="P23" s="1210"/>
      <c r="Q23" s="1197"/>
      <c r="R23" s="1215" t="s">
        <v>796</v>
      </c>
      <c r="S23" s="1216"/>
      <c r="T23" s="1221"/>
      <c r="U23" s="1222"/>
    </row>
    <row r="24" spans="1:21" x14ac:dyDescent="0.3">
      <c r="A24" s="40" t="s">
        <v>797</v>
      </c>
      <c r="B24" s="41"/>
      <c r="C24" s="42"/>
      <c r="D24" s="1237" t="str">
        <f>K12</f>
        <v>2-BR BARE</v>
      </c>
      <c r="E24" s="1194"/>
      <c r="F24" s="1195"/>
      <c r="G24" s="40" t="s">
        <v>798</v>
      </c>
      <c r="H24" s="41"/>
      <c r="I24" s="42"/>
      <c r="J24" s="1207"/>
      <c r="K24" s="1208"/>
      <c r="L24" s="1209"/>
      <c r="M24" s="40" t="s">
        <v>800</v>
      </c>
      <c r="N24" s="41"/>
      <c r="O24" s="42"/>
      <c r="P24" s="1193"/>
      <c r="Q24" s="1195"/>
      <c r="R24" s="1219"/>
      <c r="S24" s="1220"/>
      <c r="T24" s="1225"/>
      <c r="U24" s="1226"/>
    </row>
    <row r="26" spans="1:21" x14ac:dyDescent="0.3">
      <c r="A26" s="40" t="s">
        <v>37</v>
      </c>
      <c r="B26" s="41"/>
      <c r="C26" s="41"/>
      <c r="D26" s="41"/>
      <c r="E26" s="41"/>
      <c r="F26" s="41"/>
      <c r="G26" s="41"/>
      <c r="H26" s="42"/>
      <c r="I26" s="1199">
        <f>DEFERRED!F15</f>
        <v>20466686.730335645</v>
      </c>
      <c r="J26" s="1200"/>
      <c r="K26" s="1200"/>
      <c r="L26" s="1200"/>
      <c r="M26" s="1200"/>
      <c r="N26" s="1200"/>
      <c r="O26" s="1200"/>
      <c r="P26" s="1200"/>
      <c r="Q26" s="1200"/>
      <c r="R26" s="1200"/>
      <c r="S26" s="1200"/>
      <c r="T26" s="1200"/>
      <c r="U26" s="1201"/>
    </row>
    <row r="27" spans="1:21" x14ac:dyDescent="0.3">
      <c r="A27" s="40" t="s">
        <v>801</v>
      </c>
      <c r="B27" s="41"/>
      <c r="C27" s="43"/>
      <c r="D27" s="43"/>
      <c r="E27" s="43"/>
      <c r="F27" s="43"/>
      <c r="G27" s="43"/>
      <c r="H27" s="44"/>
      <c r="I27" s="1202">
        <f>DEFERRED!F16</f>
        <v>0</v>
      </c>
      <c r="J27" s="1203"/>
      <c r="K27" s="1203"/>
      <c r="L27" s="1203"/>
      <c r="M27" s="1203"/>
      <c r="N27" s="1203"/>
      <c r="O27" s="1203"/>
      <c r="P27" s="1203"/>
      <c r="Q27" s="1203"/>
      <c r="R27" s="1203"/>
      <c r="S27" s="1203"/>
      <c r="T27" s="1203"/>
      <c r="U27" s="1204"/>
    </row>
    <row r="28" spans="1:21" x14ac:dyDescent="0.3">
      <c r="A28" s="52" t="s">
        <v>92</v>
      </c>
      <c r="B28" s="53"/>
      <c r="C28" s="54"/>
      <c r="D28" s="54"/>
      <c r="E28" s="54"/>
      <c r="F28" s="54"/>
      <c r="G28" s="54"/>
      <c r="H28" s="51"/>
      <c r="I28" s="1199">
        <f>DEFERRED!F17</f>
        <v>20466686.730335645</v>
      </c>
      <c r="J28" s="1200"/>
      <c r="K28" s="1200"/>
      <c r="L28" s="1200"/>
      <c r="M28" s="1200"/>
      <c r="N28" s="1200"/>
      <c r="O28" s="1200"/>
      <c r="P28" s="1200"/>
      <c r="Q28" s="1200"/>
      <c r="R28" s="1200"/>
      <c r="S28" s="1200"/>
      <c r="T28" s="1200"/>
      <c r="U28" s="1201"/>
    </row>
    <row r="29" spans="1:21" x14ac:dyDescent="0.3">
      <c r="A29" s="40" t="s">
        <v>802</v>
      </c>
      <c r="B29" s="41"/>
      <c r="C29" s="43"/>
      <c r="D29" s="43"/>
      <c r="E29" s="43"/>
      <c r="F29" s="43"/>
      <c r="G29" s="43"/>
      <c r="H29" s="44"/>
      <c r="I29" s="1199">
        <f>DEFERRED!F19</f>
        <v>2046668.6730335646</v>
      </c>
      <c r="J29" s="1200"/>
      <c r="K29" s="1200"/>
      <c r="L29" s="1200"/>
      <c r="M29" s="1200"/>
      <c r="N29" s="1200"/>
      <c r="O29" s="1200"/>
      <c r="P29" s="1200"/>
      <c r="Q29" s="1200"/>
      <c r="R29" s="1200"/>
      <c r="S29" s="1200"/>
      <c r="T29" s="1200"/>
      <c r="U29" s="1201"/>
    </row>
    <row r="30" spans="1:21" x14ac:dyDescent="0.3">
      <c r="A30" s="40" t="s">
        <v>803</v>
      </c>
      <c r="B30" s="41"/>
      <c r="C30" s="43"/>
      <c r="D30" s="43"/>
      <c r="E30" s="43"/>
      <c r="F30" s="43"/>
      <c r="G30" s="43"/>
      <c r="H30" s="44"/>
      <c r="I30" s="1199">
        <f>DEFERRED!F20</f>
        <v>2456002.4076402774</v>
      </c>
      <c r="J30" s="1200"/>
      <c r="K30" s="1200"/>
      <c r="L30" s="1200"/>
      <c r="M30" s="1200"/>
      <c r="N30" s="1200"/>
      <c r="O30" s="1200"/>
      <c r="P30" s="1200"/>
      <c r="Q30" s="1200"/>
      <c r="R30" s="1200"/>
      <c r="S30" s="1200"/>
      <c r="T30" s="1200"/>
      <c r="U30" s="1201"/>
    </row>
    <row r="31" spans="1:21" x14ac:dyDescent="0.3">
      <c r="A31" s="40" t="s">
        <v>41</v>
      </c>
      <c r="B31" s="41"/>
      <c r="C31" s="43"/>
      <c r="D31" s="43"/>
      <c r="E31" s="43"/>
      <c r="F31" s="43"/>
      <c r="G31" s="43"/>
      <c r="H31" s="44"/>
      <c r="I31" s="1199">
        <f>DEFERRED!F22</f>
        <v>24969357.811009489</v>
      </c>
      <c r="J31" s="1200"/>
      <c r="K31" s="1200"/>
      <c r="L31" s="1200"/>
      <c r="M31" s="1200"/>
      <c r="N31" s="1200"/>
      <c r="O31" s="1200"/>
      <c r="P31" s="1200"/>
      <c r="Q31" s="1200"/>
      <c r="R31" s="1200"/>
      <c r="S31" s="1200"/>
      <c r="T31" s="1200"/>
      <c r="U31" s="1201"/>
    </row>
    <row r="33" spans="1:21" x14ac:dyDescent="0.3">
      <c r="A33" s="74" t="s">
        <v>848</v>
      </c>
      <c r="B33" s="45"/>
      <c r="C33" s="45"/>
      <c r="D33" s="45"/>
      <c r="E33" s="45"/>
      <c r="F33" s="45"/>
      <c r="G33" s="46"/>
      <c r="H33" s="46"/>
      <c r="I33" s="46"/>
      <c r="J33" s="46"/>
      <c r="K33" s="46"/>
      <c r="L33" s="46"/>
      <c r="M33" s="46"/>
      <c r="N33" s="46"/>
      <c r="O33" s="46"/>
      <c r="P33" s="46"/>
      <c r="Q33" s="46"/>
      <c r="R33" s="46"/>
      <c r="S33" s="46"/>
      <c r="T33" s="46"/>
      <c r="U33" s="47"/>
    </row>
    <row r="34" spans="1:21" ht="4.5" customHeight="1" x14ac:dyDescent="0.3">
      <c r="A34" s="34"/>
      <c r="B34" s="18"/>
      <c r="C34" s="18"/>
      <c r="D34" s="18"/>
      <c r="E34" s="18"/>
      <c r="F34" s="18"/>
      <c r="G34" s="18"/>
      <c r="H34" s="18"/>
      <c r="I34" s="18"/>
      <c r="J34" s="18"/>
      <c r="K34" s="18"/>
      <c r="L34" s="18"/>
      <c r="M34" s="18"/>
      <c r="N34" s="18"/>
      <c r="O34" s="18"/>
      <c r="P34" s="18"/>
      <c r="Q34" s="18"/>
      <c r="R34" s="18"/>
      <c r="S34" s="18"/>
      <c r="T34" s="18"/>
      <c r="U34" s="35"/>
    </row>
    <row r="35" spans="1:21" x14ac:dyDescent="0.3">
      <c r="A35" s="34"/>
      <c r="B35" s="18"/>
      <c r="C35" s="18"/>
      <c r="D35" s="18" t="s">
        <v>849</v>
      </c>
      <c r="E35" s="18"/>
      <c r="F35" s="18"/>
      <c r="G35" s="18"/>
      <c r="I35" s="18"/>
      <c r="J35" s="18"/>
      <c r="K35" s="18"/>
      <c r="L35" s="18"/>
      <c r="M35" s="18" t="s">
        <v>850</v>
      </c>
      <c r="P35" s="18"/>
      <c r="Q35" s="18"/>
      <c r="R35" s="18"/>
      <c r="S35" s="18" t="s">
        <v>851</v>
      </c>
      <c r="T35" s="18"/>
      <c r="U35" s="35"/>
    </row>
    <row r="36" spans="1:21" ht="4.5" customHeight="1" x14ac:dyDescent="0.3">
      <c r="A36" s="75"/>
      <c r="B36" s="32"/>
      <c r="C36" s="32"/>
      <c r="D36" s="32"/>
      <c r="E36" s="32"/>
      <c r="F36" s="32"/>
      <c r="G36" s="32"/>
      <c r="H36" s="32"/>
      <c r="I36" s="32"/>
      <c r="J36" s="32"/>
      <c r="K36" s="32"/>
      <c r="L36" s="32"/>
      <c r="M36" s="32"/>
      <c r="N36" s="32"/>
      <c r="O36" s="32"/>
      <c r="P36" s="32"/>
      <c r="Q36" s="32"/>
      <c r="R36" s="32"/>
      <c r="S36" s="32"/>
      <c r="T36" s="32"/>
      <c r="U36" s="76"/>
    </row>
    <row r="37" spans="1:21" ht="11.25" customHeight="1" x14ac:dyDescent="0.3"/>
    <row r="38" spans="1:21" x14ac:dyDescent="0.3">
      <c r="A38" s="6" t="s">
        <v>852</v>
      </c>
    </row>
    <row r="39" spans="1:21" ht="13.5" customHeight="1" x14ac:dyDescent="0.3">
      <c r="A39" s="88" t="s">
        <v>853</v>
      </c>
      <c r="C39" s="1247" t="s">
        <v>854</v>
      </c>
      <c r="D39" s="1247"/>
      <c r="E39" s="1247"/>
      <c r="F39" s="1247"/>
      <c r="G39" s="1247"/>
      <c r="H39" s="1247"/>
      <c r="I39" s="1247"/>
      <c r="J39" s="1247"/>
      <c r="K39" s="1247"/>
      <c r="L39" s="1247"/>
      <c r="M39" s="1247"/>
      <c r="N39" s="1247"/>
      <c r="O39" s="1488" t="str">
        <f>IF(OR(LEN(FLOOR(T39,1))=13,FLOOR(T39,1)&lt;=0),"Out of range",PROPER(SUBSTITUTE(CONCATENATE(CHOOSE(MID(TEXT(INT(T39),REPT(0,12)),1,1)+1,"","one hundred ","two hundred ","three hundred ","four hundred ","five hundred ","six hundred ","seven hundred ","eight hundred ","nine hundred "),CHOOSE(MID(TEXT(INT(T39),REPT(0,12)),2,1)+1,"",CHOOSE(MID(TEXT(INT(T39),REPT(0,12)),3,1)+1,"ten","eleven","twelve","thirteen","fourteen","fifteen","sixteen","seventeen","eighteen","nineteen"),"twenty","thirty","forty","fifty","sixty","seventy","eighty","ninety"),IF(VALUE(MID(TEXT(INT(T39),REPT(0,12)),2,1))&gt;1,CHOOSE(MID(TEXT(INT(T39),REPT(0,12)),3,1)+1,"","-one","-two","-three","-four","-five","-six","-seven","-eight","-nine"),IF(VALUE(MID(TEXT(INT(T39),REPT(0,12)),2,1))=0,CHOOSE(MID(TEXT(INT(T39),REPT(0,12)),3,1)+1,"","one","two","three","four","five","six","seven","eight","nine"),"")),IF(T39&gt;=10^9," billion ",""),CHOOSE(MID(TEXT(INT(T39),REPT(0,12)),4,1)+1,"","one hundred ","two hundred ","three hundred ","four hundred ","five hundred ","six hundred ","seven hundred ","eight hundred ","nine hundred "),CHOOSE(MID(TEXT(INT(T39),REPT(0,12)),5,1)+1,"",CHOOSE(MID(TEXT(INT(T39),REPT(0,12)),6,1)+1,"ten","eleven","twelve","thirteen","fourteen","fifteen","sixteen","seventeen","eighteen","nineteen"),"twenty","thirty","forty","fifty","sixty","seventy","eighty","ninety"),IF(VALUE(MID(TEXT(INT(T39),REPT(0,12)),5,1))&gt;1,CHOOSE(MID(TEXT(INT(T39),REPT(0,12)),6,1)+1,"","-one","-two","-three","-four","-five","-six","-seven","-eight","-nine"),IF(VALUE(MID(TEXT(INT(T39),REPT(0,12)),5,1))=0,CHOOSE(MID(TEXT(INT(T39),REPT(0,12)),6,1)+1,"","one","two","three","four","five","six","seven","eight","nine"),"")),IF(VALUE(MID(TEXT(INT(T39),REPT(0,12)),4,3))&gt;0," million ",""),CHOOSE(MID(TEXT(INT(T39),REPT(0,12)),7,1)+1,"","one hundred ","two hundred ","three hundred ","four hundred ","five hundred ","six hundred ","seven hundred ","eight hundred ","nine hundred "),CHOOSE(MID(TEXT(INT(T39),REPT(0,12)),8,1)+1,"",CHOOSE(MID(TEXT(INT(T39),REPT(0,12)),9,1)+1,"ten","eleven","twelve","thirteen","fourteen","fifteen","sixteen","seventeen","eighteen","nineteen"),"twenty","thirty","forty","fifty","sixty","seventy","eighty","ninety"),IF(VALUE(MID(TEXT(INT(T39),REPT(0,12)),8,1))&gt;1,CHOOSE(MID(TEXT(INT(T39),REPT(0,12)),9,1)+1,"","-one","-two","-three","-four","-five","-six","-seven","-eight","-nine"),IF(VALUE(MID(TEXT(INT(T39),REPT(0,12)),8,1))=0,CHOOSE(MID(TEXT(INT(T39),REPT(0,12)),9,1)+1,"","one","two","three","four","five","six","seven","eight","nine"),"")),IF(VALUE(MID(TEXT(INT(T39),REPT(0,12)),7,3))," thousand ",""),CHOOSE(MID(TEXT(INT(T39),REPT(0,12)),10,1)+1,"","one hundred ","two hundred ","three hundred ","four hundred ","five hundred ","six hundred ","seven hundred ","eight hundred ","nine hundred "),CHOOSE(MID(TEXT(INT(T39),REPT(0,12)),11,1)+1,"",CHOOSE(MID(TEXT(INT(T39),REPT(0,12)),12,1)+1,"ten","eleven","twelve","thirteen","fourteen","fifteen","sixteen","seventeen","eighteen","nineteen"),"twenty","thirty","forty","fifty","sixty","seventy","eighty","ninety"),IF(VALUE(MID(TEXT(INT(T39),REPT(0,12)),11,1))&gt;1,CHOOSE(MID(TEXT(INT(T39),REPT(0,12)),12,1)+1,"","-one","-two","-three","-four","-five","-six","-seven","-eight","-nine"),IF(VALUE(MID(TEXT(INT(T39),REPT(0,12)),11,1))=0,CHOOSE(MID(TEXT(INT(T39),REPT(0,12)),12,1)+1,"","one","two","three","four","five","six","seven","eight","nine"),""))),"  "," ")&amp;IF(FLOOR(T39,1)&gt;1," PESOS"," dollar"))&amp;IF(ISERROR(FIND(".",T39,1)),""," and "&amp;PROPER(IF(LEN(LEFT(TRIM(MID(SUBSTITUTE([22]Sheet1!A2,".",REPT(" ",255)),255,200)),2))=1,CHOOSE(1*LEFT(TRIM(MID(SUBSTITUTE([22]Sheet1!A2,".",REPT(" ",255)),255,200)),2),"ten","twenty","thirty","forty","fifty","sixty","seventy","eighty","ninety")&amp;" cents","")&amp;CONCATENATE(CHOOSE(MID(TEXT(INT(LEFT(TRIM(MID(SUBSTITUTE([22]Sheet1!A2,".",REPT(" ",255)),255,200)),2)),REPT(0,12)),11,1)+1,"",CHOOSE(MID(TEXT(INT(LEFT(TRIM(MID(SUBSTITUTE([22]Sheet1!A2,".",REPT(" ",255)),255,200)),2)),REPT(0,12)),12,1)+1,"ten","eleven","twelve","thirteen","fourteen","fifteen","sixteen","seventeen","eighteen","nineteen")&amp;" cents","twenty","thirty","forty","fifty","sixty","seventy","eighty","ninety"),IF(VALUE(MID(TEXT(INT(LEFT(TRIM(MID(SUBSTITUTE([22]Sheet1!A2,".",REPT(" ",255)),255,200)),2)),REPT(0,12)),11,1))&gt;1,CHOOSE(MID(TEXT(INT(LEFT(TRIM(MID(SUBSTITUTE([22]Sheet1!A2,".",REPT(" ",255)),255,200)),2)),REPT(0,12)),12,1)+1,"","-one","-two","-three","-four","-five","-six","-seven","-eight","-nine")&amp;" cents",IF(LEFT(TRIM(MID(SUBSTITUTE([22]Sheet1!A2,".",REPT(" ",255)),255,200)),2)="01","one cent",IF(LEFT(TRIM(MID(SUBSTITUTE([22]Sheet1!A2,".",REPT(" ",255)),255,200)),1)="0",CHOOSE(MID(TEXT(INT(LEFT(TRIM(MID(SUBSTITUTE([22]Sheet1!A2,".",REPT(" ",255)),255,200)),2)),REPT(0,12)),12,1)+1,"","one","two","three","four","five","six","seven","eight","nine")&amp;" cents","")))))))</f>
        <v>Fifty Thousand  Pesos</v>
      </c>
      <c r="P39" s="1488"/>
      <c r="Q39" s="1488"/>
      <c r="R39" s="1488"/>
      <c r="S39" s="97" t="s">
        <v>855</v>
      </c>
      <c r="T39" s="83">
        <f>FORM!G24</f>
        <v>50000</v>
      </c>
      <c r="U39" s="99" t="s">
        <v>856</v>
      </c>
    </row>
    <row r="40" spans="1:21" ht="13.5" customHeight="1" x14ac:dyDescent="0.3">
      <c r="A40" s="77"/>
      <c r="B40" s="78"/>
      <c r="C40" s="78"/>
      <c r="D40" s="78"/>
      <c r="E40" s="78"/>
      <c r="F40" s="78"/>
      <c r="G40" s="78"/>
      <c r="H40" s="78"/>
      <c r="I40" s="78"/>
      <c r="J40" s="78"/>
      <c r="K40" s="78"/>
      <c r="L40" s="78"/>
      <c r="M40" s="78"/>
      <c r="N40" s="78"/>
      <c r="O40" s="95"/>
      <c r="P40" s="95"/>
      <c r="Q40" s="95"/>
      <c r="R40" s="95"/>
      <c r="S40" s="61"/>
      <c r="T40" s="96"/>
      <c r="U40" s="61"/>
    </row>
    <row r="41" spans="1:21" ht="13.5" customHeight="1" x14ac:dyDescent="0.3">
      <c r="A41" s="77"/>
      <c r="B41" s="78"/>
      <c r="C41" s="78"/>
      <c r="D41" s="78"/>
      <c r="E41" s="78"/>
      <c r="F41" s="78"/>
      <c r="G41" s="78"/>
      <c r="H41" s="78"/>
      <c r="I41" s="78"/>
      <c r="J41" s="78"/>
      <c r="K41" s="78"/>
      <c r="L41" s="78"/>
      <c r="M41" s="78"/>
      <c r="N41" s="78"/>
      <c r="O41" s="95"/>
      <c r="P41" s="95"/>
      <c r="Q41" s="95"/>
      <c r="R41" s="95"/>
      <c r="S41" s="61"/>
      <c r="T41" s="96"/>
      <c r="U41" s="61"/>
    </row>
    <row r="42" spans="1:21" ht="13.5" customHeight="1" x14ac:dyDescent="0.3">
      <c r="A42" s="77"/>
      <c r="B42" s="78"/>
      <c r="C42" s="78"/>
      <c r="D42" s="78"/>
      <c r="E42" s="78"/>
      <c r="F42" s="78"/>
      <c r="G42" s="78"/>
      <c r="H42" s="78"/>
      <c r="I42" s="78"/>
      <c r="J42" s="78"/>
      <c r="K42" s="78"/>
      <c r="L42" s="78"/>
      <c r="M42" s="78"/>
      <c r="N42" s="78"/>
      <c r="O42" s="95"/>
      <c r="P42" s="95"/>
      <c r="Q42" s="95"/>
      <c r="R42" s="95"/>
      <c r="S42" s="61"/>
      <c r="T42" s="96"/>
      <c r="U42" s="61"/>
    </row>
    <row r="43" spans="1:21" ht="13.5" customHeight="1" x14ac:dyDescent="0.3">
      <c r="A43" s="77"/>
      <c r="B43" s="78"/>
      <c r="C43" s="78"/>
      <c r="D43" s="78"/>
      <c r="E43" s="78"/>
      <c r="F43" s="78"/>
      <c r="G43" s="78"/>
      <c r="H43" s="78"/>
      <c r="I43" s="78"/>
      <c r="J43" s="78"/>
      <c r="K43" s="78"/>
      <c r="L43" s="78"/>
      <c r="M43" s="78"/>
      <c r="N43" s="78"/>
      <c r="O43" s="95"/>
      <c r="P43" s="95"/>
      <c r="Q43" s="95"/>
      <c r="R43" s="95"/>
      <c r="S43" s="61"/>
      <c r="T43" s="96"/>
      <c r="U43" s="61"/>
    </row>
    <row r="44" spans="1:21" ht="13.5" customHeight="1" x14ac:dyDescent="0.3">
      <c r="A44" s="77"/>
      <c r="B44" s="78"/>
      <c r="C44" s="78" t="s">
        <v>660</v>
      </c>
      <c r="D44" s="78"/>
      <c r="E44" s="78"/>
      <c r="F44" s="78"/>
      <c r="G44" s="78"/>
      <c r="H44" s="78"/>
      <c r="I44" s="78"/>
      <c r="J44" s="78"/>
      <c r="K44" s="78"/>
      <c r="L44" s="78"/>
      <c r="M44" s="78"/>
      <c r="N44" s="78"/>
      <c r="O44" s="95"/>
      <c r="P44" s="95"/>
      <c r="Q44" s="95"/>
      <c r="R44" s="95"/>
      <c r="S44" s="61"/>
      <c r="T44" s="96"/>
      <c r="U44" s="61"/>
    </row>
    <row r="45" spans="1:21" ht="13.5" customHeight="1" x14ac:dyDescent="0.3">
      <c r="A45" s="77"/>
      <c r="B45" s="78"/>
      <c r="C45" s="78"/>
      <c r="D45" s="78"/>
      <c r="E45" s="78"/>
      <c r="F45" s="78"/>
      <c r="G45" s="78"/>
      <c r="H45" s="78"/>
      <c r="I45" s="78"/>
      <c r="J45" s="78"/>
      <c r="K45" s="78"/>
      <c r="L45" s="78"/>
      <c r="M45" s="78"/>
      <c r="N45" s="78"/>
      <c r="O45" s="95"/>
      <c r="P45" s="95"/>
      <c r="Q45" s="95"/>
      <c r="R45" s="95"/>
      <c r="S45" s="61"/>
      <c r="T45" s="96"/>
      <c r="U45" s="61"/>
    </row>
    <row r="46" spans="1:21" ht="13.5" customHeight="1" x14ac:dyDescent="0.3">
      <c r="A46" s="77"/>
      <c r="B46" s="78"/>
      <c r="C46" s="78"/>
      <c r="D46" s="78"/>
      <c r="E46" s="78"/>
      <c r="F46" s="78"/>
      <c r="G46" s="78"/>
      <c r="H46" s="78"/>
      <c r="I46" s="78"/>
      <c r="J46" s="78"/>
      <c r="K46" s="78"/>
      <c r="L46" s="78"/>
      <c r="M46" s="78"/>
      <c r="N46" s="78"/>
      <c r="O46" s="95"/>
      <c r="P46" s="95"/>
      <c r="Q46" s="95"/>
      <c r="R46" s="95"/>
      <c r="S46" s="61"/>
      <c r="T46" s="96"/>
      <c r="U46" s="61"/>
    </row>
    <row r="47" spans="1:21" ht="13.5" customHeight="1" x14ac:dyDescent="0.3">
      <c r="A47" s="77"/>
      <c r="B47" s="78"/>
      <c r="C47" s="78"/>
      <c r="D47" s="78"/>
      <c r="E47" s="78"/>
      <c r="F47" s="78"/>
      <c r="G47" s="78"/>
      <c r="H47" s="78"/>
      <c r="I47" s="78"/>
      <c r="J47" s="78"/>
      <c r="K47" s="78"/>
      <c r="L47" s="78"/>
      <c r="M47" s="78"/>
      <c r="N47" s="78"/>
      <c r="O47" s="95"/>
      <c r="P47" s="95"/>
      <c r="Q47" s="95"/>
      <c r="R47" s="95"/>
      <c r="S47" s="61"/>
      <c r="T47" s="96"/>
      <c r="U47" s="61"/>
    </row>
    <row r="48" spans="1:21" ht="13.5" customHeight="1" x14ac:dyDescent="0.3">
      <c r="A48" s="77"/>
      <c r="B48" s="78"/>
      <c r="C48" s="78"/>
      <c r="D48" s="78"/>
      <c r="E48" s="78"/>
      <c r="F48" s="78"/>
      <c r="G48" s="78"/>
      <c r="H48" s="78"/>
      <c r="I48" s="78"/>
      <c r="J48" s="78"/>
      <c r="K48" s="78"/>
      <c r="L48" s="78"/>
      <c r="M48" s="78"/>
      <c r="N48" s="78"/>
      <c r="O48" s="95"/>
      <c r="P48" s="95"/>
      <c r="Q48" s="95"/>
      <c r="R48" s="95"/>
      <c r="S48" s="61"/>
      <c r="T48" s="96"/>
      <c r="U48" s="61"/>
    </row>
    <row r="49" spans="1:21" ht="13.5" customHeight="1" x14ac:dyDescent="0.3">
      <c r="A49" s="77"/>
      <c r="B49" s="78"/>
      <c r="C49" s="78"/>
      <c r="D49" s="78"/>
      <c r="E49" s="78"/>
      <c r="F49" s="78"/>
      <c r="G49" s="78"/>
      <c r="H49" s="78"/>
      <c r="I49" s="78"/>
      <c r="J49" s="78"/>
      <c r="K49" s="78"/>
      <c r="L49" s="78"/>
      <c r="M49" s="78"/>
      <c r="N49" s="78"/>
      <c r="O49" s="95"/>
      <c r="P49" s="95"/>
      <c r="Q49" s="95"/>
      <c r="R49" s="95"/>
      <c r="S49" s="61"/>
      <c r="T49" s="96"/>
      <c r="U49" s="61"/>
    </row>
    <row r="50" spans="1:21" ht="13.5" customHeight="1" x14ac:dyDescent="0.3">
      <c r="A50" s="77"/>
      <c r="B50" s="78"/>
      <c r="C50" s="78"/>
      <c r="D50" s="78"/>
      <c r="E50" s="78"/>
      <c r="F50" s="78"/>
      <c r="G50" s="78"/>
      <c r="H50" s="78"/>
      <c r="I50" s="78"/>
      <c r="J50" s="78"/>
      <c r="K50" s="78"/>
      <c r="L50" s="78"/>
      <c r="M50" s="78"/>
      <c r="N50" s="78"/>
      <c r="O50" s="95"/>
      <c r="P50" s="95"/>
      <c r="Q50" s="95"/>
      <c r="R50" s="95"/>
      <c r="S50" s="61"/>
      <c r="T50" s="96"/>
      <c r="U50" s="61"/>
    </row>
    <row r="51" spans="1:21" ht="13.5" customHeight="1" x14ac:dyDescent="0.3">
      <c r="A51" s="77"/>
      <c r="B51" s="78"/>
      <c r="C51" s="78"/>
      <c r="D51" s="78"/>
      <c r="E51" s="78"/>
      <c r="F51" s="78"/>
      <c r="G51" s="78"/>
      <c r="H51" s="78"/>
      <c r="I51" s="78"/>
      <c r="J51" s="78"/>
      <c r="K51" s="78"/>
      <c r="L51" s="78"/>
      <c r="M51" s="78"/>
      <c r="N51" s="78"/>
      <c r="O51" s="95"/>
      <c r="P51" s="95"/>
      <c r="Q51" s="95"/>
      <c r="R51" s="95"/>
      <c r="S51" s="61"/>
      <c r="T51" s="96"/>
      <c r="U51" s="61"/>
    </row>
    <row r="52" spans="1:21" ht="13.5" customHeight="1" x14ac:dyDescent="0.3">
      <c r="A52" s="77"/>
      <c r="B52" s="78"/>
      <c r="C52" s="78"/>
      <c r="D52" s="78"/>
      <c r="E52" s="78"/>
      <c r="F52" s="78"/>
      <c r="G52" s="78"/>
      <c r="H52" s="78"/>
      <c r="I52" s="78"/>
      <c r="J52" s="78"/>
      <c r="K52" s="78"/>
      <c r="L52" s="78"/>
      <c r="M52" s="78"/>
      <c r="N52" s="78"/>
      <c r="O52" s="95"/>
      <c r="P52" s="95"/>
      <c r="Q52" s="95"/>
      <c r="R52" s="95"/>
      <c r="S52" s="61"/>
      <c r="T52" s="96"/>
      <c r="U52" s="61"/>
    </row>
    <row r="53" spans="1:21" ht="13.5" customHeight="1" x14ac:dyDescent="0.3">
      <c r="A53" s="77"/>
      <c r="B53" s="78"/>
      <c r="C53" s="78"/>
      <c r="D53" s="78"/>
      <c r="E53" s="78"/>
      <c r="F53" s="78"/>
      <c r="G53" s="78"/>
      <c r="H53" s="78"/>
      <c r="I53" s="78"/>
      <c r="J53" s="78"/>
      <c r="K53" s="78"/>
      <c r="L53" s="78"/>
      <c r="M53" s="78"/>
      <c r="N53" s="78"/>
      <c r="O53" s="95"/>
      <c r="P53" s="95"/>
      <c r="Q53" s="95"/>
      <c r="R53" s="95"/>
      <c r="S53" s="61"/>
      <c r="T53" s="96"/>
      <c r="U53" s="61"/>
    </row>
    <row r="54" spans="1:21" ht="13.5" customHeight="1" x14ac:dyDescent="0.3">
      <c r="A54" s="77"/>
      <c r="B54" s="78"/>
      <c r="C54" s="78"/>
      <c r="D54" s="78"/>
      <c r="E54" s="78"/>
      <c r="F54" s="78"/>
      <c r="G54" s="78"/>
      <c r="H54" s="78"/>
      <c r="I54" s="78"/>
      <c r="J54" s="78"/>
      <c r="K54" s="78"/>
      <c r="L54" s="78"/>
      <c r="M54" s="78"/>
      <c r="N54" s="78"/>
      <c r="O54" s="95"/>
      <c r="P54" s="95"/>
      <c r="Q54" s="95"/>
      <c r="R54" s="95"/>
      <c r="S54" s="61"/>
      <c r="T54" s="96"/>
      <c r="U54" s="61"/>
    </row>
    <row r="55" spans="1:21" ht="13.5" customHeight="1" x14ac:dyDescent="0.3">
      <c r="A55" s="77"/>
      <c r="B55" s="78"/>
      <c r="C55" s="78"/>
      <c r="D55" s="78"/>
      <c r="E55" s="78"/>
      <c r="F55" s="78"/>
      <c r="G55" s="78"/>
      <c r="H55" s="78"/>
      <c r="I55" s="78"/>
      <c r="J55" s="78"/>
      <c r="K55" s="78"/>
      <c r="L55" s="78"/>
      <c r="M55" s="78"/>
      <c r="N55" s="78"/>
      <c r="O55" s="95"/>
      <c r="P55" s="95"/>
      <c r="Q55" s="95"/>
      <c r="R55" s="95"/>
      <c r="S55" s="61"/>
      <c r="T55" s="96"/>
      <c r="U55" s="61"/>
    </row>
    <row r="56" spans="1:21" ht="13.5" customHeight="1" x14ac:dyDescent="0.3">
      <c r="A56" s="77"/>
      <c r="B56" s="78"/>
      <c r="C56" s="78"/>
      <c r="D56" s="78"/>
      <c r="E56" s="78"/>
      <c r="F56" s="78"/>
      <c r="G56" s="78"/>
      <c r="H56" s="78"/>
      <c r="I56" s="78"/>
      <c r="J56" s="78"/>
      <c r="K56" s="78"/>
      <c r="L56" s="78"/>
      <c r="M56" s="78"/>
      <c r="N56" s="78"/>
      <c r="O56" s="95"/>
      <c r="P56" s="95"/>
      <c r="Q56" s="95"/>
      <c r="R56" s="95"/>
      <c r="S56" s="61"/>
      <c r="T56" s="96"/>
      <c r="U56" s="61"/>
    </row>
    <row r="57" spans="1:21" ht="13.5" customHeight="1" x14ac:dyDescent="0.3">
      <c r="A57" s="77"/>
      <c r="B57" s="78"/>
      <c r="C57" s="78"/>
      <c r="D57" s="78"/>
      <c r="E57" s="78"/>
      <c r="F57" s="78"/>
      <c r="G57" s="78"/>
      <c r="H57" s="78"/>
      <c r="I57" s="78"/>
      <c r="J57" s="78"/>
      <c r="K57" s="78"/>
      <c r="L57" s="78"/>
      <c r="M57" s="78"/>
      <c r="N57" s="78"/>
      <c r="O57" s="95"/>
      <c r="P57" s="95"/>
      <c r="Q57" s="95"/>
      <c r="R57" s="95"/>
      <c r="S57" s="61"/>
      <c r="T57" s="96"/>
      <c r="U57" s="61"/>
    </row>
    <row r="58" spans="1:21" ht="13.5" customHeight="1" x14ac:dyDescent="0.3">
      <c r="A58" s="77"/>
      <c r="B58" s="78"/>
      <c r="C58" s="78"/>
      <c r="D58" s="78"/>
      <c r="E58" s="78"/>
      <c r="F58" s="78"/>
      <c r="G58" s="78"/>
      <c r="H58" s="78"/>
      <c r="I58" s="78"/>
      <c r="J58" s="78"/>
      <c r="K58" s="78"/>
      <c r="L58" s="78"/>
      <c r="M58" s="78"/>
      <c r="N58" s="78"/>
      <c r="O58" s="95"/>
      <c r="P58" s="95"/>
      <c r="Q58" s="95"/>
      <c r="R58" s="95"/>
      <c r="S58" s="61"/>
      <c r="T58" s="96"/>
      <c r="U58" s="61"/>
    </row>
    <row r="59" spans="1:21" ht="13.5" customHeight="1" x14ac:dyDescent="0.3">
      <c r="A59" s="77"/>
      <c r="B59" s="78"/>
      <c r="C59" s="78"/>
      <c r="D59" s="78"/>
      <c r="E59" s="78"/>
      <c r="F59" s="78"/>
      <c r="G59" s="78"/>
      <c r="H59" s="78"/>
      <c r="I59" s="78"/>
      <c r="J59" s="78"/>
      <c r="K59" s="78"/>
      <c r="L59" s="78"/>
      <c r="M59" s="78"/>
      <c r="N59" s="78"/>
      <c r="O59" s="95"/>
      <c r="P59" s="95"/>
      <c r="Q59" s="95"/>
      <c r="R59" s="95"/>
      <c r="S59" s="61"/>
      <c r="T59" s="96"/>
      <c r="U59" s="61"/>
    </row>
    <row r="60" spans="1:21" ht="13.5" customHeight="1" x14ac:dyDescent="0.3">
      <c r="A60" s="77"/>
      <c r="B60" s="78"/>
      <c r="C60" s="78"/>
      <c r="D60" s="78"/>
      <c r="E60" s="78"/>
      <c r="F60" s="78"/>
      <c r="G60" s="78"/>
      <c r="H60" s="78"/>
      <c r="I60" s="78"/>
      <c r="J60" s="78"/>
      <c r="K60" s="78"/>
      <c r="L60" s="78"/>
      <c r="M60" s="78"/>
      <c r="N60" s="78"/>
      <c r="O60" s="95"/>
      <c r="P60" s="95"/>
      <c r="Q60" s="95"/>
      <c r="R60" s="95"/>
      <c r="S60" s="61"/>
      <c r="T60" s="96"/>
      <c r="U60" s="61"/>
    </row>
    <row r="61" spans="1:21" ht="13.5" customHeight="1" x14ac:dyDescent="0.3">
      <c r="A61" s="77"/>
      <c r="B61" s="78"/>
      <c r="C61" s="78"/>
      <c r="D61" s="78"/>
      <c r="E61" s="78"/>
      <c r="F61" s="78"/>
      <c r="G61" s="78"/>
      <c r="H61" s="78"/>
      <c r="I61" s="78"/>
      <c r="J61" s="78"/>
      <c r="K61" s="78"/>
      <c r="L61" s="78"/>
      <c r="M61" s="78"/>
      <c r="N61" s="78"/>
      <c r="O61" s="95"/>
      <c r="P61" s="95"/>
      <c r="Q61" s="95"/>
      <c r="R61" s="95"/>
      <c r="S61" s="61"/>
      <c r="T61" s="96"/>
      <c r="U61" s="61"/>
    </row>
    <row r="62" spans="1:21" ht="13.5" customHeight="1" x14ac:dyDescent="0.3">
      <c r="A62" s="77"/>
      <c r="B62" s="78"/>
      <c r="C62" s="78"/>
      <c r="D62" s="78"/>
      <c r="E62" s="78"/>
      <c r="F62" s="78"/>
      <c r="G62" s="78"/>
      <c r="H62" s="78"/>
      <c r="I62" s="78"/>
      <c r="J62" s="78"/>
      <c r="K62" s="78"/>
      <c r="L62" s="78"/>
      <c r="M62" s="78"/>
      <c r="N62" s="78"/>
      <c r="O62" s="95"/>
      <c r="P62" s="95"/>
      <c r="Q62" s="95"/>
      <c r="R62" s="95"/>
      <c r="S62" s="61"/>
      <c r="T62" s="96"/>
      <c r="U62" s="61"/>
    </row>
    <row r="63" spans="1:21" ht="13.5" customHeight="1" x14ac:dyDescent="0.3">
      <c r="A63" s="77"/>
      <c r="B63" s="78"/>
      <c r="C63" s="78"/>
      <c r="D63" s="78"/>
      <c r="E63" s="78"/>
      <c r="F63" s="78"/>
      <c r="G63" s="78"/>
      <c r="H63" s="78"/>
      <c r="I63" s="78"/>
      <c r="J63" s="78"/>
      <c r="K63" s="78"/>
      <c r="L63" s="78"/>
      <c r="M63" s="78"/>
      <c r="N63" s="78"/>
      <c r="O63" s="95"/>
      <c r="P63" s="95"/>
      <c r="Q63" s="95"/>
      <c r="R63" s="95"/>
      <c r="S63" s="61"/>
      <c r="T63" s="96"/>
      <c r="U63" s="61"/>
    </row>
    <row r="64" spans="1:21" ht="13.5" customHeight="1" x14ac:dyDescent="0.3">
      <c r="A64" s="77"/>
      <c r="B64" s="78"/>
      <c r="C64" s="78"/>
      <c r="D64" s="78"/>
      <c r="E64" s="78"/>
      <c r="F64" s="78"/>
      <c r="G64" s="78"/>
      <c r="H64" s="78"/>
      <c r="I64" s="78"/>
      <c r="J64" s="78"/>
      <c r="K64" s="78"/>
      <c r="L64" s="78"/>
      <c r="M64" s="78"/>
      <c r="N64" s="78"/>
      <c r="O64" s="95"/>
      <c r="P64" s="95"/>
      <c r="Q64" s="95"/>
      <c r="R64" s="95"/>
      <c r="S64" s="61"/>
      <c r="T64" s="96"/>
      <c r="U64" s="61"/>
    </row>
    <row r="65" spans="1:21" ht="13.5" customHeight="1" x14ac:dyDescent="0.3">
      <c r="A65" s="77"/>
      <c r="B65" s="78"/>
      <c r="C65" s="78"/>
      <c r="D65" s="78"/>
      <c r="E65" s="78"/>
      <c r="F65" s="78"/>
      <c r="G65" s="78"/>
      <c r="H65" s="78"/>
      <c r="I65" s="78"/>
      <c r="J65" s="78"/>
      <c r="K65" s="78"/>
      <c r="L65" s="78"/>
      <c r="M65" s="78"/>
      <c r="N65" s="78"/>
      <c r="O65" s="95"/>
      <c r="P65" s="95"/>
      <c r="Q65" s="95"/>
      <c r="R65" s="95"/>
      <c r="S65" s="61"/>
      <c r="T65" s="96"/>
      <c r="U65" s="61"/>
    </row>
    <row r="66" spans="1:21" ht="13.5" customHeight="1" x14ac:dyDescent="0.3">
      <c r="A66" s="77"/>
      <c r="B66" s="78"/>
      <c r="C66" s="78"/>
      <c r="D66" s="78"/>
      <c r="E66" s="78"/>
      <c r="F66" s="78"/>
      <c r="G66" s="78"/>
      <c r="H66" s="78"/>
      <c r="I66" s="78"/>
      <c r="J66" s="78"/>
      <c r="K66" s="78"/>
      <c r="L66" s="78"/>
      <c r="M66" s="78"/>
      <c r="N66" s="78"/>
      <c r="O66" s="95"/>
      <c r="P66" s="95"/>
      <c r="Q66" s="95"/>
      <c r="R66" s="95"/>
      <c r="S66" s="61"/>
      <c r="T66" s="96"/>
      <c r="U66" s="61"/>
    </row>
    <row r="67" spans="1:21" ht="13.5" customHeight="1" x14ac:dyDescent="0.3">
      <c r="A67" s="77"/>
      <c r="B67" s="78"/>
      <c r="C67" s="78"/>
      <c r="D67" s="78"/>
      <c r="E67" s="78"/>
      <c r="F67" s="78"/>
      <c r="G67" s="78"/>
      <c r="H67" s="78"/>
      <c r="I67" s="78"/>
      <c r="J67" s="78"/>
      <c r="K67" s="78"/>
      <c r="L67" s="78"/>
      <c r="M67" s="78"/>
      <c r="N67" s="78"/>
      <c r="O67" s="95"/>
      <c r="P67" s="95"/>
      <c r="Q67" s="95"/>
      <c r="R67" s="95"/>
      <c r="S67" s="61"/>
      <c r="T67" s="96"/>
      <c r="U67" s="61"/>
    </row>
    <row r="68" spans="1:21" ht="13.5" customHeight="1" x14ac:dyDescent="0.3">
      <c r="A68" s="77"/>
      <c r="B68" s="78"/>
      <c r="C68" s="78"/>
      <c r="D68" s="78"/>
      <c r="E68" s="78"/>
      <c r="F68" s="78"/>
      <c r="G68" s="78"/>
      <c r="H68" s="78"/>
      <c r="I68" s="78"/>
      <c r="J68" s="78"/>
      <c r="K68" s="78"/>
      <c r="L68" s="78"/>
      <c r="M68" s="78"/>
      <c r="N68" s="78"/>
      <c r="O68" s="95"/>
      <c r="P68" s="95"/>
      <c r="Q68" s="95"/>
      <c r="R68" s="95"/>
      <c r="S68" s="61"/>
      <c r="T68" s="96"/>
      <c r="U68" s="61"/>
    </row>
    <row r="69" spans="1:21" ht="13.5" customHeight="1" x14ac:dyDescent="0.3">
      <c r="A69" s="77"/>
      <c r="B69" s="78"/>
      <c r="C69" s="78"/>
      <c r="D69" s="78"/>
      <c r="E69" s="78"/>
      <c r="F69" s="78"/>
      <c r="G69" s="78"/>
      <c r="H69" s="78"/>
      <c r="I69" s="78"/>
      <c r="J69" s="78"/>
      <c r="K69" s="78"/>
      <c r="L69" s="78"/>
      <c r="M69" s="78"/>
      <c r="N69" s="78"/>
      <c r="O69" s="95"/>
      <c r="P69" s="95"/>
      <c r="Q69" s="95"/>
      <c r="R69" s="95"/>
      <c r="S69" s="61"/>
      <c r="T69" s="96"/>
      <c r="U69" s="61"/>
    </row>
    <row r="70" spans="1:21" ht="13.5" customHeight="1" x14ac:dyDescent="0.3">
      <c r="A70" s="77"/>
      <c r="B70" s="78"/>
      <c r="C70" s="78"/>
      <c r="D70" s="78"/>
      <c r="E70" s="78"/>
      <c r="F70" s="78"/>
      <c r="G70" s="78"/>
      <c r="H70" s="78"/>
      <c r="I70" s="78"/>
      <c r="J70" s="78"/>
      <c r="K70" s="78"/>
      <c r="L70" s="78"/>
      <c r="M70" s="78"/>
      <c r="N70" s="78"/>
      <c r="O70" s="95"/>
      <c r="P70" s="95"/>
      <c r="Q70" s="95"/>
      <c r="R70" s="95"/>
      <c r="S70" s="61"/>
      <c r="T70" s="96"/>
      <c r="U70" s="61"/>
    </row>
    <row r="71" spans="1:21" ht="13.5" customHeight="1" x14ac:dyDescent="0.3">
      <c r="A71" s="77"/>
      <c r="B71" s="78"/>
      <c r="C71" s="78"/>
      <c r="D71" s="78"/>
      <c r="E71" s="78"/>
      <c r="F71" s="78"/>
      <c r="G71" s="78"/>
      <c r="H71" s="78"/>
      <c r="I71" s="78"/>
      <c r="J71" s="78"/>
      <c r="K71" s="78"/>
      <c r="L71" s="78"/>
      <c r="M71" s="78"/>
      <c r="N71" s="78"/>
      <c r="O71" s="95"/>
      <c r="P71" s="95"/>
      <c r="Q71" s="95"/>
      <c r="R71" s="95"/>
      <c r="S71" s="61"/>
      <c r="T71" s="96"/>
      <c r="U71" s="61"/>
    </row>
    <row r="72" spans="1:21" ht="13.5" customHeight="1" x14ac:dyDescent="0.3">
      <c r="A72" s="77"/>
      <c r="B72" s="78"/>
      <c r="C72" s="78"/>
      <c r="D72" s="78"/>
      <c r="E72" s="78"/>
      <c r="F72" s="78"/>
      <c r="G72" s="78"/>
      <c r="H72" s="78"/>
      <c r="I72" s="78"/>
      <c r="J72" s="78"/>
      <c r="K72" s="78"/>
      <c r="L72" s="78"/>
      <c r="M72" s="78"/>
      <c r="N72" s="78"/>
      <c r="O72" s="95"/>
      <c r="P72" s="95"/>
      <c r="Q72" s="95"/>
      <c r="R72" s="95"/>
      <c r="S72" s="61"/>
      <c r="T72" s="96"/>
      <c r="U72" s="61"/>
    </row>
    <row r="73" spans="1:21" ht="13.5" customHeight="1" x14ac:dyDescent="0.3">
      <c r="A73" s="77"/>
      <c r="B73" s="78"/>
      <c r="C73" s="78"/>
      <c r="D73" s="78"/>
      <c r="E73" s="78"/>
      <c r="F73" s="78"/>
      <c r="G73" s="78"/>
      <c r="H73" s="78"/>
      <c r="I73" s="78"/>
      <c r="J73" s="78"/>
      <c r="K73" s="78"/>
      <c r="L73" s="78"/>
      <c r="M73" s="78"/>
      <c r="N73" s="78"/>
      <c r="O73" s="95"/>
      <c r="P73" s="95"/>
      <c r="Q73" s="95"/>
      <c r="R73" s="95"/>
      <c r="S73" s="61"/>
      <c r="T73" s="96"/>
      <c r="U73" s="61"/>
    </row>
    <row r="74" spans="1:21" ht="13.5" customHeight="1" x14ac:dyDescent="0.3">
      <c r="A74" s="77"/>
      <c r="B74" s="78"/>
      <c r="C74" s="78"/>
      <c r="D74" s="78"/>
      <c r="E74" s="78"/>
      <c r="F74" s="78"/>
      <c r="G74" s="78"/>
      <c r="H74" s="78"/>
      <c r="I74" s="78"/>
      <c r="J74" s="78"/>
      <c r="K74" s="78"/>
      <c r="L74" s="78"/>
      <c r="M74" s="78"/>
      <c r="N74" s="78"/>
      <c r="O74" s="95"/>
      <c r="P74" s="95"/>
      <c r="Q74" s="95"/>
      <c r="R74" s="95"/>
      <c r="S74" s="61"/>
      <c r="T74" s="96"/>
      <c r="U74" s="61"/>
    </row>
    <row r="75" spans="1:21" ht="13.5" customHeight="1" x14ac:dyDescent="0.3">
      <c r="A75" s="77"/>
      <c r="B75" s="78"/>
      <c r="C75" s="78"/>
      <c r="D75" s="78"/>
      <c r="E75" s="78"/>
      <c r="F75" s="78"/>
      <c r="G75" s="78"/>
      <c r="H75" s="78"/>
      <c r="I75" s="78"/>
      <c r="J75" s="78"/>
      <c r="K75" s="78"/>
      <c r="L75" s="78"/>
      <c r="M75" s="78"/>
      <c r="N75" s="78"/>
      <c r="O75" s="95"/>
      <c r="P75" s="95"/>
      <c r="Q75" s="95"/>
      <c r="R75" s="95"/>
      <c r="S75" s="61"/>
      <c r="T75" s="96"/>
      <c r="U75" s="61"/>
    </row>
    <row r="76" spans="1:21" ht="13.5" customHeight="1" x14ac:dyDescent="0.3">
      <c r="A76" s="77"/>
      <c r="B76" s="78"/>
      <c r="C76" s="78"/>
      <c r="D76" s="78"/>
      <c r="E76" s="78"/>
      <c r="F76" s="78"/>
      <c r="G76" s="78"/>
      <c r="H76" s="78"/>
      <c r="I76" s="78"/>
      <c r="J76" s="78"/>
      <c r="K76" s="78"/>
      <c r="L76" s="78"/>
      <c r="M76" s="78"/>
      <c r="N76" s="78"/>
      <c r="O76" s="95"/>
      <c r="P76" s="95"/>
      <c r="Q76" s="95"/>
      <c r="R76" s="95"/>
      <c r="S76" s="61"/>
      <c r="T76" s="96"/>
      <c r="U76" s="61"/>
    </row>
    <row r="77" spans="1:21" ht="13.5" customHeight="1" x14ac:dyDescent="0.3">
      <c r="A77" s="77"/>
      <c r="B77" s="78"/>
      <c r="C77" s="78"/>
      <c r="D77" s="78"/>
      <c r="E77" s="78"/>
      <c r="F77" s="78"/>
      <c r="G77" s="78"/>
      <c r="H77" s="78"/>
      <c r="I77" s="78"/>
      <c r="J77" s="78"/>
      <c r="K77" s="78"/>
      <c r="L77" s="78"/>
      <c r="M77" s="78"/>
      <c r="N77" s="78"/>
      <c r="O77" s="95"/>
      <c r="P77" s="95"/>
      <c r="Q77" s="95"/>
      <c r="R77" s="95"/>
      <c r="S77" s="61"/>
      <c r="T77" s="96"/>
      <c r="U77" s="61"/>
    </row>
    <row r="78" spans="1:21" ht="13.5" customHeight="1" x14ac:dyDescent="0.3">
      <c r="A78" s="77"/>
      <c r="B78" s="78"/>
      <c r="C78" s="78"/>
      <c r="D78" s="78"/>
      <c r="E78" s="78"/>
      <c r="F78" s="78"/>
      <c r="G78" s="78"/>
      <c r="H78" s="78"/>
      <c r="I78" s="78"/>
      <c r="J78" s="78"/>
      <c r="K78" s="78"/>
      <c r="L78" s="78"/>
      <c r="M78" s="78"/>
      <c r="N78" s="78"/>
      <c r="O78" s="95"/>
      <c r="P78" s="95"/>
      <c r="Q78" s="95"/>
      <c r="R78" s="95"/>
      <c r="S78" s="61"/>
      <c r="T78" s="96"/>
      <c r="U78" s="61"/>
    </row>
    <row r="79" spans="1:21" ht="13.5" customHeight="1" x14ac:dyDescent="0.3">
      <c r="A79" s="77"/>
      <c r="B79" s="78"/>
      <c r="C79" s="78"/>
      <c r="D79" s="78"/>
      <c r="E79" s="78"/>
      <c r="F79" s="78"/>
      <c r="G79" s="78"/>
      <c r="H79" s="78"/>
      <c r="I79" s="78"/>
      <c r="J79" s="78"/>
      <c r="K79" s="78"/>
      <c r="L79" s="78"/>
      <c r="M79" s="78"/>
      <c r="N79" s="78"/>
      <c r="O79" s="95"/>
      <c r="P79" s="95"/>
      <c r="Q79" s="95"/>
      <c r="R79" s="95"/>
      <c r="S79" s="61"/>
      <c r="T79" s="96"/>
      <c r="U79" s="61"/>
    </row>
    <row r="80" spans="1:21" ht="13.5" customHeight="1" x14ac:dyDescent="0.3">
      <c r="A80" s="77"/>
      <c r="B80" s="78"/>
      <c r="C80" s="78"/>
      <c r="D80" s="78"/>
      <c r="E80" s="78"/>
      <c r="F80" s="78"/>
      <c r="G80" s="78"/>
      <c r="H80" s="78"/>
      <c r="I80" s="78"/>
      <c r="J80" s="78"/>
      <c r="K80" s="78"/>
      <c r="L80" s="78"/>
      <c r="M80" s="78"/>
      <c r="N80" s="78"/>
      <c r="O80" s="95"/>
      <c r="P80" s="95"/>
      <c r="Q80" s="95"/>
      <c r="R80" s="95"/>
      <c r="S80" s="61"/>
      <c r="T80" s="96"/>
      <c r="U80" s="61"/>
    </row>
    <row r="81" spans="1:21" ht="13.5" customHeight="1" x14ac:dyDescent="0.3">
      <c r="A81" s="77"/>
      <c r="B81" s="78"/>
      <c r="C81" s="78"/>
      <c r="D81" s="78"/>
      <c r="E81" s="78"/>
      <c r="F81" s="78"/>
      <c r="G81" s="78"/>
      <c r="H81" s="78"/>
      <c r="I81" s="78"/>
      <c r="J81" s="78"/>
      <c r="K81" s="78"/>
      <c r="L81" s="78"/>
      <c r="M81" s="78"/>
      <c r="N81" s="78"/>
      <c r="O81" s="95"/>
      <c r="P81" s="95"/>
      <c r="Q81" s="95"/>
      <c r="R81" s="95"/>
      <c r="S81" s="61"/>
      <c r="T81" s="96"/>
      <c r="U81" s="61"/>
    </row>
    <row r="82" spans="1:21" ht="13.5" customHeight="1" x14ac:dyDescent="0.3">
      <c r="A82" s="77"/>
      <c r="B82" s="78"/>
      <c r="C82" s="78"/>
      <c r="D82" s="78"/>
      <c r="E82" s="78"/>
      <c r="F82" s="78"/>
      <c r="G82" s="78"/>
      <c r="H82" s="78"/>
      <c r="I82" s="78"/>
      <c r="J82" s="78"/>
      <c r="K82" s="78"/>
      <c r="L82" s="78"/>
      <c r="M82" s="78"/>
      <c r="N82" s="78"/>
      <c r="O82" s="95"/>
      <c r="P82" s="95"/>
      <c r="Q82" s="95"/>
      <c r="R82" s="95"/>
      <c r="S82" s="61"/>
      <c r="T82" s="96"/>
      <c r="U82" s="61"/>
    </row>
    <row r="83" spans="1:21" ht="6.75" customHeight="1" x14ac:dyDescent="0.3">
      <c r="A83" s="50"/>
      <c r="B83" s="50"/>
      <c r="C83" s="50"/>
      <c r="D83" s="50"/>
      <c r="E83" s="50"/>
      <c r="F83" s="50"/>
      <c r="G83" s="50"/>
      <c r="H83" s="50"/>
      <c r="I83" s="50"/>
      <c r="J83" s="50"/>
      <c r="K83" s="50"/>
      <c r="L83" s="50"/>
      <c r="M83" s="50"/>
      <c r="N83" s="50"/>
      <c r="O83" s="50"/>
      <c r="P83" s="50"/>
      <c r="Q83" s="50"/>
      <c r="R83" s="50"/>
      <c r="S83" s="50"/>
      <c r="T83" s="50"/>
      <c r="U83" s="50"/>
    </row>
    <row r="84" spans="1:21" x14ac:dyDescent="0.3">
      <c r="A84" s="64"/>
      <c r="B84" s="65" t="s">
        <v>857</v>
      </c>
      <c r="C84" s="66"/>
      <c r="D84" s="66"/>
      <c r="E84" s="66"/>
      <c r="F84" s="66"/>
      <c r="G84" s="66"/>
      <c r="H84" s="66"/>
      <c r="I84" s="66"/>
      <c r="J84" s="66"/>
      <c r="K84" s="66"/>
      <c r="L84" s="66"/>
      <c r="M84" s="66"/>
      <c r="N84" s="66"/>
      <c r="O84" s="66"/>
      <c r="P84" s="66"/>
      <c r="Q84" s="66"/>
      <c r="R84" s="66"/>
      <c r="S84" s="66"/>
      <c r="T84" s="66"/>
      <c r="U84" s="67"/>
    </row>
    <row r="85" spans="1:21" ht="6.75" customHeight="1" x14ac:dyDescent="0.3">
      <c r="A85" s="68"/>
      <c r="B85" s="63"/>
      <c r="C85" s="63"/>
      <c r="D85" s="63"/>
      <c r="E85" s="63"/>
      <c r="F85" s="63"/>
      <c r="G85" s="63"/>
      <c r="H85" s="63"/>
      <c r="I85" s="63"/>
      <c r="J85" s="63"/>
      <c r="K85" s="63"/>
      <c r="L85" s="63"/>
      <c r="M85" s="63"/>
      <c r="N85" s="63"/>
      <c r="O85" s="63"/>
      <c r="P85" s="63"/>
      <c r="Q85" s="63"/>
      <c r="R85" s="63"/>
      <c r="S85" s="63"/>
      <c r="T85" s="63"/>
      <c r="U85" s="69"/>
    </row>
    <row r="86" spans="1:21" x14ac:dyDescent="0.3">
      <c r="A86" s="68"/>
      <c r="B86" s="63"/>
      <c r="C86" s="70" t="s">
        <v>858</v>
      </c>
      <c r="D86" s="63"/>
      <c r="E86" s="63"/>
      <c r="F86" s="63"/>
      <c r="G86" s="63"/>
      <c r="H86" s="63"/>
      <c r="I86" s="63"/>
      <c r="J86" s="63"/>
      <c r="K86" s="70" t="s">
        <v>859</v>
      </c>
      <c r="L86" s="63"/>
      <c r="M86" s="63"/>
      <c r="N86" s="63"/>
      <c r="O86" s="63"/>
      <c r="P86" s="63"/>
      <c r="Q86" s="63"/>
      <c r="R86" s="70" t="s">
        <v>860</v>
      </c>
      <c r="S86" s="70"/>
      <c r="T86" s="70"/>
      <c r="U86" s="69"/>
    </row>
    <row r="87" spans="1:21" x14ac:dyDescent="0.3">
      <c r="A87" s="338"/>
      <c r="B87" s="339"/>
      <c r="C87" s="340" t="s">
        <v>861</v>
      </c>
      <c r="D87" s="340"/>
      <c r="E87" s="1248"/>
      <c r="F87" s="1248"/>
      <c r="G87" s="1248"/>
      <c r="H87" s="1248"/>
      <c r="I87" s="340"/>
      <c r="J87" s="339"/>
      <c r="K87" s="340" t="s">
        <v>862</v>
      </c>
      <c r="L87" s="340"/>
      <c r="M87" s="1248"/>
      <c r="N87" s="1248"/>
      <c r="O87" s="1248"/>
      <c r="P87" s="340"/>
      <c r="Q87" s="339"/>
      <c r="R87" s="340" t="s">
        <v>863</v>
      </c>
      <c r="S87" s="1248"/>
      <c r="T87" s="1248"/>
      <c r="U87" s="69"/>
    </row>
    <row r="88" spans="1:21" x14ac:dyDescent="0.3">
      <c r="A88" s="338"/>
      <c r="B88" s="339"/>
      <c r="C88" s="340" t="s">
        <v>864</v>
      </c>
      <c r="D88" s="340"/>
      <c r="E88" s="1248"/>
      <c r="F88" s="1248"/>
      <c r="G88" s="1248"/>
      <c r="H88" s="1248"/>
      <c r="I88" s="340"/>
      <c r="J88" s="339"/>
      <c r="K88" s="340" t="s">
        <v>865</v>
      </c>
      <c r="L88" s="340"/>
      <c r="M88" s="1248"/>
      <c r="N88" s="1248"/>
      <c r="O88" s="1248"/>
      <c r="P88" s="340"/>
      <c r="Q88" s="339"/>
      <c r="R88" s="340" t="s">
        <v>866</v>
      </c>
      <c r="S88" s="1249"/>
      <c r="T88" s="1249"/>
      <c r="U88" s="69"/>
    </row>
    <row r="89" spans="1:21" x14ac:dyDescent="0.3">
      <c r="A89" s="338"/>
      <c r="B89" s="340"/>
      <c r="C89" s="340"/>
      <c r="D89" s="340"/>
      <c r="E89" s="340"/>
      <c r="F89" s="340"/>
      <c r="G89" s="340"/>
      <c r="H89" s="340"/>
      <c r="I89" s="340"/>
      <c r="J89" s="340"/>
      <c r="K89" s="340"/>
      <c r="L89" s="340"/>
      <c r="M89" s="340"/>
      <c r="N89" s="340"/>
      <c r="O89" s="340"/>
      <c r="P89" s="340"/>
      <c r="Q89" s="339"/>
      <c r="R89" s="340" t="s">
        <v>867</v>
      </c>
      <c r="S89" s="1249"/>
      <c r="T89" s="1249"/>
      <c r="U89" s="69"/>
    </row>
    <row r="90" spans="1:21" ht="6" customHeight="1" x14ac:dyDescent="0.3">
      <c r="A90" s="71"/>
      <c r="B90" s="72"/>
      <c r="C90" s="72"/>
      <c r="D90" s="72"/>
      <c r="E90" s="72"/>
      <c r="F90" s="72"/>
      <c r="G90" s="72"/>
      <c r="H90" s="72"/>
      <c r="I90" s="72"/>
      <c r="J90" s="72"/>
      <c r="K90" s="72"/>
      <c r="L90" s="72"/>
      <c r="M90" s="72"/>
      <c r="N90" s="72"/>
      <c r="O90" s="72"/>
      <c r="P90" s="72"/>
      <c r="Q90" s="72"/>
      <c r="R90" s="72"/>
      <c r="S90" s="72"/>
      <c r="T90" s="72"/>
      <c r="U90" s="73"/>
    </row>
    <row r="92" spans="1:21" x14ac:dyDescent="0.3">
      <c r="A92" s="1183" t="s">
        <v>821</v>
      </c>
      <c r="B92" s="1184"/>
      <c r="C92" s="1184"/>
      <c r="D92" s="1184"/>
      <c r="E92" s="1184"/>
      <c r="F92" s="1184"/>
      <c r="G92" s="1184"/>
      <c r="H92" s="1184"/>
      <c r="I92" s="1184"/>
      <c r="J92" s="1184"/>
      <c r="K92" s="1184"/>
      <c r="L92" s="1184"/>
      <c r="M92" s="1184"/>
      <c r="N92" s="1184"/>
      <c r="O92" s="1184"/>
      <c r="P92" s="1184"/>
      <c r="Q92" s="1184"/>
      <c r="R92" s="1184"/>
      <c r="S92" s="1184"/>
      <c r="T92" s="1184"/>
      <c r="U92" s="1185"/>
    </row>
    <row r="93" spans="1:21" x14ac:dyDescent="0.3">
      <c r="A93" s="1186" t="s">
        <v>822</v>
      </c>
      <c r="B93" s="1186"/>
      <c r="C93" s="1186"/>
      <c r="D93" s="1186"/>
      <c r="E93" s="1186"/>
      <c r="F93" s="1186"/>
      <c r="G93" s="1186"/>
      <c r="H93" s="1186"/>
      <c r="I93" s="1186" t="s">
        <v>823</v>
      </c>
      <c r="J93" s="1186"/>
      <c r="K93" s="1186"/>
      <c r="L93" s="1186"/>
      <c r="M93" s="1186"/>
      <c r="N93" s="1186"/>
      <c r="O93" s="1186"/>
      <c r="P93" s="1187" t="s">
        <v>824</v>
      </c>
      <c r="Q93" s="1187"/>
      <c r="R93" s="1187"/>
      <c r="S93" s="1187"/>
      <c r="T93" s="1187"/>
      <c r="U93" s="1187"/>
    </row>
    <row r="94" spans="1:21" x14ac:dyDescent="0.3">
      <c r="A94" s="1182" t="str">
        <f>RA_Standard!A97</f>
        <v>Brokerage/Realty</v>
      </c>
      <c r="B94" s="1182"/>
      <c r="C94" s="1182"/>
      <c r="D94" s="1182"/>
      <c r="E94" s="1182"/>
      <c r="F94" s="1182"/>
      <c r="G94" s="1182"/>
      <c r="H94" s="1182"/>
      <c r="I94" s="1182"/>
      <c r="J94" s="1182"/>
      <c r="K94" s="1182"/>
      <c r="L94" s="1182"/>
      <c r="M94" s="1182"/>
      <c r="N94" s="1182"/>
      <c r="O94" s="1182"/>
      <c r="P94" s="1182"/>
      <c r="Q94" s="1182"/>
      <c r="R94" s="1182"/>
      <c r="S94" s="1182"/>
      <c r="T94" s="1182"/>
      <c r="U94" s="1182"/>
    </row>
    <row r="95" spans="1:21" x14ac:dyDescent="0.3">
      <c r="A95" s="1182" t="str">
        <f>RA_Standard!A98</f>
        <v xml:space="preserve">Broker Head / AVP </v>
      </c>
      <c r="B95" s="1182"/>
      <c r="C95" s="1182"/>
      <c r="D95" s="1182"/>
      <c r="E95" s="1182"/>
      <c r="F95" s="1182"/>
      <c r="G95" s="1182"/>
      <c r="H95" s="1182"/>
      <c r="I95" s="1182"/>
      <c r="J95" s="1182"/>
      <c r="K95" s="1182"/>
      <c r="L95" s="1182"/>
      <c r="M95" s="1182"/>
      <c r="N95" s="1182"/>
      <c r="O95" s="1182"/>
      <c r="P95" s="1182"/>
      <c r="Q95" s="1182"/>
      <c r="R95" s="1182"/>
      <c r="S95" s="1182"/>
      <c r="T95" s="1182"/>
      <c r="U95" s="1182"/>
    </row>
    <row r="96" spans="1:21" x14ac:dyDescent="0.3">
      <c r="A96" s="1182" t="str">
        <f>RA_Standard!A99</f>
        <v>Sales Manager</v>
      </c>
      <c r="B96" s="1182"/>
      <c r="C96" s="1182"/>
      <c r="D96" s="1182"/>
      <c r="E96" s="1182"/>
      <c r="F96" s="1182"/>
      <c r="G96" s="1182"/>
      <c r="H96" s="1182"/>
      <c r="I96" s="1182"/>
      <c r="J96" s="1182"/>
      <c r="K96" s="1182"/>
      <c r="L96" s="1182"/>
      <c r="M96" s="1182"/>
      <c r="N96" s="1182"/>
      <c r="O96" s="1182"/>
      <c r="P96" s="1182"/>
      <c r="Q96" s="1182"/>
      <c r="R96" s="1182"/>
      <c r="S96" s="1182"/>
      <c r="T96" s="1182"/>
      <c r="U96" s="1182"/>
    </row>
    <row r="97" spans="1:21" x14ac:dyDescent="0.3">
      <c r="A97" s="1182" t="str">
        <f>RA_Standard!A100</f>
        <v>Sales Agent / Property Consultant</v>
      </c>
      <c r="B97" s="1182"/>
      <c r="C97" s="1182"/>
      <c r="D97" s="1182"/>
      <c r="E97" s="1182"/>
      <c r="F97" s="1182"/>
      <c r="G97" s="1182"/>
      <c r="H97" s="1182"/>
      <c r="I97" s="1182"/>
      <c r="J97" s="1182"/>
      <c r="K97" s="1182"/>
      <c r="L97" s="1182"/>
      <c r="M97" s="1182"/>
      <c r="N97" s="1182"/>
      <c r="O97" s="1182"/>
      <c r="P97" s="1182"/>
      <c r="Q97" s="1182"/>
      <c r="R97" s="1182"/>
      <c r="S97" s="1182"/>
      <c r="T97" s="1182"/>
      <c r="U97" s="1182"/>
    </row>
    <row r="99" spans="1:21" x14ac:dyDescent="0.3">
      <c r="A99" s="1251" t="s">
        <v>868</v>
      </c>
      <c r="B99" s="1251"/>
      <c r="C99" s="1251"/>
      <c r="D99" s="1251"/>
      <c r="E99" s="1251"/>
      <c r="F99" s="1251"/>
      <c r="G99" s="1251"/>
      <c r="H99" s="1251"/>
      <c r="I99" s="1251"/>
      <c r="J99" s="1251"/>
      <c r="K99" s="1251"/>
      <c r="L99" s="1251"/>
      <c r="M99" s="1251"/>
      <c r="N99" s="1251"/>
      <c r="O99" s="1251"/>
      <c r="P99" s="1251"/>
      <c r="Q99" s="1251"/>
      <c r="R99" s="1251"/>
      <c r="S99" s="1251"/>
      <c r="T99" s="1251"/>
      <c r="U99" s="1251"/>
    </row>
    <row r="100" spans="1:21" x14ac:dyDescent="0.3">
      <c r="A100" s="629"/>
      <c r="B100" s="629"/>
      <c r="C100" s="629"/>
      <c r="D100" s="629"/>
      <c r="E100" s="629"/>
      <c r="F100" s="629"/>
      <c r="G100" s="629"/>
      <c r="H100" s="629"/>
      <c r="I100" s="629"/>
      <c r="J100" s="629"/>
      <c r="K100" s="629"/>
      <c r="L100" s="629"/>
      <c r="M100" s="629"/>
      <c r="N100" s="629"/>
      <c r="O100" s="629"/>
      <c r="P100" s="629"/>
      <c r="Q100" s="629"/>
      <c r="R100" s="629"/>
      <c r="S100" s="629"/>
      <c r="T100" s="629"/>
      <c r="U100" s="629"/>
    </row>
    <row r="101" spans="1:21" x14ac:dyDescent="0.3">
      <c r="A101" s="629"/>
      <c r="B101" s="629"/>
      <c r="C101" s="629"/>
      <c r="D101" s="629"/>
      <c r="E101" s="629"/>
      <c r="F101" s="629"/>
      <c r="G101" s="629"/>
      <c r="H101" s="629"/>
      <c r="I101" s="629"/>
      <c r="J101" s="629"/>
      <c r="K101" s="629"/>
      <c r="L101" s="629"/>
      <c r="M101" s="629"/>
      <c r="N101" s="629"/>
      <c r="O101" s="629"/>
      <c r="P101" s="629"/>
      <c r="Q101" s="629"/>
      <c r="R101" s="629"/>
      <c r="S101" s="629"/>
      <c r="T101" s="629"/>
      <c r="U101" s="629"/>
    </row>
    <row r="102" spans="1:21" x14ac:dyDescent="0.3">
      <c r="A102" s="629"/>
      <c r="B102" s="629"/>
      <c r="C102" s="629"/>
      <c r="D102" s="629"/>
      <c r="E102" s="629"/>
      <c r="F102" s="629"/>
      <c r="G102" s="629"/>
      <c r="H102" s="629"/>
      <c r="I102" s="629"/>
      <c r="J102" s="629"/>
      <c r="K102" s="629"/>
      <c r="L102" s="629"/>
      <c r="M102" s="629"/>
      <c r="N102" s="629"/>
      <c r="O102" s="629"/>
      <c r="P102" s="629"/>
      <c r="Q102" s="629"/>
      <c r="R102" s="629"/>
      <c r="S102" s="629"/>
      <c r="T102" s="629"/>
      <c r="U102" s="629"/>
    </row>
    <row r="103" spans="1:21" x14ac:dyDescent="0.3">
      <c r="A103" s="629"/>
      <c r="B103" s="629"/>
      <c r="C103" s="629"/>
      <c r="D103" s="629"/>
      <c r="E103" s="629"/>
      <c r="F103" s="629"/>
      <c r="G103" s="629"/>
      <c r="H103" s="629"/>
      <c r="I103" s="629"/>
      <c r="J103" s="629"/>
      <c r="K103" s="629"/>
      <c r="L103" s="629"/>
      <c r="M103" s="629"/>
      <c r="N103" s="629"/>
      <c r="O103" s="629"/>
      <c r="P103" s="629"/>
      <c r="Q103" s="629"/>
      <c r="R103" s="629"/>
      <c r="S103" s="629"/>
      <c r="T103" s="629"/>
      <c r="U103" s="629"/>
    </row>
    <row r="104" spans="1:21" x14ac:dyDescent="0.3">
      <c r="A104" s="629"/>
      <c r="B104" s="629"/>
      <c r="C104" s="629"/>
      <c r="D104" s="629"/>
      <c r="E104" s="629"/>
      <c r="F104" s="629"/>
      <c r="G104" s="629"/>
      <c r="H104" s="629"/>
      <c r="I104" s="629"/>
      <c r="J104" s="629"/>
      <c r="K104" s="629"/>
      <c r="L104" s="629"/>
      <c r="M104" s="629"/>
      <c r="N104" s="629"/>
      <c r="O104" s="629"/>
      <c r="P104" s="629"/>
      <c r="Q104" s="629"/>
      <c r="R104" s="629"/>
      <c r="S104" s="629"/>
      <c r="T104" s="629"/>
      <c r="U104" s="629"/>
    </row>
    <row r="105" spans="1:21" x14ac:dyDescent="0.3">
      <c r="A105" s="629"/>
      <c r="B105" s="629"/>
      <c r="C105" s="629"/>
      <c r="D105" s="629"/>
      <c r="E105" s="629"/>
      <c r="F105" s="629"/>
      <c r="G105" s="629"/>
      <c r="H105" s="629"/>
      <c r="I105" s="629"/>
      <c r="J105" s="629"/>
      <c r="K105" s="629"/>
      <c r="L105" s="629"/>
      <c r="M105" s="629"/>
      <c r="N105" s="629"/>
      <c r="O105" s="629"/>
      <c r="P105" s="629"/>
      <c r="Q105" s="629"/>
      <c r="R105" s="629"/>
      <c r="S105" s="629"/>
      <c r="T105" s="629"/>
      <c r="U105" s="629"/>
    </row>
    <row r="106" spans="1:21" x14ac:dyDescent="0.3">
      <c r="A106" s="629"/>
      <c r="B106" s="629"/>
      <c r="C106" s="629"/>
      <c r="D106" s="629"/>
      <c r="E106" s="629"/>
      <c r="F106" s="629"/>
      <c r="G106" s="629"/>
      <c r="H106" s="629"/>
      <c r="I106" s="629"/>
      <c r="J106" s="629"/>
      <c r="K106" s="629"/>
      <c r="L106" s="629"/>
      <c r="M106" s="629"/>
      <c r="N106" s="629"/>
      <c r="O106" s="629"/>
      <c r="P106" s="629"/>
      <c r="Q106" s="629"/>
      <c r="R106" s="629"/>
      <c r="S106" s="629"/>
      <c r="T106" s="629"/>
      <c r="U106" s="629"/>
    </row>
    <row r="107" spans="1:21" x14ac:dyDescent="0.3">
      <c r="A107" s="629"/>
      <c r="B107" s="629"/>
      <c r="C107" s="629"/>
      <c r="D107" s="629"/>
      <c r="E107" s="629"/>
      <c r="F107" s="629"/>
      <c r="G107" s="629"/>
      <c r="H107" s="629"/>
      <c r="I107" s="629"/>
      <c r="J107" s="629"/>
      <c r="K107" s="629"/>
      <c r="L107" s="629"/>
      <c r="M107" s="629"/>
      <c r="N107" s="629"/>
      <c r="O107" s="629"/>
      <c r="P107" s="629"/>
      <c r="Q107" s="629"/>
      <c r="R107" s="629"/>
      <c r="S107" s="629"/>
      <c r="T107" s="629"/>
      <c r="U107" s="629"/>
    </row>
    <row r="108" spans="1:21" x14ac:dyDescent="0.3">
      <c r="A108" s="629"/>
      <c r="B108" s="629"/>
      <c r="C108" s="629"/>
      <c r="D108" s="629"/>
      <c r="E108" s="629"/>
      <c r="F108" s="629"/>
      <c r="G108" s="629"/>
      <c r="H108" s="629"/>
      <c r="I108" s="629"/>
      <c r="J108" s="629"/>
      <c r="K108" s="629"/>
      <c r="L108" s="629"/>
      <c r="M108" s="629"/>
      <c r="N108" s="629"/>
      <c r="O108" s="629"/>
      <c r="P108" s="629"/>
      <c r="Q108" s="629"/>
      <c r="R108" s="629"/>
      <c r="S108" s="629"/>
      <c r="T108" s="629"/>
      <c r="U108" s="629"/>
    </row>
    <row r="110" spans="1:21" ht="25.5" customHeight="1" x14ac:dyDescent="0.3">
      <c r="I110" s="1240">
        <f>D2</f>
        <v>0</v>
      </c>
      <c r="J110" s="1240"/>
      <c r="K110" s="1240"/>
      <c r="L110" s="1240"/>
      <c r="M110" s="1240"/>
      <c r="N110" s="1240"/>
      <c r="O110" s="1240"/>
      <c r="P110" s="1240"/>
      <c r="Q110" s="1240"/>
    </row>
    <row r="111" spans="1:21" x14ac:dyDescent="0.3">
      <c r="A111" s="1245" t="s">
        <v>869</v>
      </c>
      <c r="B111" s="1245"/>
      <c r="C111" s="1245"/>
      <c r="D111" s="1245"/>
      <c r="E111" s="1245"/>
      <c r="F111" s="1245"/>
      <c r="G111" s="1245"/>
      <c r="H111" s="1245"/>
      <c r="I111" s="1245"/>
      <c r="J111" s="1245"/>
      <c r="K111" s="1245"/>
      <c r="L111" s="1245"/>
      <c r="M111" s="1245"/>
      <c r="N111" s="1245"/>
      <c r="O111" s="1245"/>
      <c r="P111" s="1245"/>
      <c r="Q111" s="1245"/>
      <c r="R111" s="1245"/>
      <c r="S111" s="1245"/>
      <c r="T111" s="1245"/>
      <c r="U111" s="1245"/>
    </row>
    <row r="112" spans="1:21" x14ac:dyDescent="0.3">
      <c r="A112" s="21"/>
      <c r="B112" s="21"/>
      <c r="C112" s="21"/>
      <c r="D112" s="21"/>
      <c r="E112" s="21"/>
      <c r="F112" s="21"/>
      <c r="G112" s="21"/>
      <c r="H112" s="21"/>
      <c r="I112" s="21"/>
      <c r="J112" s="21"/>
      <c r="K112" s="21"/>
      <c r="L112" s="21"/>
      <c r="M112" s="21"/>
      <c r="N112" s="21"/>
      <c r="O112" s="21"/>
      <c r="P112" s="21"/>
      <c r="Q112" s="21"/>
      <c r="R112" s="21"/>
      <c r="S112" s="21"/>
      <c r="T112" s="21"/>
      <c r="U112" s="21"/>
    </row>
    <row r="113" spans="1:21" x14ac:dyDescent="0.3">
      <c r="A113" s="21"/>
      <c r="B113" s="21"/>
      <c r="C113" s="21"/>
      <c r="D113" s="21"/>
      <c r="E113" s="21"/>
      <c r="F113" s="21"/>
      <c r="G113" s="21"/>
      <c r="H113" s="21"/>
      <c r="I113" s="21"/>
      <c r="J113" s="21"/>
      <c r="K113" s="21"/>
      <c r="L113" s="21"/>
      <c r="M113" s="21"/>
      <c r="N113" s="21"/>
      <c r="O113" s="21"/>
      <c r="P113" s="21"/>
      <c r="Q113" s="21"/>
      <c r="R113" s="21"/>
      <c r="S113" s="21"/>
      <c r="T113" s="21"/>
      <c r="U113" s="21"/>
    </row>
    <row r="114" spans="1:21" ht="21.75" customHeight="1" x14ac:dyDescent="0.3">
      <c r="A114" s="1239" t="s">
        <v>870</v>
      </c>
      <c r="B114" s="1239"/>
      <c r="C114" s="1239"/>
      <c r="D114" s="1239"/>
      <c r="E114" s="1239"/>
      <c r="F114" s="1239"/>
      <c r="G114" s="1239"/>
      <c r="H114" s="1239"/>
      <c r="I114" s="1239"/>
      <c r="J114" s="1239"/>
      <c r="K114" s="1239"/>
      <c r="L114" s="1239"/>
      <c r="M114" s="1239"/>
      <c r="N114" s="1239"/>
      <c r="O114" s="1239"/>
      <c r="P114" s="1239"/>
      <c r="Q114" s="1239"/>
      <c r="R114" s="1239"/>
      <c r="S114" s="1239"/>
      <c r="T114" s="1239"/>
      <c r="U114" s="1239"/>
    </row>
    <row r="115" spans="1:21" x14ac:dyDescent="0.3">
      <c r="A115" s="1238" t="str">
        <f>H7</f>
        <v>WEE COMMUNITY DEVELOPERS, INC.</v>
      </c>
      <c r="B115" s="1238"/>
      <c r="C115" s="1238"/>
      <c r="D115" s="1238"/>
      <c r="E115" s="1238"/>
      <c r="F115" s="1238"/>
      <c r="G115" s="1238"/>
      <c r="H115" s="1238"/>
      <c r="I115" s="1238"/>
      <c r="J115" s="1238"/>
      <c r="K115" s="1238"/>
      <c r="L115" s="1238"/>
      <c r="M115" s="1238"/>
      <c r="N115" s="1238"/>
      <c r="O115" s="1238"/>
      <c r="P115" s="1238"/>
      <c r="Q115" s="1238"/>
      <c r="R115" s="1238"/>
      <c r="S115" s="1238"/>
      <c r="T115" s="1238"/>
      <c r="U115" s="1238"/>
    </row>
    <row r="116" spans="1:21" x14ac:dyDescent="0.3">
      <c r="A116" s="21"/>
      <c r="B116" s="21"/>
      <c r="C116" s="21"/>
      <c r="D116" s="21"/>
      <c r="E116" s="21"/>
      <c r="F116" s="21"/>
      <c r="G116" s="21"/>
      <c r="H116" s="21"/>
      <c r="I116" s="21"/>
      <c r="J116" s="21"/>
      <c r="K116" s="21"/>
      <c r="L116" s="21"/>
      <c r="M116" s="21"/>
      <c r="N116" s="21"/>
      <c r="O116" s="21"/>
      <c r="P116" s="21"/>
      <c r="Q116" s="21"/>
      <c r="R116" s="21"/>
      <c r="S116" s="21"/>
      <c r="T116" s="21"/>
      <c r="U116" s="21"/>
    </row>
    <row r="117" spans="1:21" x14ac:dyDescent="0.3">
      <c r="A117" s="21"/>
      <c r="B117" s="21"/>
      <c r="C117" s="21"/>
      <c r="D117" s="21"/>
      <c r="E117" s="21"/>
      <c r="F117" s="21"/>
      <c r="G117" s="21"/>
      <c r="H117" s="21"/>
      <c r="I117" s="1240"/>
      <c r="J117" s="1240"/>
      <c r="K117" s="1240"/>
      <c r="L117" s="1240"/>
      <c r="M117" s="1240"/>
      <c r="N117" s="1240"/>
      <c r="O117" s="1240"/>
      <c r="P117" s="1240"/>
      <c r="Q117" s="1240"/>
      <c r="R117" s="21"/>
      <c r="S117" s="21"/>
      <c r="T117" s="21"/>
      <c r="U117" s="21"/>
    </row>
    <row r="121" spans="1:21" x14ac:dyDescent="0.3">
      <c r="I121" s="56"/>
    </row>
  </sheetData>
  <sheetProtection sheet="1" formatCells="0" formatColumns="0" formatRows="0" selectLockedCells="1"/>
  <mergeCells count="74">
    <mergeCell ref="I117:Q117"/>
    <mergeCell ref="D2:Q2"/>
    <mergeCell ref="R20:S20"/>
    <mergeCell ref="R21:S21"/>
    <mergeCell ref="R22:S22"/>
    <mergeCell ref="H7:O7"/>
    <mergeCell ref="A9:P9"/>
    <mergeCell ref="A3:Q3"/>
    <mergeCell ref="A4:U5"/>
    <mergeCell ref="A8:U8"/>
    <mergeCell ref="T22:U22"/>
    <mergeCell ref="I10:U10"/>
    <mergeCell ref="M11:U11"/>
    <mergeCell ref="K12:U12"/>
    <mergeCell ref="E15:T15"/>
    <mergeCell ref="A19:F19"/>
    <mergeCell ref="G19:L19"/>
    <mergeCell ref="M19:Q19"/>
    <mergeCell ref="R19:U19"/>
    <mergeCell ref="D20:F20"/>
    <mergeCell ref="J20:L20"/>
    <mergeCell ref="P20:Q20"/>
    <mergeCell ref="T20:U20"/>
    <mergeCell ref="D21:E21"/>
    <mergeCell ref="J21:L21"/>
    <mergeCell ref="T21:U21"/>
    <mergeCell ref="D22:E22"/>
    <mergeCell ref="J22:L22"/>
    <mergeCell ref="P22:Q22"/>
    <mergeCell ref="P21:Q21"/>
    <mergeCell ref="I26:U26"/>
    <mergeCell ref="R23:S24"/>
    <mergeCell ref="T23:U24"/>
    <mergeCell ref="D24:F24"/>
    <mergeCell ref="D23:E23"/>
    <mergeCell ref="J23:L23"/>
    <mergeCell ref="P23:Q23"/>
    <mergeCell ref="J24:L24"/>
    <mergeCell ref="P24:Q24"/>
    <mergeCell ref="I27:U27"/>
    <mergeCell ref="I28:U28"/>
    <mergeCell ref="I29:U29"/>
    <mergeCell ref="I30:U30"/>
    <mergeCell ref="I31:U31"/>
    <mergeCell ref="O39:R39"/>
    <mergeCell ref="C39:N39"/>
    <mergeCell ref="A92:U92"/>
    <mergeCell ref="A93:H93"/>
    <mergeCell ref="I93:O93"/>
    <mergeCell ref="P93:U93"/>
    <mergeCell ref="E87:H87"/>
    <mergeCell ref="E88:H88"/>
    <mergeCell ref="M87:O87"/>
    <mergeCell ref="M88:O88"/>
    <mergeCell ref="S87:T87"/>
    <mergeCell ref="S88:T88"/>
    <mergeCell ref="S89:T89"/>
    <mergeCell ref="A94:H94"/>
    <mergeCell ref="I94:O94"/>
    <mergeCell ref="P94:U94"/>
    <mergeCell ref="A95:H95"/>
    <mergeCell ref="I95:O95"/>
    <mergeCell ref="P95:U95"/>
    <mergeCell ref="A111:U111"/>
    <mergeCell ref="A114:U114"/>
    <mergeCell ref="A115:U115"/>
    <mergeCell ref="A96:H96"/>
    <mergeCell ref="I96:O96"/>
    <mergeCell ref="P96:U96"/>
    <mergeCell ref="A97:H97"/>
    <mergeCell ref="I97:O97"/>
    <mergeCell ref="P97:U97"/>
    <mergeCell ref="I110:Q110"/>
    <mergeCell ref="A99:U99"/>
  </mergeCells>
  <pageMargins left="0.51181102362204722" right="0.51181102362204722" top="1.1811023622047245" bottom="0.74803149606299213" header="0.31496062992125984" footer="0.31496062992125984"/>
  <pageSetup paperSize="14" scale="87" orientation="portrait" r:id="rId1"/>
  <headerFooter>
    <oddHeader xml:space="preserve">&amp;R
&amp;"Century Gothic,Bold"&amp;18RESERVATION AGREEMENT&amp;"-,Regular"&amp;11
</oddHeader>
  </headerFooter>
  <rowBreaks count="1" manualBreakCount="1">
    <brk id="60" max="20" man="1"/>
  </rowBreaks>
  <drawing r:id="rId2"/>
  <legacyDrawing r:id="rId3"/>
  <mc:AlternateContent xmlns:mc="http://schemas.openxmlformats.org/markup-compatibility/2006">
    <mc:Choice Requires="x14">
      <controls>
        <mc:AlternateContent xmlns:mc="http://schemas.openxmlformats.org/markup-compatibility/2006">
          <mc:Choice Requires="x14">
            <control shapeId="32782" r:id="rId4" name="Check Box 14">
              <controlPr defaultSize="0" autoFill="0" autoLine="0" autoPict="0">
                <anchor moveWithCells="1">
                  <from>
                    <xdr:col>2</xdr:col>
                    <xdr:colOff>38100</xdr:colOff>
                    <xdr:row>34</xdr:row>
                    <xdr:rowOff>19050</xdr:rowOff>
                  </from>
                  <to>
                    <xdr:col>2</xdr:col>
                    <xdr:colOff>285750</xdr:colOff>
                    <xdr:row>35</xdr:row>
                    <xdr:rowOff>19050</xdr:rowOff>
                  </to>
                </anchor>
              </controlPr>
            </control>
          </mc:Choice>
        </mc:AlternateContent>
        <mc:AlternateContent xmlns:mc="http://schemas.openxmlformats.org/markup-compatibility/2006">
          <mc:Choice Requires="x14">
            <control shapeId="32784" r:id="rId5" name="Check Box 16">
              <controlPr defaultSize="0" autoFill="0" autoLine="0" autoPict="0">
                <anchor moveWithCells="1">
                  <from>
                    <xdr:col>11</xdr:col>
                    <xdr:colOff>95250</xdr:colOff>
                    <xdr:row>33</xdr:row>
                    <xdr:rowOff>57150</xdr:rowOff>
                  </from>
                  <to>
                    <xdr:col>12</xdr:col>
                    <xdr:colOff>19050</xdr:colOff>
                    <xdr:row>35</xdr:row>
                    <xdr:rowOff>0</xdr:rowOff>
                  </to>
                </anchor>
              </controlPr>
            </control>
          </mc:Choice>
        </mc:AlternateContent>
        <mc:AlternateContent xmlns:mc="http://schemas.openxmlformats.org/markup-compatibility/2006">
          <mc:Choice Requires="x14">
            <control shapeId="32785" r:id="rId6" name="Check Box 17">
              <controlPr defaultSize="0" autoFill="0" autoLine="0" autoPict="0">
                <anchor moveWithCells="1">
                  <from>
                    <xdr:col>2</xdr:col>
                    <xdr:colOff>257175</xdr:colOff>
                    <xdr:row>16</xdr:row>
                    <xdr:rowOff>0</xdr:rowOff>
                  </from>
                  <to>
                    <xdr:col>3</xdr:col>
                    <xdr:colOff>152400</xdr:colOff>
                    <xdr:row>17</xdr:row>
                    <xdr:rowOff>19050</xdr:rowOff>
                  </to>
                </anchor>
              </controlPr>
            </control>
          </mc:Choice>
        </mc:AlternateContent>
        <mc:AlternateContent xmlns:mc="http://schemas.openxmlformats.org/markup-compatibility/2006">
          <mc:Choice Requires="x14">
            <control shapeId="32786" r:id="rId7" name="Check Box 18">
              <controlPr defaultSize="0" autoFill="0" autoLine="0" autoPict="0">
                <anchor moveWithCells="1">
                  <from>
                    <xdr:col>2</xdr:col>
                    <xdr:colOff>257175</xdr:colOff>
                    <xdr:row>15</xdr:row>
                    <xdr:rowOff>19050</xdr:rowOff>
                  </from>
                  <to>
                    <xdr:col>3</xdr:col>
                    <xdr:colOff>152400</xdr:colOff>
                    <xdr:row>16</xdr:row>
                    <xdr:rowOff>19050</xdr:rowOff>
                  </to>
                </anchor>
              </controlPr>
            </control>
          </mc:Choice>
        </mc:AlternateContent>
        <mc:AlternateContent xmlns:mc="http://schemas.openxmlformats.org/markup-compatibility/2006">
          <mc:Choice Requires="x14">
            <control shapeId="32787" r:id="rId8" name="Check Box 19">
              <controlPr defaultSize="0" autoFill="0" autoLine="0" autoPict="0">
                <anchor moveWithCells="1">
                  <from>
                    <xdr:col>10</xdr:col>
                    <xdr:colOff>133350</xdr:colOff>
                    <xdr:row>15</xdr:row>
                    <xdr:rowOff>209550</xdr:rowOff>
                  </from>
                  <to>
                    <xdr:col>11</xdr:col>
                    <xdr:colOff>19050</xdr:colOff>
                    <xdr:row>17</xdr:row>
                    <xdr:rowOff>0</xdr:rowOff>
                  </to>
                </anchor>
              </controlPr>
            </control>
          </mc:Choice>
        </mc:AlternateContent>
        <mc:AlternateContent xmlns:mc="http://schemas.openxmlformats.org/markup-compatibility/2006">
          <mc:Choice Requires="x14">
            <control shapeId="32788" r:id="rId9" name="Check Box 20">
              <controlPr defaultSize="0" autoFill="0" autoLine="0" autoPict="0">
                <anchor moveWithCells="1">
                  <from>
                    <xdr:col>10</xdr:col>
                    <xdr:colOff>133350</xdr:colOff>
                    <xdr:row>15</xdr:row>
                    <xdr:rowOff>0</xdr:rowOff>
                  </from>
                  <to>
                    <xdr:col>11</xdr:col>
                    <xdr:colOff>19050</xdr:colOff>
                    <xdr:row>16</xdr:row>
                    <xdr:rowOff>19050</xdr:rowOff>
                  </to>
                </anchor>
              </controlPr>
            </control>
          </mc:Choice>
        </mc:AlternateContent>
        <mc:AlternateContent xmlns:mc="http://schemas.openxmlformats.org/markup-compatibility/2006">
          <mc:Choice Requires="x14">
            <control shapeId="32789" r:id="rId10" name="Check Box 21">
              <controlPr defaultSize="0" autoFill="0" autoLine="0" autoPict="0">
                <anchor moveWithCells="1">
                  <from>
                    <xdr:col>18</xdr:col>
                    <xdr:colOff>66675</xdr:colOff>
                    <xdr:row>15</xdr:row>
                    <xdr:rowOff>0</xdr:rowOff>
                  </from>
                  <to>
                    <xdr:col>19</xdr:col>
                    <xdr:colOff>0</xdr:colOff>
                    <xdr:row>16</xdr:row>
                    <xdr:rowOff>19050</xdr:rowOff>
                  </to>
                </anchor>
              </controlPr>
            </control>
          </mc:Choice>
        </mc:AlternateContent>
        <mc:AlternateContent xmlns:mc="http://schemas.openxmlformats.org/markup-compatibility/2006">
          <mc:Choice Requires="x14">
            <control shapeId="32790" r:id="rId11" name="Check Box 22">
              <controlPr defaultSize="0" autoFill="0" autoLine="0" autoPict="0">
                <anchor moveWithCells="1">
                  <from>
                    <xdr:col>0</xdr:col>
                    <xdr:colOff>95250</xdr:colOff>
                    <xdr:row>85</xdr:row>
                    <xdr:rowOff>0</xdr:rowOff>
                  </from>
                  <to>
                    <xdr:col>1</xdr:col>
                    <xdr:colOff>104775</xdr:colOff>
                    <xdr:row>86</xdr:row>
                    <xdr:rowOff>0</xdr:rowOff>
                  </to>
                </anchor>
              </controlPr>
            </control>
          </mc:Choice>
        </mc:AlternateContent>
        <mc:AlternateContent xmlns:mc="http://schemas.openxmlformats.org/markup-compatibility/2006">
          <mc:Choice Requires="x14">
            <control shapeId="32791" r:id="rId12" name="Check Box 23">
              <controlPr defaultSize="0" autoFill="0" autoLine="0" autoPict="0">
                <anchor moveWithCells="1">
                  <from>
                    <xdr:col>9</xdr:col>
                    <xdr:colOff>19050</xdr:colOff>
                    <xdr:row>85</xdr:row>
                    <xdr:rowOff>0</xdr:rowOff>
                  </from>
                  <to>
                    <xdr:col>10</xdr:col>
                    <xdr:colOff>0</xdr:colOff>
                    <xdr:row>86</xdr:row>
                    <xdr:rowOff>0</xdr:rowOff>
                  </to>
                </anchor>
              </controlPr>
            </control>
          </mc:Choice>
        </mc:AlternateContent>
        <mc:AlternateContent xmlns:mc="http://schemas.openxmlformats.org/markup-compatibility/2006">
          <mc:Choice Requires="x14">
            <control shapeId="32792" r:id="rId13" name="Check Box 24">
              <controlPr defaultSize="0" autoFill="0" autoLine="0" autoPict="0">
                <anchor moveWithCells="1">
                  <from>
                    <xdr:col>16</xdr:col>
                    <xdr:colOff>133350</xdr:colOff>
                    <xdr:row>85</xdr:row>
                    <xdr:rowOff>0</xdr:rowOff>
                  </from>
                  <to>
                    <xdr:col>16</xdr:col>
                    <xdr:colOff>333375</xdr:colOff>
                    <xdr:row>86</xdr:row>
                    <xdr:rowOff>19050</xdr:rowOff>
                  </to>
                </anchor>
              </controlPr>
            </control>
          </mc:Choice>
        </mc:AlternateContent>
        <mc:AlternateContent xmlns:mc="http://schemas.openxmlformats.org/markup-compatibility/2006">
          <mc:Choice Requires="x14">
            <control shapeId="32793" r:id="rId14" name="Check Box 25">
              <controlPr defaultSize="0" autoFill="0" autoLine="0" autoPict="0">
                <anchor moveWithCells="1">
                  <from>
                    <xdr:col>18</xdr:col>
                    <xdr:colOff>66675</xdr:colOff>
                    <xdr:row>15</xdr:row>
                    <xdr:rowOff>190500</xdr:rowOff>
                  </from>
                  <to>
                    <xdr:col>19</xdr:col>
                    <xdr:colOff>0</xdr:colOff>
                    <xdr:row>17</xdr:row>
                    <xdr:rowOff>0</xdr:rowOff>
                  </to>
                </anchor>
              </controlPr>
            </control>
          </mc:Choice>
        </mc:AlternateContent>
        <mc:AlternateContent xmlns:mc="http://schemas.openxmlformats.org/markup-compatibility/2006">
          <mc:Choice Requires="x14">
            <control shapeId="32794" r:id="rId15" name="Check Box 26">
              <controlPr defaultSize="0" autoFill="0" autoLine="0" autoPict="0">
                <anchor moveWithCells="1">
                  <from>
                    <xdr:col>17</xdr:col>
                    <xdr:colOff>838200</xdr:colOff>
                    <xdr:row>33</xdr:row>
                    <xdr:rowOff>57150</xdr:rowOff>
                  </from>
                  <to>
                    <xdr:col>17</xdr:col>
                    <xdr:colOff>1009650</xdr:colOff>
                    <xdr:row>35</xdr:row>
                    <xdr:rowOff>0</xdr:rowOff>
                  </to>
                </anchor>
              </controlPr>
            </control>
          </mc:Choice>
        </mc:AlternateContent>
        <mc:AlternateContent xmlns:mc="http://schemas.openxmlformats.org/markup-compatibility/2006">
          <mc:Choice Requires="x14">
            <control shapeId="32795" r:id="rId16" name="Check Box 27">
              <controlPr defaultSize="0" autoFill="0" autoLine="0" autoPict="0">
                <anchor moveWithCells="1">
                  <from>
                    <xdr:col>0</xdr:col>
                    <xdr:colOff>133350</xdr:colOff>
                    <xdr:row>86</xdr:row>
                    <xdr:rowOff>19050</xdr:rowOff>
                  </from>
                  <to>
                    <xdr:col>2</xdr:col>
                    <xdr:colOff>57150</xdr:colOff>
                    <xdr:row>87</xdr:row>
                    <xdr:rowOff>0</xdr:rowOff>
                  </to>
                </anchor>
              </controlPr>
            </control>
          </mc:Choice>
        </mc:AlternateContent>
        <mc:AlternateContent xmlns:mc="http://schemas.openxmlformats.org/markup-compatibility/2006">
          <mc:Choice Requires="x14">
            <control shapeId="32797" r:id="rId17" name="Check Box 29">
              <controlPr defaultSize="0" autoFill="0" autoLine="0" autoPict="0">
                <anchor moveWithCells="1">
                  <from>
                    <xdr:col>0</xdr:col>
                    <xdr:colOff>133350</xdr:colOff>
                    <xdr:row>87</xdr:row>
                    <xdr:rowOff>0</xdr:rowOff>
                  </from>
                  <to>
                    <xdr:col>2</xdr:col>
                    <xdr:colOff>57150</xdr:colOff>
                    <xdr:row>88</xdr:row>
                    <xdr:rowOff>0</xdr:rowOff>
                  </to>
                </anchor>
              </controlPr>
            </control>
          </mc:Choice>
        </mc:AlternateContent>
        <mc:AlternateContent xmlns:mc="http://schemas.openxmlformats.org/markup-compatibility/2006">
          <mc:Choice Requires="x14">
            <control shapeId="32798" r:id="rId18" name="Check Box 30">
              <controlPr defaultSize="0" autoFill="0" autoLine="0" autoPict="0">
                <anchor moveWithCells="1">
                  <from>
                    <xdr:col>9</xdr:col>
                    <xdr:colOff>57150</xdr:colOff>
                    <xdr:row>86</xdr:row>
                    <xdr:rowOff>19050</xdr:rowOff>
                  </from>
                  <to>
                    <xdr:col>10</xdr:col>
                    <xdr:colOff>57150</xdr:colOff>
                    <xdr:row>87</xdr:row>
                    <xdr:rowOff>0</xdr:rowOff>
                  </to>
                </anchor>
              </controlPr>
            </control>
          </mc:Choice>
        </mc:AlternateContent>
        <mc:AlternateContent xmlns:mc="http://schemas.openxmlformats.org/markup-compatibility/2006">
          <mc:Choice Requires="x14">
            <control shapeId="32799" r:id="rId19" name="Check Box 31">
              <controlPr defaultSize="0" autoFill="0" autoLine="0" autoPict="0">
                <anchor moveWithCells="1">
                  <from>
                    <xdr:col>9</xdr:col>
                    <xdr:colOff>57150</xdr:colOff>
                    <xdr:row>86</xdr:row>
                    <xdr:rowOff>209550</xdr:rowOff>
                  </from>
                  <to>
                    <xdr:col>10</xdr:col>
                    <xdr:colOff>57150</xdr:colOff>
                    <xdr:row>88</xdr:row>
                    <xdr:rowOff>0</xdr:rowOff>
                  </to>
                </anchor>
              </controlPr>
            </control>
          </mc:Choice>
        </mc:AlternateContent>
        <mc:AlternateContent xmlns:mc="http://schemas.openxmlformats.org/markup-compatibility/2006">
          <mc:Choice Requires="x14">
            <control shapeId="32801" r:id="rId20" name="Check Box 33">
              <controlPr defaultSize="0" autoFill="0" autoLine="0" autoPict="0">
                <anchor moveWithCells="1">
                  <from>
                    <xdr:col>16</xdr:col>
                    <xdr:colOff>171450</xdr:colOff>
                    <xdr:row>86</xdr:row>
                    <xdr:rowOff>28575</xdr:rowOff>
                  </from>
                  <to>
                    <xdr:col>17</xdr:col>
                    <xdr:colOff>28575</xdr:colOff>
                    <xdr:row>87</xdr:row>
                    <xdr:rowOff>0</xdr:rowOff>
                  </to>
                </anchor>
              </controlPr>
            </control>
          </mc:Choice>
        </mc:AlternateContent>
        <mc:AlternateContent xmlns:mc="http://schemas.openxmlformats.org/markup-compatibility/2006">
          <mc:Choice Requires="x14">
            <control shapeId="32802" r:id="rId21" name="Check Box 34">
              <controlPr defaultSize="0" autoFill="0" autoLine="0" autoPict="0">
                <anchor moveWithCells="1">
                  <from>
                    <xdr:col>16</xdr:col>
                    <xdr:colOff>171450</xdr:colOff>
                    <xdr:row>87</xdr:row>
                    <xdr:rowOff>19050</xdr:rowOff>
                  </from>
                  <to>
                    <xdr:col>17</xdr:col>
                    <xdr:colOff>28575</xdr:colOff>
                    <xdr:row>88</xdr:row>
                    <xdr:rowOff>0</xdr:rowOff>
                  </to>
                </anchor>
              </controlPr>
            </control>
          </mc:Choice>
        </mc:AlternateContent>
        <mc:AlternateContent xmlns:mc="http://schemas.openxmlformats.org/markup-compatibility/2006">
          <mc:Choice Requires="x14">
            <control shapeId="32803" r:id="rId22" name="Check Box 35">
              <controlPr defaultSize="0" autoFill="0" autoLine="0" autoPict="0">
                <anchor moveWithCells="1">
                  <from>
                    <xdr:col>16</xdr:col>
                    <xdr:colOff>171450</xdr:colOff>
                    <xdr:row>87</xdr:row>
                    <xdr:rowOff>209550</xdr:rowOff>
                  </from>
                  <to>
                    <xdr:col>17</xdr:col>
                    <xdr:colOff>28575</xdr:colOff>
                    <xdr:row>89</xdr:row>
                    <xdr:rowOff>0</xdr:rowOff>
                  </to>
                </anchor>
              </controlPr>
            </control>
          </mc:Choice>
        </mc:AlternateContent>
      </controls>
    </mc:Choice>
  </mc:AlternateContent>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dimension ref="A1:BM114"/>
  <sheetViews>
    <sheetView showGridLines="0" showZeros="0" showRuler="0" zoomScale="90" zoomScaleNormal="90" zoomScaleSheetLayoutView="80" zoomScalePageLayoutView="85" workbookViewId="0">
      <selection activeCell="E10" sqref="E10:F10"/>
    </sheetView>
  </sheetViews>
  <sheetFormatPr defaultColWidth="9.28515625" defaultRowHeight="16.5" x14ac:dyDescent="0.3"/>
  <cols>
    <col min="1" max="1" width="1.28515625" style="12" customWidth="1"/>
    <col min="2" max="2" width="12" style="12" customWidth="1"/>
    <col min="3" max="3" width="28.28515625" style="12" customWidth="1"/>
    <col min="4" max="4" width="21" style="19" customWidth="1"/>
    <col min="5" max="5" width="15.28515625" style="12" customWidth="1"/>
    <col min="6" max="6" width="17.28515625" style="12" customWidth="1"/>
    <col min="7" max="7" width="18.7109375" style="12" customWidth="1"/>
    <col min="8" max="8" width="11.28515625" style="12" customWidth="1"/>
    <col min="9" max="9" width="7" style="12" customWidth="1"/>
    <col min="10" max="10" width="0.7109375" style="12" customWidth="1"/>
    <col min="11" max="11" width="9.28515625" style="12"/>
    <col min="12" max="12" width="26" style="12" customWidth="1"/>
    <col min="13" max="13" width="22.28515625" style="366" customWidth="1"/>
    <col min="14" max="14" width="12.28515625" style="12" customWidth="1"/>
    <col min="15" max="15" width="16.5703125" style="12" customWidth="1"/>
    <col min="16" max="16" width="18" style="12" customWidth="1"/>
    <col min="17" max="17" width="27.28515625" style="12" customWidth="1"/>
    <col min="18" max="18" width="0.28515625" style="12" customWidth="1"/>
    <col min="19" max="19" width="0.7109375" style="12" customWidth="1"/>
    <col min="20" max="20" width="7.7109375" style="12" customWidth="1"/>
    <col min="21" max="21" width="24" style="12" customWidth="1"/>
    <col min="22" max="22" width="4.5703125" style="12" customWidth="1"/>
    <col min="23" max="23" width="18.42578125" style="12" customWidth="1"/>
    <col min="24" max="24" width="8.28515625" style="12" customWidth="1"/>
    <col min="25" max="25" width="9.7109375" style="12" customWidth="1"/>
    <col min="26" max="26" width="14.42578125" style="12" customWidth="1"/>
    <col min="27" max="27" width="7.5703125" style="12" customWidth="1"/>
    <col min="28" max="28" width="17.7109375" style="12" customWidth="1"/>
    <col min="29" max="29" width="18.42578125" style="12" customWidth="1"/>
    <col min="30" max="30" width="3" style="12" customWidth="1"/>
    <col min="31" max="31" width="4.42578125" style="12" customWidth="1"/>
    <col min="32" max="34" width="9.28515625" style="12"/>
    <col min="35" max="37" width="9.28515625" style="12" customWidth="1"/>
    <col min="38" max="16384" width="9.28515625" style="12"/>
  </cols>
  <sheetData>
    <row r="1" spans="1:65" s="17" customFormat="1" ht="22.5" x14ac:dyDescent="0.25">
      <c r="B1" s="314" t="s">
        <v>681</v>
      </c>
      <c r="C1" s="578">
        <f>FORM!G22</f>
        <v>45870</v>
      </c>
      <c r="D1" s="105"/>
      <c r="E1" s="109"/>
      <c r="F1" s="323" t="s">
        <v>871</v>
      </c>
      <c r="G1" s="1318" t="s">
        <v>872</v>
      </c>
      <c r="H1" s="1318"/>
      <c r="I1" s="1318"/>
      <c r="J1" s="15"/>
      <c r="K1" s="342" t="s">
        <v>681</v>
      </c>
      <c r="L1" s="579">
        <f>C1</f>
        <v>45870</v>
      </c>
      <c r="M1" s="92"/>
      <c r="O1" s="343"/>
      <c r="P1" s="93" t="s">
        <v>873</v>
      </c>
      <c r="Q1" s="344" t="s">
        <v>874</v>
      </c>
      <c r="S1" s="1253" t="s">
        <v>681</v>
      </c>
      <c r="T1" s="1253"/>
      <c r="U1" s="1265">
        <f>L1</f>
        <v>45870</v>
      </c>
      <c r="V1" s="1265"/>
      <c r="W1" s="91"/>
      <c r="Y1" s="343"/>
      <c r="Z1" s="1266" t="s">
        <v>873</v>
      </c>
      <c r="AA1" s="1266"/>
      <c r="AB1" s="1265" t="s">
        <v>875</v>
      </c>
      <c r="AC1" s="1265"/>
      <c r="AD1" s="1265"/>
    </row>
    <row r="2" spans="1:65" s="17" customFormat="1" ht="7.5" customHeight="1" x14ac:dyDescent="0.25">
      <c r="B2" s="109"/>
      <c r="C2" s="110"/>
      <c r="D2" s="110"/>
      <c r="E2" s="109"/>
      <c r="F2" s="109"/>
      <c r="G2" s="109"/>
      <c r="H2" s="109"/>
      <c r="I2" s="109"/>
      <c r="K2" s="345"/>
      <c r="L2" s="345"/>
      <c r="M2" s="345"/>
      <c r="N2" s="345"/>
      <c r="O2" s="345"/>
      <c r="P2" s="345"/>
      <c r="Q2" s="345"/>
    </row>
    <row r="3" spans="1:65" s="17" customFormat="1" ht="14.25" customHeight="1" x14ac:dyDescent="0.25">
      <c r="B3" s="1319" t="s">
        <v>922</v>
      </c>
      <c r="C3" s="1319"/>
      <c r="D3" s="1319"/>
      <c r="E3" s="1319"/>
      <c r="F3" s="1319"/>
      <c r="G3" s="1319"/>
      <c r="H3" s="1319"/>
      <c r="I3" s="1319"/>
      <c r="J3" s="346"/>
      <c r="K3" s="1267" t="s">
        <v>687</v>
      </c>
      <c r="L3" s="1267"/>
      <c r="M3" s="1267"/>
      <c r="N3" s="1267"/>
      <c r="O3" s="1267"/>
      <c r="P3" s="1267"/>
      <c r="Q3" s="1267"/>
      <c r="S3" s="1267" t="s">
        <v>877</v>
      </c>
      <c r="T3" s="1267"/>
      <c r="U3" s="1267"/>
      <c r="V3" s="1267"/>
      <c r="W3" s="1267"/>
      <c r="X3" s="1267"/>
      <c r="Y3" s="1267"/>
      <c r="Z3" s="1267"/>
      <c r="AA3" s="1267"/>
      <c r="AB3" s="1267"/>
      <c r="AC3" s="1267"/>
      <c r="AD3" s="1267"/>
    </row>
    <row r="4" spans="1:65" s="17" customFormat="1" ht="12.75" customHeight="1" x14ac:dyDescent="0.25">
      <c r="B4" s="1319"/>
      <c r="C4" s="1319"/>
      <c r="D4" s="1319"/>
      <c r="E4" s="1319"/>
      <c r="F4" s="1319"/>
      <c r="G4" s="1319"/>
      <c r="H4" s="1319"/>
      <c r="I4" s="1319"/>
      <c r="J4" s="346"/>
      <c r="K4" s="1267"/>
      <c r="L4" s="1267"/>
      <c r="M4" s="1267"/>
      <c r="N4" s="1267"/>
      <c r="O4" s="1267"/>
      <c r="P4" s="1267"/>
      <c r="Q4" s="1267"/>
      <c r="S4" s="1267"/>
      <c r="T4" s="1267"/>
      <c r="U4" s="1267"/>
      <c r="V4" s="1267"/>
      <c r="W4" s="1267"/>
      <c r="X4" s="1267"/>
      <c r="Y4" s="1267"/>
      <c r="Z4" s="1267"/>
      <c r="AA4" s="1267"/>
      <c r="AB4" s="1267"/>
      <c r="AC4" s="1267"/>
      <c r="AD4" s="1267"/>
    </row>
    <row r="5" spans="1:65" s="17" customFormat="1" ht="12.75" customHeight="1" x14ac:dyDescent="0.3">
      <c r="B5" s="322"/>
      <c r="C5" s="322"/>
      <c r="D5" s="428"/>
      <c r="E5" s="120"/>
      <c r="F5" s="120"/>
      <c r="G5" s="120"/>
      <c r="H5" s="120"/>
      <c r="I5" s="120"/>
      <c r="J5" s="347"/>
      <c r="K5" s="348"/>
      <c r="L5" s="349"/>
      <c r="M5" s="350"/>
      <c r="N5" s="349"/>
      <c r="O5" s="349"/>
      <c r="P5" s="349"/>
      <c r="Q5" s="350"/>
    </row>
    <row r="6" spans="1:65" x14ac:dyDescent="0.3">
      <c r="A6" s="14"/>
      <c r="B6" s="167" t="s">
        <v>688</v>
      </c>
      <c r="C6" s="122"/>
      <c r="D6" s="310" t="s">
        <v>647</v>
      </c>
      <c r="E6" s="1305">
        <f>FORM!G30</f>
        <v>0</v>
      </c>
      <c r="F6" s="1306"/>
      <c r="G6" s="1306"/>
      <c r="H6" s="1306"/>
      <c r="I6" s="1313"/>
      <c r="J6" s="7"/>
      <c r="K6" s="352" t="s">
        <v>688</v>
      </c>
      <c r="L6" s="353"/>
      <c r="M6" s="10" t="s">
        <v>647</v>
      </c>
      <c r="N6" s="1492">
        <f>E6</f>
        <v>0</v>
      </c>
      <c r="O6" s="1492"/>
      <c r="P6" s="1492"/>
      <c r="Q6" s="1492"/>
      <c r="S6" s="352" t="s">
        <v>688</v>
      </c>
      <c r="T6" s="352"/>
      <c r="U6" s="352"/>
      <c r="V6" s="352"/>
      <c r="W6" s="19" t="s">
        <v>647</v>
      </c>
      <c r="X6" s="1260">
        <f t="shared" ref="X6:X13" si="0">N6</f>
        <v>0</v>
      </c>
      <c r="Y6" s="1261"/>
      <c r="Z6" s="1261"/>
      <c r="AA6" s="1261"/>
      <c r="AB6" s="1261"/>
      <c r="AC6" s="1261"/>
      <c r="AD6" s="1262"/>
      <c r="AY6" s="354"/>
      <c r="BL6" s="355"/>
      <c r="BM6" s="356"/>
    </row>
    <row r="7" spans="1:65" x14ac:dyDescent="0.3">
      <c r="A7" s="14"/>
      <c r="B7" s="308" t="s">
        <v>646</v>
      </c>
      <c r="C7" s="123"/>
      <c r="D7" s="310" t="s">
        <v>647</v>
      </c>
      <c r="E7" s="1305" t="str">
        <f>FORM!G11</f>
        <v>WEECOMM CENTRE</v>
      </c>
      <c r="F7" s="1306"/>
      <c r="G7" s="1306"/>
      <c r="H7" s="1306"/>
      <c r="I7" s="1313"/>
      <c r="J7" s="7"/>
      <c r="K7" s="358" t="s">
        <v>646</v>
      </c>
      <c r="L7" s="359"/>
      <c r="M7" s="10" t="s">
        <v>647</v>
      </c>
      <c r="N7" s="1492" t="str">
        <f>E7</f>
        <v>WEECOMM CENTRE</v>
      </c>
      <c r="O7" s="1492"/>
      <c r="P7" s="1492"/>
      <c r="Q7" s="1492"/>
      <c r="S7" s="352" t="s">
        <v>646</v>
      </c>
      <c r="T7" s="352"/>
      <c r="U7" s="352"/>
      <c r="V7" s="352"/>
      <c r="W7" s="19" t="s">
        <v>647</v>
      </c>
      <c r="X7" s="1260" t="str">
        <f t="shared" si="0"/>
        <v>WEECOMM CENTRE</v>
      </c>
      <c r="Y7" s="1261"/>
      <c r="Z7" s="1261"/>
      <c r="AA7" s="1261"/>
      <c r="AB7" s="1261"/>
      <c r="AC7" s="1261"/>
      <c r="AD7" s="1262"/>
      <c r="AY7" s="354"/>
      <c r="BL7" s="355"/>
      <c r="BM7" s="356"/>
    </row>
    <row r="8" spans="1:65" x14ac:dyDescent="0.3">
      <c r="A8" s="14"/>
      <c r="B8" s="308" t="s">
        <v>689</v>
      </c>
      <c r="C8" s="123"/>
      <c r="D8" s="310" t="s">
        <v>647</v>
      </c>
      <c r="E8" s="1305" t="str">
        <f>'STANDARD COMP.'!E8</f>
        <v>9G</v>
      </c>
      <c r="F8" s="1306"/>
      <c r="G8" s="1306"/>
      <c r="H8" s="1306"/>
      <c r="I8" s="1313"/>
      <c r="J8" s="7"/>
      <c r="K8" s="358" t="s">
        <v>689</v>
      </c>
      <c r="L8" s="359"/>
      <c r="M8" s="10" t="s">
        <v>647</v>
      </c>
      <c r="N8" s="1492" t="str">
        <f>E8</f>
        <v>9G</v>
      </c>
      <c r="O8" s="1492"/>
      <c r="P8" s="1492"/>
      <c r="Q8" s="1492"/>
      <c r="S8" s="352" t="s">
        <v>689</v>
      </c>
      <c r="T8" s="352"/>
      <c r="U8" s="352"/>
      <c r="V8" s="352"/>
      <c r="W8" s="19" t="s">
        <v>647</v>
      </c>
      <c r="X8" s="1260" t="str">
        <f t="shared" si="0"/>
        <v>9G</v>
      </c>
      <c r="Y8" s="1261"/>
      <c r="Z8" s="1261"/>
      <c r="AA8" s="1261"/>
      <c r="AB8" s="1261"/>
      <c r="AC8" s="1261"/>
      <c r="AD8" s="1262"/>
      <c r="AY8" s="354"/>
      <c r="BL8" s="355"/>
      <c r="BM8" s="356"/>
    </row>
    <row r="9" spans="1:65" x14ac:dyDescent="0.3">
      <c r="A9" s="14"/>
      <c r="B9" s="308" t="s">
        <v>690</v>
      </c>
      <c r="C9" s="123"/>
      <c r="D9" s="310" t="s">
        <v>647</v>
      </c>
      <c r="E9" s="1305">
        <f>FORM!G14</f>
        <v>1</v>
      </c>
      <c r="F9" s="1306"/>
      <c r="G9" s="1306"/>
      <c r="H9" s="1306"/>
      <c r="I9" s="1313"/>
      <c r="J9" s="7"/>
      <c r="K9" s="358" t="s">
        <v>690</v>
      </c>
      <c r="L9" s="359"/>
      <c r="M9" s="10" t="s">
        <v>647</v>
      </c>
      <c r="N9" s="1545">
        <f>FORM!G14</f>
        <v>1</v>
      </c>
      <c r="O9" s="1545"/>
      <c r="P9" s="1545"/>
      <c r="Q9" s="1545"/>
      <c r="S9" s="352" t="s">
        <v>690</v>
      </c>
      <c r="T9" s="352"/>
      <c r="U9" s="352"/>
      <c r="V9" s="352"/>
      <c r="W9" s="19" t="s">
        <v>647</v>
      </c>
      <c r="X9" s="1260">
        <f t="shared" si="0"/>
        <v>1</v>
      </c>
      <c r="Y9" s="1261"/>
      <c r="Z9" s="1261"/>
      <c r="AA9" s="1261"/>
      <c r="AB9" s="1261"/>
      <c r="AC9" s="1261"/>
      <c r="AD9" s="1262"/>
      <c r="AY9" s="354"/>
      <c r="BL9" s="355"/>
      <c r="BM9" s="356"/>
    </row>
    <row r="10" spans="1:65" x14ac:dyDescent="0.3">
      <c r="A10" s="14"/>
      <c r="B10" s="308" t="s">
        <v>612</v>
      </c>
      <c r="C10" s="123"/>
      <c r="D10" s="310" t="s">
        <v>647</v>
      </c>
      <c r="E10" s="1305" t="str">
        <f>'STANDARD COMP.'!E10:F10</f>
        <v>2-BR</v>
      </c>
      <c r="F10" s="1306"/>
      <c r="G10" s="126" t="str">
        <f>'STANDARD COMP.'!G10:I10</f>
        <v>BARE</v>
      </c>
      <c r="H10" s="126"/>
      <c r="I10" s="128"/>
      <c r="J10" s="7"/>
      <c r="K10" s="358" t="s">
        <v>612</v>
      </c>
      <c r="L10" s="359"/>
      <c r="M10" s="10" t="s">
        <v>647</v>
      </c>
      <c r="N10" s="1260" t="str">
        <f>E10</f>
        <v>2-BR</v>
      </c>
      <c r="O10" s="1261"/>
      <c r="P10" s="599" t="str">
        <f>G10</f>
        <v>BARE</v>
      </c>
      <c r="Q10" s="600"/>
      <c r="S10" s="352" t="s">
        <v>612</v>
      </c>
      <c r="T10" s="352"/>
      <c r="U10" s="352"/>
      <c r="V10" s="352"/>
      <c r="W10" s="19" t="s">
        <v>647</v>
      </c>
      <c r="X10" s="1260" t="str">
        <f t="shared" si="0"/>
        <v>2-BR</v>
      </c>
      <c r="Y10" s="1261"/>
      <c r="Z10" s="599" t="str">
        <f>P10</f>
        <v>BARE</v>
      </c>
      <c r="AA10" s="599"/>
      <c r="AB10" s="599"/>
      <c r="AC10" s="599"/>
      <c r="AD10" s="600"/>
      <c r="AY10" s="354"/>
      <c r="BL10" s="355"/>
      <c r="BM10" s="356"/>
    </row>
    <row r="11" spans="1:65" x14ac:dyDescent="0.3">
      <c r="A11" s="14"/>
      <c r="B11" s="308" t="s">
        <v>692</v>
      </c>
      <c r="C11" s="123"/>
      <c r="D11" s="310" t="s">
        <v>647</v>
      </c>
      <c r="E11" s="1525">
        <f>'STANDARD COMP.'!E11:F11</f>
        <v>95.44</v>
      </c>
      <c r="F11" s="1526"/>
      <c r="G11" s="1307" t="s">
        <v>693</v>
      </c>
      <c r="H11" s="1307"/>
      <c r="I11" s="1308"/>
      <c r="J11" s="7"/>
      <c r="K11" s="358" t="s">
        <v>692</v>
      </c>
      <c r="L11" s="359"/>
      <c r="M11" s="10" t="s">
        <v>647</v>
      </c>
      <c r="N11" s="1527">
        <f>E11</f>
        <v>95.44</v>
      </c>
      <c r="O11" s="1528"/>
      <c r="P11" s="1543" t="s">
        <v>693</v>
      </c>
      <c r="Q11" s="1544"/>
      <c r="S11" s="352" t="s">
        <v>692</v>
      </c>
      <c r="T11" s="352"/>
      <c r="U11" s="352"/>
      <c r="V11" s="352"/>
      <c r="W11" s="19" t="s">
        <v>647</v>
      </c>
      <c r="X11" s="1263">
        <f t="shared" si="0"/>
        <v>95.44</v>
      </c>
      <c r="Y11" s="1264"/>
      <c r="Z11" s="360" t="s">
        <v>693</v>
      </c>
      <c r="AA11" s="360"/>
      <c r="AB11" s="361"/>
      <c r="AC11" s="361"/>
      <c r="AD11" s="362"/>
      <c r="AY11" s="354"/>
      <c r="BL11" s="355"/>
      <c r="BM11" s="356"/>
    </row>
    <row r="12" spans="1:65" x14ac:dyDescent="0.3">
      <c r="A12" s="14"/>
      <c r="B12" s="127" t="s">
        <v>694</v>
      </c>
      <c r="C12" s="123"/>
      <c r="D12" s="310" t="s">
        <v>647</v>
      </c>
      <c r="E12" s="1425">
        <f>'STANDARD COMP.'!E12:F12</f>
        <v>13.34</v>
      </c>
      <c r="F12" s="1426"/>
      <c r="G12" s="1307" t="s">
        <v>693</v>
      </c>
      <c r="H12" s="1307"/>
      <c r="I12" s="1308"/>
      <c r="J12" s="7"/>
      <c r="K12" s="359" t="s">
        <v>694</v>
      </c>
      <c r="L12" s="359"/>
      <c r="M12" s="10" t="s">
        <v>647</v>
      </c>
      <c r="N12" s="1523">
        <f>E12</f>
        <v>13.34</v>
      </c>
      <c r="O12" s="1524"/>
      <c r="P12" s="1521" t="s">
        <v>693</v>
      </c>
      <c r="Q12" s="1522"/>
      <c r="S12" s="352" t="s">
        <v>694</v>
      </c>
      <c r="T12" s="352"/>
      <c r="U12" s="352"/>
      <c r="V12" s="352"/>
      <c r="W12" s="19" t="s">
        <v>647</v>
      </c>
      <c r="X12" s="1263">
        <f t="shared" si="0"/>
        <v>13.34</v>
      </c>
      <c r="Y12" s="1264"/>
      <c r="Z12" s="360" t="s">
        <v>693</v>
      </c>
      <c r="AA12" s="360"/>
      <c r="AB12" s="361"/>
      <c r="AC12" s="361"/>
      <c r="AD12" s="362"/>
      <c r="AY12" s="354"/>
      <c r="BL12" s="355"/>
      <c r="BM12" s="356"/>
    </row>
    <row r="13" spans="1:65" x14ac:dyDescent="0.3">
      <c r="A13" s="14"/>
      <c r="B13" s="121" t="s">
        <v>695</v>
      </c>
      <c r="C13" s="129"/>
      <c r="D13" s="310" t="s">
        <v>647</v>
      </c>
      <c r="E13" s="1425">
        <f>'STANDARD COMP.'!E13:F13</f>
        <v>108.78</v>
      </c>
      <c r="F13" s="1426"/>
      <c r="G13" s="1307" t="s">
        <v>693</v>
      </c>
      <c r="H13" s="1307"/>
      <c r="I13" s="1308"/>
      <c r="J13" s="7"/>
      <c r="K13" s="364" t="s">
        <v>695</v>
      </c>
      <c r="L13" s="365"/>
      <c r="M13" s="10" t="s">
        <v>647</v>
      </c>
      <c r="N13" s="1523">
        <f>E13</f>
        <v>108.78</v>
      </c>
      <c r="O13" s="1524"/>
      <c r="P13" s="1521" t="s">
        <v>693</v>
      </c>
      <c r="Q13" s="1522"/>
      <c r="S13" s="352" t="s">
        <v>695</v>
      </c>
      <c r="T13" s="352"/>
      <c r="U13" s="352"/>
      <c r="V13" s="352"/>
      <c r="W13" s="19" t="s">
        <v>647</v>
      </c>
      <c r="X13" s="1263">
        <f t="shared" si="0"/>
        <v>108.78</v>
      </c>
      <c r="Y13" s="1264"/>
      <c r="Z13" s="360" t="s">
        <v>693</v>
      </c>
      <c r="AA13" s="360"/>
      <c r="AB13" s="361"/>
      <c r="AC13" s="361"/>
      <c r="AD13" s="362"/>
      <c r="AY13" s="354"/>
      <c r="BL13" s="355"/>
      <c r="BM13" s="356"/>
    </row>
    <row r="14" spans="1:65" x14ac:dyDescent="0.3">
      <c r="A14" s="16"/>
      <c r="B14" s="94"/>
      <c r="C14" s="94"/>
      <c r="D14" s="351"/>
      <c r="E14" s="94"/>
      <c r="F14" s="94"/>
      <c r="G14" s="94"/>
      <c r="H14" s="94"/>
      <c r="I14" s="94"/>
    </row>
    <row r="15" spans="1:65" x14ac:dyDescent="0.3">
      <c r="A15" s="16"/>
      <c r="B15" s="2" t="s">
        <v>696</v>
      </c>
      <c r="C15" s="1"/>
      <c r="D15" s="4" t="s">
        <v>647</v>
      </c>
      <c r="E15" s="367"/>
      <c r="F15" s="1490">
        <f>'STANDARD COMP.'!F15</f>
        <v>20466686.730335645</v>
      </c>
      <c r="G15" s="1490"/>
      <c r="H15" s="1490"/>
      <c r="I15" s="1491"/>
      <c r="J15" s="11"/>
      <c r="K15" s="1512" t="s">
        <v>697</v>
      </c>
      <c r="L15" s="1512"/>
      <c r="M15" s="1546" t="s">
        <v>698</v>
      </c>
      <c r="N15" s="1512" t="s">
        <v>699</v>
      </c>
      <c r="O15" s="1512"/>
      <c r="P15" s="1529" t="s">
        <v>639</v>
      </c>
      <c r="Q15" s="1530"/>
      <c r="S15" s="1254" t="s">
        <v>878</v>
      </c>
      <c r="T15" s="1255"/>
      <c r="U15" s="1255"/>
      <c r="V15" s="1255"/>
      <c r="W15" s="1255"/>
      <c r="X15" s="1255"/>
      <c r="Y15" s="1255"/>
      <c r="Z15" s="1255"/>
      <c r="AA15" s="1255"/>
      <c r="AB15" s="1255"/>
      <c r="AC15" s="1255"/>
      <c r="AD15" s="1256"/>
    </row>
    <row r="16" spans="1:65" s="11" customFormat="1" x14ac:dyDescent="0.3">
      <c r="A16" s="368"/>
      <c r="B16" s="357" t="s">
        <v>700</v>
      </c>
      <c r="C16" s="363"/>
      <c r="D16" s="351" t="s">
        <v>647</v>
      </c>
      <c r="E16" s="387">
        <v>6.5000000000000002E-2</v>
      </c>
      <c r="F16" s="1514">
        <f>F15*E16</f>
        <v>1330334.637471817</v>
      </c>
      <c r="G16" s="1514"/>
      <c r="H16" s="1514"/>
      <c r="I16" s="1515"/>
      <c r="J16" s="12"/>
      <c r="K16" s="1512"/>
      <c r="L16" s="1512"/>
      <c r="M16" s="1546"/>
      <c r="N16" s="1512"/>
      <c r="O16" s="1512"/>
      <c r="P16" s="1531"/>
      <c r="Q16" s="1532"/>
      <c r="S16" s="369" t="s">
        <v>879</v>
      </c>
      <c r="T16" s="370"/>
      <c r="U16" s="371"/>
      <c r="V16" s="371"/>
      <c r="W16" s="371"/>
      <c r="X16" s="370" t="s">
        <v>880</v>
      </c>
      <c r="Y16" s="371"/>
      <c r="Z16" s="371"/>
      <c r="AA16" s="371"/>
      <c r="AB16" s="371"/>
      <c r="AC16" s="371"/>
      <c r="AD16" s="372"/>
    </row>
    <row r="17" spans="1:43" s="375" customFormat="1" ht="14.25" x14ac:dyDescent="0.3">
      <c r="B17" s="79" t="s">
        <v>701</v>
      </c>
      <c r="C17" s="3"/>
      <c r="D17" s="4" t="s">
        <v>647</v>
      </c>
      <c r="E17" s="373"/>
      <c r="F17" s="1489">
        <f>F15-F16</f>
        <v>19136352.092863828</v>
      </c>
      <c r="G17" s="1490"/>
      <c r="H17" s="1490"/>
      <c r="I17" s="1491"/>
      <c r="J17" s="13"/>
      <c r="K17" s="1492" t="s">
        <v>624</v>
      </c>
      <c r="L17" s="1492"/>
      <c r="M17" s="570">
        <f>C1</f>
        <v>45870</v>
      </c>
      <c r="N17" s="1304">
        <f>F26</f>
        <v>50000</v>
      </c>
      <c r="O17" s="1304"/>
      <c r="P17" s="1260"/>
      <c r="Q17" s="1262"/>
      <c r="S17" s="376"/>
      <c r="T17" s="377"/>
      <c r="U17" s="377"/>
      <c r="V17" s="377"/>
      <c r="W17" s="377"/>
      <c r="X17" s="377"/>
      <c r="Y17" s="377"/>
      <c r="Z17" s="377"/>
      <c r="AA17" s="377"/>
      <c r="AB17" s="377"/>
      <c r="AC17" s="377"/>
      <c r="AD17" s="378"/>
    </row>
    <row r="18" spans="1:43" s="13" customFormat="1" ht="14.25" x14ac:dyDescent="0.3">
      <c r="B18" s="379"/>
      <c r="C18" s="94"/>
      <c r="D18" s="351"/>
      <c r="E18" s="429"/>
      <c r="F18" s="380"/>
      <c r="G18" s="380"/>
      <c r="H18" s="380"/>
      <c r="I18" s="381"/>
      <c r="J18" s="375"/>
      <c r="K18" s="1492" t="s">
        <v>882</v>
      </c>
      <c r="L18" s="1492"/>
      <c r="M18" s="569">
        <v>45350</v>
      </c>
      <c r="N18" s="1304">
        <f>F29</f>
        <v>187230.96540652218</v>
      </c>
      <c r="O18" s="1304"/>
      <c r="P18" s="1260"/>
      <c r="Q18" s="1262"/>
      <c r="S18" s="382"/>
      <c r="T18" s="375"/>
      <c r="U18" s="375"/>
      <c r="V18" s="375"/>
      <c r="W18" s="383" t="s">
        <v>883</v>
      </c>
      <c r="X18" s="433"/>
      <c r="Y18" s="433"/>
      <c r="Z18" s="433"/>
      <c r="AA18" s="433"/>
      <c r="AB18" s="433"/>
      <c r="AC18" s="433"/>
      <c r="AD18" s="384"/>
      <c r="AJ18" s="385"/>
      <c r="AK18" s="385"/>
    </row>
    <row r="19" spans="1:43" s="375" customFormat="1" ht="14.25" x14ac:dyDescent="0.3">
      <c r="B19" s="80" t="s">
        <v>704</v>
      </c>
      <c r="C19" s="386"/>
      <c r="D19" s="351" t="s">
        <v>647</v>
      </c>
      <c r="E19" s="387">
        <v>7.4999999999999997E-2</v>
      </c>
      <c r="F19" s="1513">
        <f>F15*E19</f>
        <v>1535001.5047751733</v>
      </c>
      <c r="G19" s="1514"/>
      <c r="H19" s="1514"/>
      <c r="I19" s="1515"/>
      <c r="K19" s="1492" t="s">
        <v>705</v>
      </c>
      <c r="L19" s="1492"/>
      <c r="M19" s="569">
        <v>45381</v>
      </c>
      <c r="N19" s="1304">
        <f>N18</f>
        <v>187230.96540652218</v>
      </c>
      <c r="O19" s="1304"/>
      <c r="P19" s="1260"/>
      <c r="Q19" s="1262"/>
      <c r="S19" s="382"/>
      <c r="W19" s="383"/>
      <c r="X19" s="431"/>
      <c r="Y19" s="431"/>
      <c r="Z19" s="431"/>
      <c r="AA19" s="431"/>
      <c r="AB19" s="433"/>
      <c r="AC19" s="431"/>
      <c r="AD19" s="384"/>
      <c r="AJ19" s="1537" t="s">
        <v>702</v>
      </c>
      <c r="AK19" s="1537"/>
      <c r="AP19" s="1492"/>
      <c r="AQ19" s="1492"/>
    </row>
    <row r="20" spans="1:43" s="375" customFormat="1" ht="13.15" customHeight="1" x14ac:dyDescent="0.3">
      <c r="B20" s="363" t="s">
        <v>619</v>
      </c>
      <c r="C20" s="363"/>
      <c r="D20" s="351" t="s">
        <v>647</v>
      </c>
      <c r="E20" s="387">
        <v>0.12</v>
      </c>
      <c r="F20" s="1513">
        <f>E20*F17</f>
        <v>2296362.2511436595</v>
      </c>
      <c r="G20" s="1514"/>
      <c r="H20" s="1514"/>
      <c r="I20" s="1515"/>
      <c r="K20" s="1492" t="s">
        <v>707</v>
      </c>
      <c r="L20" s="1492"/>
      <c r="M20" s="569">
        <v>45412</v>
      </c>
      <c r="N20" s="1304">
        <f t="shared" ref="N20:N43" si="1">N19</f>
        <v>187230.96540652218</v>
      </c>
      <c r="O20" s="1304"/>
      <c r="P20" s="1260"/>
      <c r="Q20" s="1262"/>
      <c r="S20" s="382"/>
      <c r="T20" s="1257"/>
      <c r="U20" s="1257"/>
      <c r="W20" s="375" t="s">
        <v>885</v>
      </c>
      <c r="X20" s="433"/>
      <c r="Y20" s="433"/>
      <c r="Z20" s="433"/>
      <c r="AA20" s="433"/>
      <c r="AB20" s="433"/>
      <c r="AC20" s="433"/>
      <c r="AD20" s="384"/>
      <c r="AJ20" s="1537" t="s">
        <v>705</v>
      </c>
      <c r="AK20" s="1537"/>
      <c r="AL20" s="375" t="s">
        <v>660</v>
      </c>
      <c r="AP20" s="1492"/>
      <c r="AQ20" s="1492"/>
    </row>
    <row r="21" spans="1:43" s="375" customFormat="1" ht="14.25" x14ac:dyDescent="0.3">
      <c r="B21" s="379"/>
      <c r="C21" s="94"/>
      <c r="D21" s="351"/>
      <c r="E21" s="393"/>
      <c r="F21" s="394"/>
      <c r="G21" s="9"/>
      <c r="H21" s="9"/>
      <c r="I21" s="395"/>
      <c r="K21" s="1492" t="s">
        <v>709</v>
      </c>
      <c r="L21" s="1492"/>
      <c r="M21" s="569">
        <v>45442</v>
      </c>
      <c r="N21" s="1304">
        <f t="shared" si="1"/>
        <v>187230.96540652218</v>
      </c>
      <c r="O21" s="1304"/>
      <c r="P21" s="1260"/>
      <c r="Q21" s="1262"/>
      <c r="S21" s="389"/>
      <c r="T21" s="1258" t="s">
        <v>886</v>
      </c>
      <c r="U21" s="1258"/>
      <c r="V21" s="390"/>
      <c r="W21" s="13"/>
      <c r="X21" s="406" t="s">
        <v>660</v>
      </c>
      <c r="Y21" s="406"/>
      <c r="Z21" s="406"/>
      <c r="AA21" s="406"/>
      <c r="AD21" s="392"/>
      <c r="AJ21" s="1537" t="s">
        <v>707</v>
      </c>
      <c r="AK21" s="1537"/>
      <c r="AP21" s="1492"/>
      <c r="AQ21" s="1492"/>
    </row>
    <row r="22" spans="1:43" s="375" customFormat="1" ht="13.15" customHeight="1" x14ac:dyDescent="0.3">
      <c r="B22" s="79" t="s">
        <v>621</v>
      </c>
      <c r="C22" s="3"/>
      <c r="D22" s="4" t="s">
        <v>647</v>
      </c>
      <c r="E22" s="402"/>
      <c r="F22" s="1519">
        <f>SUM(F17:H21)</f>
        <v>22967715.848782662</v>
      </c>
      <c r="G22" s="1519"/>
      <c r="H22" s="1519"/>
      <c r="I22" s="1520"/>
      <c r="K22" s="1492" t="s">
        <v>710</v>
      </c>
      <c r="L22" s="1492"/>
      <c r="M22" s="569">
        <v>45473</v>
      </c>
      <c r="N22" s="1304">
        <f t="shared" si="1"/>
        <v>187230.96540652218</v>
      </c>
      <c r="O22" s="1304"/>
      <c r="P22" s="1260"/>
      <c r="Q22" s="1262"/>
      <c r="S22" s="396" t="s">
        <v>887</v>
      </c>
      <c r="T22" s="397"/>
      <c r="U22" s="398"/>
      <c r="V22" s="398"/>
      <c r="W22" s="399"/>
      <c r="X22" s="400" t="s">
        <v>880</v>
      </c>
      <c r="Y22" s="399"/>
      <c r="Z22" s="399"/>
      <c r="AA22" s="399"/>
      <c r="AB22" s="399"/>
      <c r="AC22" s="399"/>
      <c r="AD22" s="401"/>
      <c r="AJ22" s="1537" t="s">
        <v>709</v>
      </c>
      <c r="AK22" s="1537"/>
      <c r="AP22" s="1492"/>
      <c r="AQ22" s="1492"/>
    </row>
    <row r="23" spans="1:43" s="375" customFormat="1" ht="14.25" x14ac:dyDescent="0.3">
      <c r="A23" s="13"/>
      <c r="B23" s="379"/>
      <c r="C23" s="94"/>
      <c r="D23" s="351"/>
      <c r="E23" s="351"/>
      <c r="F23" s="403"/>
      <c r="G23" s="403"/>
      <c r="H23" s="403"/>
      <c r="I23" s="94"/>
      <c r="J23" s="13"/>
      <c r="K23" s="1492" t="s">
        <v>711</v>
      </c>
      <c r="L23" s="1492"/>
      <c r="M23" s="569">
        <v>45503</v>
      </c>
      <c r="N23" s="1304">
        <f t="shared" si="1"/>
        <v>187230.96540652218</v>
      </c>
      <c r="O23" s="1304"/>
      <c r="P23" s="1260"/>
      <c r="Q23" s="1262"/>
      <c r="S23" s="382"/>
      <c r="X23" s="432"/>
      <c r="Y23" s="432"/>
      <c r="Z23" s="432"/>
      <c r="AA23" s="432"/>
      <c r="AB23" s="432"/>
      <c r="AC23" s="432"/>
      <c r="AD23" s="384"/>
      <c r="AJ23" s="1537" t="s">
        <v>710</v>
      </c>
      <c r="AK23" s="1537"/>
      <c r="AP23" s="1492"/>
      <c r="AQ23" s="1492"/>
    </row>
    <row r="24" spans="1:43" s="13" customFormat="1" ht="13.15" customHeight="1" x14ac:dyDescent="0.3">
      <c r="A24" s="375"/>
      <c r="B24" s="79" t="s">
        <v>923</v>
      </c>
      <c r="C24" s="1"/>
      <c r="D24" s="4" t="s">
        <v>647</v>
      </c>
      <c r="E24" s="404">
        <v>0.1</v>
      </c>
      <c r="F24" s="1489">
        <f>F22*E24</f>
        <v>2296771.5848782663</v>
      </c>
      <c r="G24" s="1490"/>
      <c r="H24" s="1490"/>
      <c r="I24" s="1491"/>
      <c r="J24" s="375"/>
      <c r="K24" s="1492" t="s">
        <v>713</v>
      </c>
      <c r="L24" s="1492"/>
      <c r="M24" s="569">
        <v>45534</v>
      </c>
      <c r="N24" s="1304">
        <f t="shared" si="1"/>
        <v>187230.96540652218</v>
      </c>
      <c r="O24" s="1304"/>
      <c r="P24" s="1260"/>
      <c r="Q24" s="1262"/>
      <c r="S24" s="382"/>
      <c r="T24" s="375"/>
      <c r="U24" s="375"/>
      <c r="V24" s="375"/>
      <c r="W24" s="383" t="s">
        <v>883</v>
      </c>
      <c r="X24" s="433"/>
      <c r="Y24" s="433"/>
      <c r="Z24" s="433"/>
      <c r="AA24" s="433"/>
      <c r="AB24" s="433"/>
      <c r="AC24" s="433"/>
      <c r="AD24" s="384"/>
      <c r="AJ24" s="1537" t="s">
        <v>711</v>
      </c>
      <c r="AK24" s="1537"/>
      <c r="AP24" s="1492"/>
      <c r="AQ24" s="1492"/>
    </row>
    <row r="25" spans="1:43" s="375" customFormat="1" ht="14.25" x14ac:dyDescent="0.3">
      <c r="B25" s="357" t="s">
        <v>924</v>
      </c>
      <c r="C25" s="1"/>
      <c r="D25" s="351" t="s">
        <v>647</v>
      </c>
      <c r="E25" s="387"/>
      <c r="F25" s="1513">
        <f>F22*E25</f>
        <v>0</v>
      </c>
      <c r="G25" s="1514"/>
      <c r="H25" s="1514"/>
      <c r="I25" s="1515"/>
      <c r="K25" s="1492" t="s">
        <v>715</v>
      </c>
      <c r="L25" s="1492"/>
      <c r="M25" s="569">
        <v>45565</v>
      </c>
      <c r="N25" s="1304">
        <f t="shared" si="1"/>
        <v>187230.96540652218</v>
      </c>
      <c r="O25" s="1304"/>
      <c r="P25" s="1260"/>
      <c r="Q25" s="1262"/>
      <c r="S25" s="389"/>
      <c r="T25" s="13"/>
      <c r="U25" s="13"/>
      <c r="V25" s="13"/>
      <c r="W25" s="383"/>
      <c r="X25" s="433"/>
      <c r="Y25" s="433"/>
      <c r="Z25" s="433"/>
      <c r="AA25" s="433"/>
      <c r="AB25" s="433"/>
      <c r="AC25" s="433"/>
      <c r="AD25" s="392"/>
      <c r="AJ25" s="1537" t="s">
        <v>713</v>
      </c>
      <c r="AK25" s="1537"/>
      <c r="AP25" s="1492"/>
      <c r="AQ25" s="1492"/>
    </row>
    <row r="26" spans="1:43" s="375" customFormat="1" ht="13.15" customHeight="1" x14ac:dyDescent="0.3">
      <c r="A26" s="13"/>
      <c r="B26" s="357" t="s">
        <v>716</v>
      </c>
      <c r="C26" s="363"/>
      <c r="D26" s="351" t="s">
        <v>647</v>
      </c>
      <c r="E26" s="374"/>
      <c r="F26" s="1513">
        <v>50000</v>
      </c>
      <c r="G26" s="1514"/>
      <c r="H26" s="1514"/>
      <c r="I26" s="1515"/>
      <c r="J26" s="13"/>
      <c r="K26" s="1492" t="s">
        <v>717</v>
      </c>
      <c r="L26" s="1492"/>
      <c r="M26" s="569">
        <v>45595</v>
      </c>
      <c r="N26" s="1304">
        <f t="shared" si="1"/>
        <v>187230.96540652218</v>
      </c>
      <c r="O26" s="1304"/>
      <c r="P26" s="1260"/>
      <c r="Q26" s="1262"/>
      <c r="S26" s="382"/>
      <c r="T26" s="1257"/>
      <c r="U26" s="1257"/>
      <c r="W26" s="375" t="s">
        <v>885</v>
      </c>
      <c r="X26" s="433"/>
      <c r="Y26" s="433"/>
      <c r="Z26" s="433"/>
      <c r="AA26" s="433"/>
      <c r="AB26" s="433"/>
      <c r="AC26" s="433"/>
      <c r="AD26" s="384"/>
      <c r="AJ26" s="1537" t="s">
        <v>715</v>
      </c>
      <c r="AK26" s="1537"/>
      <c r="AP26" s="1492"/>
      <c r="AQ26" s="1492"/>
    </row>
    <row r="27" spans="1:43" s="13" customFormat="1" ht="14.25" x14ac:dyDescent="0.3">
      <c r="B27" s="79" t="s">
        <v>889</v>
      </c>
      <c r="C27" s="3"/>
      <c r="D27" s="4" t="s">
        <v>647</v>
      </c>
      <c r="E27" s="388"/>
      <c r="F27" s="1489">
        <f>F24-F26</f>
        <v>2246771.5848782663</v>
      </c>
      <c r="G27" s="1490"/>
      <c r="H27" s="1490"/>
      <c r="I27" s="1491"/>
      <c r="J27" s="389"/>
      <c r="K27" s="1492" t="s">
        <v>719</v>
      </c>
      <c r="L27" s="1492"/>
      <c r="M27" s="569">
        <v>45626</v>
      </c>
      <c r="N27" s="1304">
        <f t="shared" si="1"/>
        <v>187230.96540652218</v>
      </c>
      <c r="O27" s="1304"/>
      <c r="P27" s="1260"/>
      <c r="Q27" s="1262"/>
      <c r="R27" s="13" t="s">
        <v>660</v>
      </c>
      <c r="S27" s="405"/>
      <c r="T27" s="1258" t="s">
        <v>893</v>
      </c>
      <c r="U27" s="1258"/>
      <c r="V27" s="20"/>
      <c r="W27" s="406"/>
      <c r="X27" s="391"/>
      <c r="Y27" s="391"/>
      <c r="Z27" s="391"/>
      <c r="AA27" s="391"/>
      <c r="AB27" s="406"/>
      <c r="AC27" s="406"/>
      <c r="AD27" s="407"/>
      <c r="AJ27" s="1537" t="s">
        <v>717</v>
      </c>
      <c r="AK27" s="1537"/>
      <c r="AP27" s="1492"/>
      <c r="AQ27" s="1492"/>
    </row>
    <row r="28" spans="1:43" s="13" customFormat="1" ht="14.25" x14ac:dyDescent="0.25">
      <c r="B28" s="697"/>
      <c r="C28" s="408"/>
      <c r="D28" s="4"/>
      <c r="E28" s="4"/>
      <c r="F28" s="696"/>
      <c r="G28" s="696"/>
      <c r="H28" s="696"/>
      <c r="I28" s="696"/>
      <c r="K28" s="1492" t="s">
        <v>720</v>
      </c>
      <c r="L28" s="1492"/>
      <c r="M28" s="569">
        <v>45656</v>
      </c>
      <c r="N28" s="1304">
        <f t="shared" si="1"/>
        <v>187230.96540652218</v>
      </c>
      <c r="O28" s="1304"/>
      <c r="P28" s="1260"/>
      <c r="Q28" s="1262"/>
      <c r="AJ28" s="1537" t="s">
        <v>719</v>
      </c>
      <c r="AK28" s="1537"/>
      <c r="AP28" s="1492"/>
      <c r="AQ28" s="1492"/>
    </row>
    <row r="29" spans="1:43" s="13" customFormat="1" ht="13.15" customHeight="1" x14ac:dyDescent="0.3">
      <c r="A29" s="375"/>
      <c r="B29" s="79" t="s">
        <v>100</v>
      </c>
      <c r="C29" s="3"/>
      <c r="D29" s="4" t="s">
        <v>647</v>
      </c>
      <c r="E29" s="388">
        <v>12</v>
      </c>
      <c r="F29" s="1489">
        <f>F27/E29</f>
        <v>187230.96540652218</v>
      </c>
      <c r="G29" s="1490"/>
      <c r="H29" s="1490"/>
      <c r="I29" s="1491"/>
      <c r="J29" s="375"/>
      <c r="K29" s="1492" t="s">
        <v>722</v>
      </c>
      <c r="L29" s="1492"/>
      <c r="M29" s="569">
        <v>45687</v>
      </c>
      <c r="N29" s="1304">
        <f t="shared" si="1"/>
        <v>187230.96540652218</v>
      </c>
      <c r="O29" s="1304"/>
      <c r="P29" s="1260"/>
      <c r="Q29" s="1262"/>
      <c r="S29" s="375"/>
      <c r="T29" s="375"/>
      <c r="U29" s="375"/>
      <c r="V29" s="375"/>
      <c r="W29" s="375"/>
      <c r="X29" s="375"/>
      <c r="Y29" s="375"/>
      <c r="Z29" s="375"/>
      <c r="AA29" s="375"/>
      <c r="AB29" s="375"/>
      <c r="AC29" s="375"/>
      <c r="AD29" s="375"/>
      <c r="AJ29" s="1537" t="s">
        <v>720</v>
      </c>
      <c r="AK29" s="1537"/>
      <c r="AP29" s="1492"/>
      <c r="AQ29" s="1492"/>
    </row>
    <row r="30" spans="1:43" s="375" customFormat="1" ht="14.25" x14ac:dyDescent="0.3">
      <c r="A30" s="13"/>
      <c r="B30" s="430"/>
      <c r="C30" s="430"/>
      <c r="D30" s="351"/>
      <c r="E30" s="351"/>
      <c r="F30" s="81"/>
      <c r="G30" s="81"/>
      <c r="H30" s="81"/>
      <c r="I30" s="94"/>
      <c r="J30" s="13"/>
      <c r="K30" s="1492" t="s">
        <v>723</v>
      </c>
      <c r="L30" s="1492"/>
      <c r="M30" s="569">
        <v>45716</v>
      </c>
      <c r="N30" s="1304">
        <f t="shared" si="1"/>
        <v>187230.96540652218</v>
      </c>
      <c r="O30" s="1304"/>
      <c r="P30" s="1260"/>
      <c r="Q30" s="1262"/>
      <c r="R30" s="13"/>
      <c r="AE30" s="13"/>
      <c r="AJ30" s="1537" t="s">
        <v>722</v>
      </c>
      <c r="AK30" s="1537"/>
      <c r="AP30" s="1492"/>
      <c r="AQ30" s="1492"/>
    </row>
    <row r="31" spans="1:43" s="13" customFormat="1" ht="14.25" x14ac:dyDescent="0.3">
      <c r="A31" s="375"/>
      <c r="B31" s="79" t="s">
        <v>724</v>
      </c>
      <c r="C31" s="3"/>
      <c r="D31" s="4" t="s">
        <v>647</v>
      </c>
      <c r="E31" s="404">
        <f>100%-E25-E24</f>
        <v>0.9</v>
      </c>
      <c r="F31" s="1489">
        <f>F22*E31</f>
        <v>20670944.263904396</v>
      </c>
      <c r="G31" s="1490"/>
      <c r="H31" s="1490"/>
      <c r="I31" s="1491"/>
      <c r="J31" s="375"/>
      <c r="K31" s="1492" t="s">
        <v>725</v>
      </c>
      <c r="L31" s="1492"/>
      <c r="M31" s="569">
        <v>45746</v>
      </c>
      <c r="N31" s="1304">
        <f t="shared" si="1"/>
        <v>187230.96540652218</v>
      </c>
      <c r="O31" s="1304"/>
      <c r="P31" s="1260"/>
      <c r="Q31" s="1262"/>
      <c r="S31" s="375"/>
      <c r="T31" s="375"/>
      <c r="U31" s="375"/>
      <c r="V31" s="375"/>
      <c r="W31" s="375"/>
      <c r="X31" s="375"/>
      <c r="Y31" s="375"/>
      <c r="Z31" s="375"/>
      <c r="AA31" s="375"/>
      <c r="AB31" s="375"/>
      <c r="AC31" s="375"/>
      <c r="AD31" s="375"/>
      <c r="AJ31" s="1537" t="s">
        <v>723</v>
      </c>
      <c r="AK31" s="1537"/>
      <c r="AP31" s="1492"/>
      <c r="AQ31" s="1492"/>
    </row>
    <row r="32" spans="1:43" s="375" customFormat="1" ht="14.25" x14ac:dyDescent="0.3">
      <c r="A32" s="13"/>
      <c r="B32" s="379"/>
      <c r="C32" s="94"/>
      <c r="D32" s="351"/>
      <c r="E32" s="94"/>
      <c r="F32" s="94"/>
      <c r="G32" s="94"/>
      <c r="H32" s="94"/>
      <c r="I32" s="94"/>
      <c r="J32" s="13"/>
      <c r="K32" s="1492" t="s">
        <v>726</v>
      </c>
      <c r="L32" s="1492"/>
      <c r="M32" s="569">
        <v>45777</v>
      </c>
      <c r="N32" s="1304">
        <f t="shared" si="1"/>
        <v>187230.96540652218</v>
      </c>
      <c r="O32" s="1304"/>
      <c r="P32" s="1260"/>
      <c r="Q32" s="1262"/>
      <c r="R32" s="13"/>
      <c r="AE32" s="13"/>
      <c r="AJ32" s="1537" t="s">
        <v>725</v>
      </c>
      <c r="AK32" s="1537"/>
      <c r="AP32" s="1492"/>
      <c r="AQ32" s="1492"/>
    </row>
    <row r="33" spans="1:43" s="13" customFormat="1" ht="14.25" x14ac:dyDescent="0.3">
      <c r="A33" s="375"/>
      <c r="B33" s="3" t="s">
        <v>727</v>
      </c>
      <c r="C33" s="3"/>
      <c r="D33" s="408"/>
      <c r="E33" s="408"/>
      <c r="F33" s="408"/>
      <c r="G33" s="408"/>
      <c r="H33" s="408"/>
      <c r="I33" s="408"/>
      <c r="J33" s="375"/>
      <c r="K33" s="1492" t="s">
        <v>728</v>
      </c>
      <c r="L33" s="1492"/>
      <c r="M33" s="569">
        <v>45807</v>
      </c>
      <c r="N33" s="1304">
        <f t="shared" si="1"/>
        <v>187230.96540652218</v>
      </c>
      <c r="O33" s="1304"/>
      <c r="P33" s="1260"/>
      <c r="Q33" s="1262"/>
      <c r="S33" s="375"/>
      <c r="T33" s="375"/>
      <c r="U33" s="375"/>
      <c r="V33" s="375"/>
      <c r="W33" s="375"/>
      <c r="X33" s="375"/>
      <c r="Y33" s="375"/>
      <c r="Z33" s="375"/>
      <c r="AA33" s="375"/>
      <c r="AB33" s="375"/>
      <c r="AC33" s="375"/>
      <c r="AD33" s="375"/>
      <c r="AJ33" s="1537" t="s">
        <v>726</v>
      </c>
      <c r="AK33" s="1537"/>
      <c r="AP33" s="1492"/>
      <c r="AQ33" s="1492"/>
    </row>
    <row r="34" spans="1:43" s="375" customFormat="1" ht="14.25" x14ac:dyDescent="0.3">
      <c r="B34" s="409" t="s">
        <v>730</v>
      </c>
      <c r="C34" s="388" t="s">
        <v>731</v>
      </c>
      <c r="D34" s="1507" t="s">
        <v>732</v>
      </c>
      <c r="E34" s="1507"/>
      <c r="F34" s="388" t="s">
        <v>733</v>
      </c>
      <c r="G34" s="1516" t="s">
        <v>894</v>
      </c>
      <c r="H34" s="1517"/>
      <c r="I34" s="1518"/>
      <c r="K34" s="1492" t="s">
        <v>729</v>
      </c>
      <c r="L34" s="1492"/>
      <c r="M34" s="569">
        <v>45838</v>
      </c>
      <c r="N34" s="1304">
        <f t="shared" si="1"/>
        <v>187230.96540652218</v>
      </c>
      <c r="O34" s="1304"/>
      <c r="P34" s="1260"/>
      <c r="Q34" s="1262"/>
      <c r="AJ34" s="1537" t="s">
        <v>728</v>
      </c>
      <c r="AK34" s="1537"/>
      <c r="AP34" s="1492"/>
      <c r="AQ34" s="1492"/>
    </row>
    <row r="35" spans="1:43" s="375" customFormat="1" ht="14.25" x14ac:dyDescent="0.3">
      <c r="A35" s="13"/>
      <c r="B35" s="410">
        <v>5</v>
      </c>
      <c r="C35" s="411">
        <v>7.4999999999999997E-2</v>
      </c>
      <c r="D35" s="1506">
        <f>PMT(C35/12,B35*12,-1)</f>
        <v>2.0037948595623762E-2</v>
      </c>
      <c r="E35" s="1506"/>
      <c r="F35" s="412">
        <f>D35*F31</f>
        <v>414203.31858312018</v>
      </c>
      <c r="G35" s="1509">
        <f>F35/0.3</f>
        <v>1380677.7286104006</v>
      </c>
      <c r="H35" s="1510"/>
      <c r="I35" s="1511"/>
      <c r="J35" s="13"/>
      <c r="K35" s="1492" t="s">
        <v>735</v>
      </c>
      <c r="L35" s="1492"/>
      <c r="M35" s="569">
        <v>45868</v>
      </c>
      <c r="N35" s="1304">
        <f t="shared" si="1"/>
        <v>187230.96540652218</v>
      </c>
      <c r="O35" s="1304"/>
      <c r="P35" s="1260"/>
      <c r="Q35" s="1262"/>
      <c r="AJ35" s="1537" t="s">
        <v>729</v>
      </c>
      <c r="AK35" s="1537"/>
      <c r="AP35" s="1492"/>
      <c r="AQ35" s="1492"/>
    </row>
    <row r="36" spans="1:43" s="13" customFormat="1" ht="14.25" x14ac:dyDescent="0.3">
      <c r="A36" s="375"/>
      <c r="B36" s="410">
        <v>10</v>
      </c>
      <c r="C36" s="413">
        <v>7.4999999999999997E-2</v>
      </c>
      <c r="D36" s="1506">
        <f>PMT(C36/12,B36*12,-1)</f>
        <v>1.1870176913585422E-2</v>
      </c>
      <c r="E36" s="1506"/>
      <c r="F36" s="412">
        <f>D36*F31</f>
        <v>245367.76538340899</v>
      </c>
      <c r="G36" s="1509">
        <f t="shared" ref="G36" si="2">F36/0.3</f>
        <v>817892.55127803003</v>
      </c>
      <c r="H36" s="1510"/>
      <c r="I36" s="1511"/>
      <c r="J36" s="375"/>
      <c r="K36" s="1492" t="s">
        <v>736</v>
      </c>
      <c r="L36" s="1492"/>
      <c r="M36" s="569">
        <v>45899</v>
      </c>
      <c r="N36" s="1304">
        <f t="shared" si="1"/>
        <v>187230.96540652218</v>
      </c>
      <c r="O36" s="1304"/>
      <c r="P36" s="1260"/>
      <c r="Q36" s="1262"/>
      <c r="S36" s="375"/>
      <c r="T36" s="375"/>
      <c r="U36" s="375"/>
      <c r="V36" s="375"/>
      <c r="W36" s="375"/>
      <c r="X36" s="375"/>
      <c r="Y36" s="375"/>
      <c r="Z36" s="375"/>
      <c r="AA36" s="375"/>
      <c r="AB36" s="375"/>
      <c r="AC36" s="375"/>
      <c r="AD36" s="375"/>
      <c r="AJ36" s="1537" t="s">
        <v>735</v>
      </c>
      <c r="AK36" s="1537"/>
      <c r="AP36" s="1492"/>
      <c r="AQ36" s="1492"/>
    </row>
    <row r="37" spans="1:43" s="375" customFormat="1" ht="14.25" x14ac:dyDescent="0.3">
      <c r="B37" s="410">
        <v>15</v>
      </c>
      <c r="C37" s="413">
        <v>7.4999999999999997E-2</v>
      </c>
      <c r="D37" s="1506">
        <f>PMT(C37/12,B37*12,-1)</f>
        <v>9.2701236000273819E-3</v>
      </c>
      <c r="E37" s="1506"/>
      <c r="F37" s="412">
        <f>D37*F31</f>
        <v>191622.20825567079</v>
      </c>
      <c r="G37" s="1509">
        <f>F37/0.3</f>
        <v>638740.6941855693</v>
      </c>
      <c r="H37" s="1510"/>
      <c r="I37" s="1511"/>
      <c r="K37" s="1492" t="s">
        <v>737</v>
      </c>
      <c r="L37" s="1492"/>
      <c r="M37" s="569">
        <v>45930</v>
      </c>
      <c r="N37" s="1304">
        <f t="shared" si="1"/>
        <v>187230.96540652218</v>
      </c>
      <c r="O37" s="1304"/>
      <c r="P37" s="1260"/>
      <c r="Q37" s="1262"/>
      <c r="AJ37" s="1537" t="s">
        <v>736</v>
      </c>
      <c r="AK37" s="1537"/>
      <c r="AP37" s="1492"/>
      <c r="AQ37" s="1492"/>
    </row>
    <row r="38" spans="1:43" s="375" customFormat="1" ht="14.25" x14ac:dyDescent="0.3">
      <c r="B38" s="410">
        <v>20</v>
      </c>
      <c r="C38" s="413">
        <v>7.4999999999999997E-2</v>
      </c>
      <c r="D38" s="1508">
        <f>PMT(C38/12,B38*12,-1)</f>
        <v>8.0559319355180733E-3</v>
      </c>
      <c r="E38" s="1508"/>
      <c r="F38" s="412">
        <f>D38*F31</f>
        <v>166523.72003290156</v>
      </c>
      <c r="G38" s="1509">
        <f>F38/0.3</f>
        <v>555079.06677633862</v>
      </c>
      <c r="H38" s="1510"/>
      <c r="I38" s="1511"/>
      <c r="K38" s="1492" t="s">
        <v>738</v>
      </c>
      <c r="L38" s="1492"/>
      <c r="M38" s="569">
        <v>45960</v>
      </c>
      <c r="N38" s="1304">
        <f t="shared" si="1"/>
        <v>187230.96540652218</v>
      </c>
      <c r="O38" s="1304"/>
      <c r="P38" s="1260"/>
      <c r="Q38" s="1262"/>
      <c r="AJ38" s="1537" t="s">
        <v>737</v>
      </c>
      <c r="AK38" s="1537"/>
      <c r="AP38" s="1492"/>
      <c r="AQ38" s="1492"/>
    </row>
    <row r="39" spans="1:43" s="375" customFormat="1" ht="14.25" x14ac:dyDescent="0.3">
      <c r="B39" s="414" t="s">
        <v>740</v>
      </c>
      <c r="G39" s="415"/>
      <c r="K39" s="1492" t="s">
        <v>739</v>
      </c>
      <c r="L39" s="1492"/>
      <c r="M39" s="569">
        <v>45991</v>
      </c>
      <c r="N39" s="1304">
        <f t="shared" si="1"/>
        <v>187230.96540652218</v>
      </c>
      <c r="O39" s="1304"/>
      <c r="P39" s="1260"/>
      <c r="Q39" s="1262"/>
      <c r="AJ39" s="1537" t="s">
        <v>738</v>
      </c>
      <c r="AK39" s="1537"/>
      <c r="AP39" s="1492"/>
      <c r="AQ39" s="1492"/>
    </row>
    <row r="40" spans="1:43" s="375" customFormat="1" ht="14.25" x14ac:dyDescent="0.3">
      <c r="B40" s="414" t="s">
        <v>925</v>
      </c>
      <c r="C40" s="416"/>
      <c r="D40" s="417"/>
      <c r="K40" s="1492"/>
      <c r="L40" s="1492"/>
      <c r="M40" s="569"/>
      <c r="N40" s="1304"/>
      <c r="O40" s="1304"/>
      <c r="P40" s="1260"/>
      <c r="Q40" s="1262"/>
      <c r="AJ40" s="1537" t="s">
        <v>739</v>
      </c>
      <c r="AK40" s="1537"/>
      <c r="AP40" s="1492"/>
      <c r="AQ40" s="1492"/>
    </row>
    <row r="41" spans="1:43" s="375" customFormat="1" ht="14.25" x14ac:dyDescent="0.3">
      <c r="B41" s="418" t="s">
        <v>744</v>
      </c>
      <c r="D41" s="417"/>
      <c r="G41" s="985"/>
      <c r="H41" s="985"/>
      <c r="K41" s="1536" t="s">
        <v>743</v>
      </c>
      <c r="L41" s="1536"/>
      <c r="M41" s="988">
        <f>'STANDARD COMP.'!M41</f>
        <v>0</v>
      </c>
      <c r="N41" s="1252"/>
      <c r="O41" s="1252"/>
      <c r="P41" s="1538"/>
      <c r="Q41" s="1539"/>
      <c r="AJ41" s="1537" t="s">
        <v>741</v>
      </c>
      <c r="AK41" s="1537"/>
      <c r="AP41" s="1492"/>
      <c r="AQ41" s="1492"/>
    </row>
    <row r="42" spans="1:43" s="375" customFormat="1" ht="14.25" x14ac:dyDescent="0.3">
      <c r="B42" s="418" t="s">
        <v>746</v>
      </c>
      <c r="C42" s="416"/>
      <c r="D42" s="417"/>
      <c r="G42" s="985"/>
      <c r="H42" s="985"/>
      <c r="K42" s="1536" t="s">
        <v>745</v>
      </c>
      <c r="L42" s="1536"/>
      <c r="M42" s="988" t="str">
        <f>'STANDARD COMP.'!M42</f>
        <v/>
      </c>
      <c r="N42" s="1252">
        <f t="shared" si="1"/>
        <v>0</v>
      </c>
      <c r="O42" s="1252"/>
      <c r="P42" s="1538"/>
      <c r="Q42" s="1539"/>
      <c r="AJ42" s="1537" t="s">
        <v>743</v>
      </c>
      <c r="AK42" s="1537"/>
      <c r="AP42" s="1492"/>
      <c r="AQ42" s="1492"/>
    </row>
    <row r="43" spans="1:43" s="375" customFormat="1" ht="14.25" x14ac:dyDescent="0.3">
      <c r="D43" s="417"/>
      <c r="K43" s="1536" t="s">
        <v>747</v>
      </c>
      <c r="L43" s="1536"/>
      <c r="M43" s="988" t="str">
        <f>'STANDARD COMP.'!M43</f>
        <v/>
      </c>
      <c r="N43" s="1252">
        <f t="shared" si="1"/>
        <v>0</v>
      </c>
      <c r="O43" s="1252"/>
      <c r="P43" s="1538"/>
      <c r="Q43" s="1539"/>
      <c r="AJ43" s="1537" t="s">
        <v>745</v>
      </c>
      <c r="AK43" s="1537"/>
      <c r="AP43" s="1492"/>
      <c r="AQ43" s="1492"/>
    </row>
    <row r="44" spans="1:43" s="375" customFormat="1" x14ac:dyDescent="0.3">
      <c r="B44" s="3" t="s">
        <v>749</v>
      </c>
      <c r="C44" s="419"/>
      <c r="D44" s="13"/>
      <c r="E44" s="13"/>
      <c r="F44" s="13"/>
      <c r="G44" s="13"/>
      <c r="H44" s="13"/>
      <c r="I44" s="13"/>
      <c r="K44" s="1533" t="s">
        <v>773</v>
      </c>
      <c r="L44" s="1533"/>
      <c r="M44" s="569">
        <v>46021</v>
      </c>
      <c r="N44" s="1534">
        <f>F31</f>
        <v>20670944.263904396</v>
      </c>
      <c r="O44" s="1534"/>
      <c r="P44" s="630"/>
      <c r="Q44" s="631"/>
      <c r="R44" s="12"/>
      <c r="AJ44" s="1537" t="s">
        <v>747</v>
      </c>
      <c r="AK44" s="1537"/>
      <c r="AP44" s="1492"/>
      <c r="AQ44" s="1492"/>
    </row>
    <row r="45" spans="1:43" s="375" customFormat="1" x14ac:dyDescent="0.3">
      <c r="B45" s="13"/>
      <c r="C45" s="13"/>
      <c r="D45" s="13"/>
      <c r="E45" s="13"/>
      <c r="F45" s="13"/>
      <c r="G45" s="13"/>
      <c r="H45" s="13"/>
      <c r="I45" s="13"/>
      <c r="K45" s="1540" t="s">
        <v>926</v>
      </c>
      <c r="L45" s="1541"/>
      <c r="M45" s="986"/>
      <c r="N45" s="1542">
        <f>SUM(N17:O44)</f>
        <v>24840025.502847884</v>
      </c>
      <c r="O45" s="1541"/>
      <c r="P45" s="1540"/>
      <c r="Q45" s="1541"/>
      <c r="R45" s="12"/>
      <c r="AJ45" s="1537" t="s">
        <v>748</v>
      </c>
      <c r="AK45" s="1537"/>
      <c r="AP45" s="1492"/>
      <c r="AQ45" s="1492"/>
    </row>
    <row r="46" spans="1:43" s="375" customFormat="1" x14ac:dyDescent="0.3">
      <c r="B46" s="1266" t="s">
        <v>655</v>
      </c>
      <c r="C46" s="1266"/>
      <c r="D46" s="1266" t="s">
        <v>656</v>
      </c>
      <c r="E46" s="1266"/>
      <c r="F46" s="1266"/>
      <c r="G46" s="1266" t="s">
        <v>754</v>
      </c>
      <c r="H46" s="1266"/>
      <c r="I46" s="1266"/>
      <c r="K46" s="420"/>
      <c r="M46" s="421"/>
      <c r="O46" s="884">
        <f>N45-F22</f>
        <v>1872309.6540652215</v>
      </c>
      <c r="R46" s="12"/>
      <c r="AJ46" s="1537" t="s">
        <v>750</v>
      </c>
      <c r="AK46" s="1537"/>
      <c r="AP46" s="1492"/>
      <c r="AQ46" s="1492"/>
    </row>
    <row r="47" spans="1:43" s="375" customFormat="1" x14ac:dyDescent="0.3">
      <c r="B47" s="1494"/>
      <c r="C47" s="1495"/>
      <c r="D47" s="1494"/>
      <c r="E47" s="1498"/>
      <c r="F47" s="1495"/>
      <c r="G47" s="1500"/>
      <c r="H47" s="1501"/>
      <c r="I47" s="1502"/>
      <c r="M47" s="421"/>
      <c r="O47" s="885"/>
      <c r="R47" s="12"/>
      <c r="AJ47" s="1537" t="s">
        <v>751</v>
      </c>
      <c r="AK47" s="1537"/>
      <c r="AP47" s="1492"/>
      <c r="AQ47" s="1492"/>
    </row>
    <row r="48" spans="1:43" s="375" customFormat="1" x14ac:dyDescent="0.3">
      <c r="B48" s="1496"/>
      <c r="C48" s="1497"/>
      <c r="D48" s="1496"/>
      <c r="E48" s="1499"/>
      <c r="F48" s="1497"/>
      <c r="G48" s="1503"/>
      <c r="H48" s="1504"/>
      <c r="I48" s="1505"/>
      <c r="K48" s="13" t="s">
        <v>774</v>
      </c>
      <c r="L48" s="13"/>
      <c r="M48" s="13"/>
      <c r="N48" s="13"/>
      <c r="P48" s="13" t="s">
        <v>775</v>
      </c>
      <c r="Q48" s="13"/>
      <c r="R48" s="12"/>
      <c r="AJ48" s="1537" t="s">
        <v>755</v>
      </c>
      <c r="AK48" s="1537"/>
      <c r="AP48" s="1492"/>
      <c r="AQ48" s="1492"/>
    </row>
    <row r="49" spans="1:37" s="375" customFormat="1" x14ac:dyDescent="0.3">
      <c r="A49" s="16"/>
      <c r="B49" s="1494"/>
      <c r="C49" s="1495"/>
      <c r="D49" s="1494"/>
      <c r="E49" s="1498"/>
      <c r="F49" s="1495"/>
      <c r="G49" s="1500"/>
      <c r="H49" s="1501"/>
      <c r="I49" s="1502"/>
      <c r="M49" s="417"/>
      <c r="R49" s="12"/>
      <c r="AJ49" s="1535" t="s">
        <v>756</v>
      </c>
      <c r="AK49" s="1535"/>
    </row>
    <row r="50" spans="1:37" x14ac:dyDescent="0.3">
      <c r="A50" s="375"/>
      <c r="B50" s="1496"/>
      <c r="C50" s="1497"/>
      <c r="D50" s="1496"/>
      <c r="E50" s="1499"/>
      <c r="F50" s="1497"/>
      <c r="G50" s="1503"/>
      <c r="H50" s="1504"/>
      <c r="I50" s="1505"/>
      <c r="K50" s="375"/>
      <c r="L50" s="375"/>
      <c r="M50" s="417"/>
      <c r="N50" s="375"/>
      <c r="O50" s="375"/>
      <c r="P50" s="375"/>
      <c r="Q50" s="375"/>
    </row>
    <row r="51" spans="1:37" s="375" customFormat="1" x14ac:dyDescent="0.3">
      <c r="D51" s="417"/>
      <c r="K51" s="1493" t="str">
        <f>FORM!G32</f>
        <v>Seller</v>
      </c>
      <c r="L51" s="1493"/>
      <c r="M51" s="1493"/>
      <c r="P51" s="1493">
        <f>FORM!G30</f>
        <v>0</v>
      </c>
      <c r="Q51" s="1493"/>
      <c r="R51" s="12"/>
    </row>
    <row r="52" spans="1:37" s="375" customFormat="1" x14ac:dyDescent="0.3">
      <c r="B52" s="422"/>
      <c r="C52" s="574" t="s">
        <v>895</v>
      </c>
      <c r="D52" s="1272"/>
      <c r="E52" s="1272"/>
      <c r="F52" s="1272"/>
      <c r="K52" s="425" t="s">
        <v>777</v>
      </c>
      <c r="L52" s="425"/>
      <c r="M52" s="426"/>
      <c r="P52" s="425" t="s">
        <v>777</v>
      </c>
      <c r="Q52" s="425"/>
      <c r="R52" s="12"/>
    </row>
    <row r="53" spans="1:37" s="375" customFormat="1" x14ac:dyDescent="0.3">
      <c r="B53" s="423"/>
      <c r="C53" s="94"/>
      <c r="D53" s="94"/>
      <c r="E53" s="94"/>
      <c r="F53" s="424"/>
      <c r="K53" s="12"/>
      <c r="L53" s="12"/>
      <c r="M53" s="12"/>
      <c r="N53" s="12"/>
      <c r="O53" s="12"/>
      <c r="P53" s="12"/>
      <c r="Q53" s="12"/>
      <c r="R53" s="12"/>
    </row>
    <row r="54" spans="1:37" s="375" customFormat="1" x14ac:dyDescent="0.3">
      <c r="B54" s="13" t="s">
        <v>774</v>
      </c>
      <c r="C54" s="13"/>
      <c r="D54" s="13"/>
      <c r="E54" s="13"/>
      <c r="F54" s="13" t="s">
        <v>775</v>
      </c>
      <c r="G54" s="13"/>
      <c r="H54" s="13"/>
      <c r="K54" s="12"/>
      <c r="L54" s="12"/>
      <c r="M54" s="12"/>
      <c r="N54" s="12"/>
      <c r="O54" s="12"/>
      <c r="P54" s="12"/>
      <c r="Q54" s="12"/>
      <c r="R54" s="12"/>
    </row>
    <row r="55" spans="1:37" s="375" customFormat="1" x14ac:dyDescent="0.3">
      <c r="D55" s="417"/>
      <c r="K55" s="12"/>
      <c r="L55" s="12"/>
      <c r="M55" s="366"/>
      <c r="N55" s="12"/>
      <c r="O55" s="12"/>
      <c r="P55" s="12"/>
      <c r="Q55" s="12"/>
      <c r="R55" s="12"/>
    </row>
    <row r="56" spans="1:37" s="375" customFormat="1" x14ac:dyDescent="0.3">
      <c r="B56" s="1493" t="str">
        <f>FORM!G32</f>
        <v>Seller</v>
      </c>
      <c r="C56" s="1493"/>
      <c r="D56" s="571"/>
      <c r="F56" s="1493">
        <f>FORM!G30</f>
        <v>0</v>
      </c>
      <c r="G56" s="1493"/>
      <c r="K56" s="12"/>
      <c r="L56" s="12"/>
      <c r="M56" s="366"/>
      <c r="N56" s="12"/>
      <c r="O56" s="12"/>
      <c r="P56" s="12"/>
      <c r="Q56" s="12"/>
      <c r="R56" s="12"/>
    </row>
    <row r="57" spans="1:37" s="375" customFormat="1" x14ac:dyDescent="0.3">
      <c r="B57" s="425" t="s">
        <v>777</v>
      </c>
      <c r="C57" s="425"/>
      <c r="D57" s="417"/>
      <c r="F57" s="425" t="s">
        <v>777</v>
      </c>
      <c r="G57" s="425"/>
      <c r="J57" s="375" t="s">
        <v>660</v>
      </c>
      <c r="K57" s="12"/>
      <c r="L57" s="12"/>
      <c r="M57" s="366"/>
      <c r="N57" s="12"/>
      <c r="O57" s="12"/>
      <c r="P57" s="12"/>
      <c r="Q57" s="12"/>
      <c r="R57" s="12"/>
    </row>
    <row r="58" spans="1:37" s="375" customFormat="1" x14ac:dyDescent="0.3">
      <c r="B58" s="12"/>
      <c r="C58" s="12"/>
      <c r="D58" s="19"/>
      <c r="E58" s="12"/>
      <c r="F58" s="12"/>
      <c r="G58" s="12"/>
      <c r="H58" s="12"/>
      <c r="I58" s="12"/>
      <c r="K58" s="12"/>
      <c r="L58" s="12"/>
      <c r="M58" s="366"/>
      <c r="N58" s="12"/>
      <c r="O58" s="12"/>
      <c r="P58" s="12"/>
      <c r="Q58" s="12"/>
      <c r="R58" s="12"/>
    </row>
    <row r="59" spans="1:37" s="375" customFormat="1" x14ac:dyDescent="0.3">
      <c r="B59" s="12"/>
      <c r="C59" s="12"/>
      <c r="D59" s="19"/>
      <c r="E59" s="12"/>
      <c r="F59" s="12"/>
      <c r="G59" s="12"/>
      <c r="H59" s="12"/>
      <c r="I59" s="12"/>
      <c r="K59" s="12"/>
      <c r="L59" s="12"/>
      <c r="M59" s="366"/>
      <c r="N59" s="12"/>
      <c r="O59" s="12"/>
      <c r="P59" s="12"/>
      <c r="Q59" s="12"/>
      <c r="R59" s="12"/>
    </row>
    <row r="60" spans="1:37" s="375" customFormat="1" x14ac:dyDescent="0.3">
      <c r="B60" s="12"/>
      <c r="C60" s="12"/>
      <c r="D60" s="19"/>
      <c r="E60" s="12"/>
      <c r="F60" s="12"/>
      <c r="G60" s="12"/>
      <c r="H60" s="12"/>
      <c r="I60" s="12"/>
      <c r="K60" s="12"/>
      <c r="L60" s="12"/>
      <c r="M60" s="366"/>
      <c r="N60" s="12"/>
      <c r="O60" s="12"/>
      <c r="P60" s="12"/>
      <c r="Q60" s="12"/>
      <c r="R60" s="12"/>
    </row>
    <row r="61" spans="1:37" s="375" customFormat="1" x14ac:dyDescent="0.3">
      <c r="B61" s="12"/>
      <c r="C61" s="12"/>
      <c r="D61" s="19"/>
      <c r="E61" s="12"/>
      <c r="F61" s="12"/>
      <c r="G61" s="12"/>
      <c r="H61" s="12"/>
      <c r="I61" s="12"/>
      <c r="K61" s="12"/>
      <c r="L61" s="12"/>
      <c r="M61" s="366"/>
      <c r="N61" s="12"/>
      <c r="O61" s="12"/>
      <c r="P61" s="12"/>
      <c r="Q61" s="12"/>
      <c r="R61" s="12"/>
    </row>
    <row r="62" spans="1:37" s="375" customFormat="1" x14ac:dyDescent="0.3">
      <c r="B62" s="12"/>
      <c r="C62" s="12"/>
      <c r="D62" s="19"/>
      <c r="E62" s="12"/>
      <c r="F62" s="12"/>
      <c r="G62" s="12"/>
      <c r="H62" s="12"/>
      <c r="I62" s="12"/>
      <c r="K62" s="12"/>
      <c r="L62" s="12"/>
      <c r="M62" s="366"/>
      <c r="N62" s="12"/>
      <c r="O62" s="12"/>
      <c r="P62" s="12"/>
      <c r="Q62" s="12"/>
      <c r="R62" s="12"/>
    </row>
    <row r="63" spans="1:37" s="375" customFormat="1" x14ac:dyDescent="0.3">
      <c r="B63" s="12"/>
      <c r="C63" s="12"/>
      <c r="D63" s="19"/>
      <c r="E63" s="12"/>
      <c r="F63" s="12"/>
      <c r="G63" s="12"/>
      <c r="H63" s="12"/>
      <c r="I63" s="12"/>
      <c r="K63" s="12"/>
      <c r="L63" s="12"/>
      <c r="M63" s="366"/>
      <c r="N63" s="12"/>
      <c r="O63" s="12"/>
      <c r="P63" s="12"/>
      <c r="Q63" s="12"/>
      <c r="R63" s="12"/>
    </row>
    <row r="64" spans="1:37" s="375" customFormat="1" x14ac:dyDescent="0.3">
      <c r="A64" s="12"/>
      <c r="B64" s="12"/>
      <c r="C64" s="12"/>
      <c r="D64" s="19"/>
      <c r="E64" s="12"/>
      <c r="F64" s="12"/>
      <c r="G64" s="12"/>
      <c r="H64" s="12"/>
      <c r="I64" s="12"/>
      <c r="K64" s="12"/>
      <c r="L64" s="12"/>
      <c r="M64" s="366"/>
      <c r="N64" s="12"/>
      <c r="O64" s="12"/>
      <c r="P64" s="12"/>
      <c r="Q64" s="12"/>
      <c r="R64" s="12"/>
    </row>
    <row r="114" spans="1:1" x14ac:dyDescent="0.3">
      <c r="A114" s="427">
        <f>F17*12%</f>
        <v>2296362.2511436595</v>
      </c>
    </row>
  </sheetData>
  <sheetProtection selectLockedCells="1" selectUnlockedCells="1"/>
  <mergeCells count="230">
    <mergeCell ref="P11:Q11"/>
    <mergeCell ref="E10:F10"/>
    <mergeCell ref="N10:O10"/>
    <mergeCell ref="K17:L17"/>
    <mergeCell ref="E9:I9"/>
    <mergeCell ref="N9:Q9"/>
    <mergeCell ref="M15:M16"/>
    <mergeCell ref="G37:I37"/>
    <mergeCell ref="G38:I38"/>
    <mergeCell ref="G35:I35"/>
    <mergeCell ref="AP48:AQ48"/>
    <mergeCell ref="AP46:AQ46"/>
    <mergeCell ref="AP47:AQ47"/>
    <mergeCell ref="AJ36:AK36"/>
    <mergeCell ref="AJ30:AK30"/>
    <mergeCell ref="N32:O32"/>
    <mergeCell ref="K31:L31"/>
    <mergeCell ref="N31:O31"/>
    <mergeCell ref="AJ31:AK31"/>
    <mergeCell ref="AJ34:AK34"/>
    <mergeCell ref="K33:L33"/>
    <mergeCell ref="N33:O33"/>
    <mergeCell ref="AJ33:AK33"/>
    <mergeCell ref="AJ35:AK35"/>
    <mergeCell ref="K32:L32"/>
    <mergeCell ref="AJ32:AK32"/>
    <mergeCell ref="P30:Q30"/>
    <mergeCell ref="N42:O42"/>
    <mergeCell ref="AJ42:AK42"/>
    <mergeCell ref="K30:L30"/>
    <mergeCell ref="N30:O30"/>
    <mergeCell ref="P36:Q36"/>
    <mergeCell ref="P37:Q37"/>
    <mergeCell ref="AJ48:AK48"/>
    <mergeCell ref="AP19:AQ19"/>
    <mergeCell ref="AP38:AQ38"/>
    <mergeCell ref="AP39:AQ39"/>
    <mergeCell ref="AP40:AQ40"/>
    <mergeCell ref="AP41:AQ41"/>
    <mergeCell ref="AP42:AQ42"/>
    <mergeCell ref="AP43:AQ43"/>
    <mergeCell ref="AP44:AQ44"/>
    <mergeCell ref="AP45:AQ45"/>
    <mergeCell ref="AP29:AQ29"/>
    <mergeCell ref="AP30:AQ30"/>
    <mergeCell ref="AP31:AQ31"/>
    <mergeCell ref="AP32:AQ32"/>
    <mergeCell ref="AP33:AQ33"/>
    <mergeCell ref="AP34:AQ34"/>
    <mergeCell ref="AP35:AQ35"/>
    <mergeCell ref="AP36:AQ36"/>
    <mergeCell ref="AP20:AQ20"/>
    <mergeCell ref="AP21:AQ21"/>
    <mergeCell ref="AP22:AQ22"/>
    <mergeCell ref="AP23:AQ23"/>
    <mergeCell ref="AP37:AQ37"/>
    <mergeCell ref="AP24:AQ24"/>
    <mergeCell ref="AP25:AQ25"/>
    <mergeCell ref="AP26:AQ26"/>
    <mergeCell ref="AP27:AQ27"/>
    <mergeCell ref="AP28:AQ28"/>
    <mergeCell ref="T26:U26"/>
    <mergeCell ref="N27:O27"/>
    <mergeCell ref="T27:U27"/>
    <mergeCell ref="F26:I26"/>
    <mergeCell ref="F27:I27"/>
    <mergeCell ref="AJ23:AK23"/>
    <mergeCell ref="K24:L24"/>
    <mergeCell ref="N24:O24"/>
    <mergeCell ref="AJ24:AK24"/>
    <mergeCell ref="K25:L25"/>
    <mergeCell ref="N25:O25"/>
    <mergeCell ref="AJ25:AK25"/>
    <mergeCell ref="N23:O23"/>
    <mergeCell ref="K23:L23"/>
    <mergeCell ref="AJ19:AK19"/>
    <mergeCell ref="AJ28:AK28"/>
    <mergeCell ref="AJ26:AK26"/>
    <mergeCell ref="AJ27:AK27"/>
    <mergeCell ref="K20:L20"/>
    <mergeCell ref="N20:O20"/>
    <mergeCell ref="AJ20:AK20"/>
    <mergeCell ref="P20:Q20"/>
    <mergeCell ref="P21:Q21"/>
    <mergeCell ref="P22:Q22"/>
    <mergeCell ref="P23:Q23"/>
    <mergeCell ref="P24:Q24"/>
    <mergeCell ref="P25:Q25"/>
    <mergeCell ref="P26:Q26"/>
    <mergeCell ref="P27:Q27"/>
    <mergeCell ref="P28:Q28"/>
    <mergeCell ref="K26:L26"/>
    <mergeCell ref="N26:O26"/>
    <mergeCell ref="K22:L22"/>
    <mergeCell ref="N22:O22"/>
    <mergeCell ref="P19:Q19"/>
    <mergeCell ref="K21:L21"/>
    <mergeCell ref="N21:O21"/>
    <mergeCell ref="K19:L19"/>
    <mergeCell ref="AJ37:AK37"/>
    <mergeCell ref="AJ21:AK21"/>
    <mergeCell ref="AJ22:AK22"/>
    <mergeCell ref="K28:L28"/>
    <mergeCell ref="N28:O28"/>
    <mergeCell ref="K27:L27"/>
    <mergeCell ref="P29:Q29"/>
    <mergeCell ref="T21:U21"/>
    <mergeCell ref="K29:L29"/>
    <mergeCell ref="AJ29:AK29"/>
    <mergeCell ref="N29:O29"/>
    <mergeCell ref="P32:Q32"/>
    <mergeCell ref="P33:Q33"/>
    <mergeCell ref="P34:Q34"/>
    <mergeCell ref="P35:Q35"/>
    <mergeCell ref="K35:L35"/>
    <mergeCell ref="N35:O35"/>
    <mergeCell ref="K34:L34"/>
    <mergeCell ref="N34:O34"/>
    <mergeCell ref="AJ41:AK41"/>
    <mergeCell ref="K38:L38"/>
    <mergeCell ref="N38:O38"/>
    <mergeCell ref="AJ38:AK38"/>
    <mergeCell ref="AJ43:AK43"/>
    <mergeCell ref="N40:O40"/>
    <mergeCell ref="AJ44:AK44"/>
    <mergeCell ref="K39:L39"/>
    <mergeCell ref="N39:O39"/>
    <mergeCell ref="AJ39:AK39"/>
    <mergeCell ref="K42:L42"/>
    <mergeCell ref="K40:L40"/>
    <mergeCell ref="P51:Q51"/>
    <mergeCell ref="K51:M51"/>
    <mergeCell ref="K37:L37"/>
    <mergeCell ref="N37:O37"/>
    <mergeCell ref="K44:L44"/>
    <mergeCell ref="N44:O44"/>
    <mergeCell ref="AJ49:AK49"/>
    <mergeCell ref="K43:L43"/>
    <mergeCell ref="N43:O43"/>
    <mergeCell ref="AJ46:AK46"/>
    <mergeCell ref="AJ47:AK47"/>
    <mergeCell ref="P38:Q38"/>
    <mergeCell ref="P39:Q39"/>
    <mergeCell ref="P40:Q40"/>
    <mergeCell ref="P41:Q41"/>
    <mergeCell ref="P42:Q42"/>
    <mergeCell ref="P43:Q43"/>
    <mergeCell ref="AJ40:AK40"/>
    <mergeCell ref="AJ45:AK45"/>
    <mergeCell ref="K45:L45"/>
    <mergeCell ref="N45:O45"/>
    <mergeCell ref="P45:Q45"/>
    <mergeCell ref="K41:L41"/>
    <mergeCell ref="N41:O41"/>
    <mergeCell ref="Z1:AA1"/>
    <mergeCell ref="AB1:AD1"/>
    <mergeCell ref="X13:Y13"/>
    <mergeCell ref="X6:AD6"/>
    <mergeCell ref="X7:AD7"/>
    <mergeCell ref="X8:AD8"/>
    <mergeCell ref="X9:AD9"/>
    <mergeCell ref="X11:Y11"/>
    <mergeCell ref="X12:Y12"/>
    <mergeCell ref="S3:AD4"/>
    <mergeCell ref="S1:T1"/>
    <mergeCell ref="X10:Y10"/>
    <mergeCell ref="U1:V1"/>
    <mergeCell ref="G1:I1"/>
    <mergeCell ref="E12:F12"/>
    <mergeCell ref="G13:I13"/>
    <mergeCell ref="P13:Q13"/>
    <mergeCell ref="F15:I15"/>
    <mergeCell ref="F16:I16"/>
    <mergeCell ref="E7:I7"/>
    <mergeCell ref="N7:Q7"/>
    <mergeCell ref="E8:I8"/>
    <mergeCell ref="E13:F13"/>
    <mergeCell ref="N15:O16"/>
    <mergeCell ref="B3:I4"/>
    <mergeCell ref="K3:Q4"/>
    <mergeCell ref="E6:I6"/>
    <mergeCell ref="N6:Q6"/>
    <mergeCell ref="G12:I12"/>
    <mergeCell ref="N12:O12"/>
    <mergeCell ref="P12:Q12"/>
    <mergeCell ref="E11:F11"/>
    <mergeCell ref="G11:I11"/>
    <mergeCell ref="N11:O11"/>
    <mergeCell ref="N8:Q8"/>
    <mergeCell ref="P15:Q16"/>
    <mergeCell ref="N13:O13"/>
    <mergeCell ref="S15:AD15"/>
    <mergeCell ref="K15:L16"/>
    <mergeCell ref="P31:Q31"/>
    <mergeCell ref="T20:U20"/>
    <mergeCell ref="F25:I25"/>
    <mergeCell ref="F24:I24"/>
    <mergeCell ref="F29:I29"/>
    <mergeCell ref="P18:Q18"/>
    <mergeCell ref="G34:I34"/>
    <mergeCell ref="F22:I22"/>
    <mergeCell ref="F17:I17"/>
    <mergeCell ref="K18:L18"/>
    <mergeCell ref="N18:O18"/>
    <mergeCell ref="P17:Q17"/>
    <mergeCell ref="F20:I20"/>
    <mergeCell ref="N19:O19"/>
    <mergeCell ref="F19:I19"/>
    <mergeCell ref="N17:O17"/>
    <mergeCell ref="B46:C46"/>
    <mergeCell ref="F31:I31"/>
    <mergeCell ref="K36:L36"/>
    <mergeCell ref="N36:O36"/>
    <mergeCell ref="B56:C56"/>
    <mergeCell ref="D52:F52"/>
    <mergeCell ref="G46:I46"/>
    <mergeCell ref="B47:C48"/>
    <mergeCell ref="D47:F48"/>
    <mergeCell ref="G47:I48"/>
    <mergeCell ref="G49:I50"/>
    <mergeCell ref="D49:F50"/>
    <mergeCell ref="B49:C50"/>
    <mergeCell ref="F56:G56"/>
    <mergeCell ref="D37:E37"/>
    <mergeCell ref="D34:E34"/>
    <mergeCell ref="D46:F46"/>
    <mergeCell ref="D35:E35"/>
    <mergeCell ref="D38:E38"/>
    <mergeCell ref="D36:E36"/>
    <mergeCell ref="G36:I36"/>
  </mergeCells>
  <phoneticPr fontId="28" type="noConversion"/>
  <pageMargins left="0.59055118110236227" right="0.59055118110236227" top="1.1811023622047245" bottom="0.74803149606299213" header="0.31496062992125984" footer="0.31496062992125984"/>
  <pageSetup paperSize="14" scale="68" orientation="portrait" r:id="rId1"/>
  <headerFooter>
    <oddHeader xml:space="preserve">&amp;R&amp;"Century Gothic,Bold"&amp;18ANNEX A: 
SAMPLE PACKAGE COMPUTATION
</oddHeader>
  </headerFooter>
  <rowBreaks count="1" manualBreakCount="1">
    <brk id="69" max="29" man="1"/>
  </rowBreaks>
  <colBreaks count="2" manualBreakCount="2">
    <brk id="9" max="1048575" man="1"/>
    <brk id="17" max="68" man="1"/>
  </colBreaks>
  <drawing r:id="rId2"/>
  <legacyDrawing r:id="rId3"/>
  <mc:AlternateContent xmlns:mc="http://schemas.openxmlformats.org/markup-compatibility/2006">
    <mc:Choice Requires="x14">
      <controls>
        <mc:AlternateContent xmlns:mc="http://schemas.openxmlformats.org/markup-compatibility/2006">
          <mc:Choice Requires="x14">
            <control shapeId="9217" r:id="rId4" name="Check Box 1">
              <controlPr defaultSize="0" autoFill="0" autoLine="0" autoPict="0">
                <anchor moveWithCells="1">
                  <from>
                    <xdr:col>21</xdr:col>
                    <xdr:colOff>76200</xdr:colOff>
                    <xdr:row>17</xdr:row>
                    <xdr:rowOff>0</xdr:rowOff>
                  </from>
                  <to>
                    <xdr:col>21</xdr:col>
                    <xdr:colOff>295275</xdr:colOff>
                    <xdr:row>18</xdr:row>
                    <xdr:rowOff>57150</xdr:rowOff>
                  </to>
                </anchor>
              </controlPr>
            </control>
          </mc:Choice>
        </mc:AlternateContent>
        <mc:AlternateContent xmlns:mc="http://schemas.openxmlformats.org/markup-compatibility/2006">
          <mc:Choice Requires="x14">
            <control shapeId="9218" r:id="rId5" name="Check Box 2">
              <controlPr defaultSize="0" autoFill="0" autoLine="0" autoPict="0">
                <anchor moveWithCells="1">
                  <from>
                    <xdr:col>21</xdr:col>
                    <xdr:colOff>76200</xdr:colOff>
                    <xdr:row>19</xdr:row>
                    <xdr:rowOff>0</xdr:rowOff>
                  </from>
                  <to>
                    <xdr:col>21</xdr:col>
                    <xdr:colOff>295275</xdr:colOff>
                    <xdr:row>20</xdr:row>
                    <xdr:rowOff>47625</xdr:rowOff>
                  </to>
                </anchor>
              </controlPr>
            </control>
          </mc:Choice>
        </mc:AlternateContent>
        <mc:AlternateContent xmlns:mc="http://schemas.openxmlformats.org/markup-compatibility/2006">
          <mc:Choice Requires="x14">
            <control shapeId="9219" r:id="rId6" name="Check Box 3">
              <controlPr defaultSize="0" autoFill="0" autoLine="0" autoPict="0">
                <anchor moveWithCells="1">
                  <from>
                    <xdr:col>21</xdr:col>
                    <xdr:colOff>76200</xdr:colOff>
                    <xdr:row>23</xdr:row>
                    <xdr:rowOff>0</xdr:rowOff>
                  </from>
                  <to>
                    <xdr:col>21</xdr:col>
                    <xdr:colOff>285750</xdr:colOff>
                    <xdr:row>24</xdr:row>
                    <xdr:rowOff>57150</xdr:rowOff>
                  </to>
                </anchor>
              </controlPr>
            </control>
          </mc:Choice>
        </mc:AlternateContent>
        <mc:AlternateContent xmlns:mc="http://schemas.openxmlformats.org/markup-compatibility/2006">
          <mc:Choice Requires="x14">
            <control shapeId="9222" r:id="rId7" name="Check Box 6">
              <controlPr defaultSize="0" autoFill="0" autoLine="0" autoPict="0">
                <anchor moveWithCells="1">
                  <from>
                    <xdr:col>21</xdr:col>
                    <xdr:colOff>66675</xdr:colOff>
                    <xdr:row>25</xdr:row>
                    <xdr:rowOff>0</xdr:rowOff>
                  </from>
                  <to>
                    <xdr:col>21</xdr:col>
                    <xdr:colOff>285750</xdr:colOff>
                    <xdr:row>26</xdr:row>
                    <xdr:rowOff>47625</xdr:rowOff>
                  </to>
                </anchor>
              </controlPr>
            </control>
          </mc:Choice>
        </mc:AlternateContent>
      </controls>
    </mc:Choice>
  </mc:AlternateContent>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A23501-968C-4526-B0FC-0F4CFDED3C6B}">
  <sheetPr codeName="Sheet34"/>
  <dimension ref="A1:U80"/>
  <sheetViews>
    <sheetView showGridLines="0" showZeros="0" view="pageBreakPreview" topLeftCell="A31" zoomScale="115" zoomScaleNormal="100" zoomScaleSheetLayoutView="115" workbookViewId="0">
      <selection activeCell="D48" sqref="D48:I48"/>
    </sheetView>
  </sheetViews>
  <sheetFormatPr defaultColWidth="9.28515625" defaultRowHeight="16.5" x14ac:dyDescent="0.3"/>
  <cols>
    <col min="1" max="1" width="3.28515625" style="5" customWidth="1"/>
    <col min="2" max="2" width="1.28515625" style="5" customWidth="1"/>
    <col min="3" max="3" width="4.5703125" style="5" customWidth="1"/>
    <col min="4" max="4" width="2.7109375" style="5" customWidth="1"/>
    <col min="5" max="5" width="7" style="5" customWidth="1"/>
    <col min="6" max="6" width="4.28515625" style="5" customWidth="1"/>
    <col min="7" max="7" width="3.42578125" style="5" customWidth="1"/>
    <col min="8" max="8" width="3.28515625" style="5" customWidth="1"/>
    <col min="9" max="9" width="5.28515625" style="5" customWidth="1"/>
    <col min="10" max="10" width="3.28515625" style="5" customWidth="1"/>
    <col min="11" max="11" width="4.7109375" style="5" customWidth="1"/>
    <col min="12" max="12" width="5.7109375" style="5" customWidth="1"/>
    <col min="13" max="13" width="7" style="5" customWidth="1"/>
    <col min="14" max="14" width="3.28515625" style="5" customWidth="1"/>
    <col min="15" max="15" width="4.42578125" style="5" customWidth="1"/>
    <col min="16" max="16" width="7" style="5" customWidth="1"/>
    <col min="17" max="17" width="5.28515625" style="5" customWidth="1"/>
    <col min="18" max="18" width="15.7109375" style="5" customWidth="1"/>
    <col min="19" max="19" width="2.42578125" style="5" customWidth="1"/>
    <col min="20" max="20" width="12.7109375" style="5" customWidth="1"/>
    <col min="21" max="21" width="1.28515625" style="5" customWidth="1"/>
    <col min="22" max="16384" width="9.28515625" style="5"/>
  </cols>
  <sheetData>
    <row r="1" spans="1:21" ht="7.5" customHeight="1" x14ac:dyDescent="0.3">
      <c r="U1" s="58"/>
    </row>
    <row r="2" spans="1:21" s="18" customFormat="1" ht="14.25" x14ac:dyDescent="0.3">
      <c r="A2" s="18" t="s">
        <v>778</v>
      </c>
      <c r="C2" s="1227">
        <f>FORM!G22</f>
        <v>45870</v>
      </c>
      <c r="D2" s="1227"/>
      <c r="E2" s="1227"/>
      <c r="F2" s="1227"/>
    </row>
    <row r="3" spans="1:21" s="18" customFormat="1" ht="13.5" x14ac:dyDescent="0.3"/>
    <row r="4" spans="1:21" s="18" customFormat="1" ht="14.25" x14ac:dyDescent="0.3">
      <c r="A4" s="655" t="s">
        <v>779</v>
      </c>
    </row>
    <row r="5" spans="1:21" s="18" customFormat="1" ht="9" customHeight="1" x14ac:dyDescent="0.3"/>
    <row r="6" spans="1:21" s="18" customFormat="1" ht="16.5" customHeight="1" x14ac:dyDescent="0.3">
      <c r="A6" s="1228" t="s">
        <v>780</v>
      </c>
      <c r="B6" s="1228"/>
      <c r="C6" s="1228"/>
      <c r="D6" s="1228"/>
      <c r="E6" s="1228"/>
      <c r="F6" s="1228"/>
      <c r="G6" s="1228"/>
      <c r="H6" s="1228"/>
      <c r="I6" s="1228"/>
      <c r="J6" s="1228"/>
      <c r="K6" s="1228"/>
      <c r="L6" s="1228"/>
      <c r="M6" s="1228"/>
      <c r="N6" s="1228"/>
      <c r="O6" s="1228"/>
      <c r="P6" s="1228"/>
      <c r="Q6" s="1228"/>
      <c r="R6" s="1228"/>
      <c r="S6" s="1228"/>
      <c r="T6" s="1228"/>
      <c r="U6" s="1228"/>
    </row>
    <row r="7" spans="1:21" ht="8.25" customHeight="1" x14ac:dyDescent="0.3">
      <c r="A7" s="21"/>
      <c r="B7" s="21"/>
      <c r="C7" s="21"/>
      <c r="D7" s="21"/>
      <c r="E7" s="21"/>
      <c r="F7" s="21"/>
      <c r="G7" s="21"/>
      <c r="H7" s="21"/>
      <c r="I7" s="21"/>
      <c r="J7" s="21"/>
      <c r="K7" s="21"/>
      <c r="L7" s="21"/>
      <c r="M7" s="21"/>
      <c r="N7" s="21"/>
      <c r="O7" s="21"/>
      <c r="P7" s="21"/>
      <c r="Q7" s="21"/>
      <c r="R7" s="21"/>
      <c r="S7" s="21"/>
      <c r="T7" s="21"/>
      <c r="U7" s="21"/>
    </row>
    <row r="8" spans="1:21" x14ac:dyDescent="0.3">
      <c r="A8" s="25" t="s">
        <v>781</v>
      </c>
      <c r="B8" s="26"/>
      <c r="C8" s="26"/>
      <c r="D8" s="24"/>
      <c r="E8" s="1229" t="str">
        <f>FORM!G11</f>
        <v>WEECOMM CENTRE</v>
      </c>
      <c r="F8" s="1229"/>
      <c r="G8" s="1229"/>
      <c r="H8" s="1229"/>
      <c r="I8" s="1229"/>
      <c r="J8" s="1229"/>
      <c r="K8" s="1229"/>
      <c r="L8" s="1229"/>
      <c r="M8" s="1229"/>
      <c r="N8" s="1229"/>
      <c r="O8" s="1229"/>
      <c r="P8" s="1229"/>
      <c r="Q8" s="1229"/>
      <c r="R8" s="1229"/>
      <c r="S8" s="1229"/>
      <c r="T8" s="1229"/>
      <c r="U8" s="62"/>
    </row>
    <row r="9" spans="1:21" x14ac:dyDescent="0.3">
      <c r="A9" s="27" t="s">
        <v>782</v>
      </c>
      <c r="B9" s="28"/>
      <c r="C9" s="28"/>
      <c r="D9" s="29"/>
      <c r="E9" s="30" t="s">
        <v>783</v>
      </c>
      <c r="F9" s="29"/>
      <c r="G9" s="29"/>
      <c r="H9" s="29"/>
      <c r="I9" s="29"/>
      <c r="J9" s="29"/>
      <c r="K9" s="29"/>
      <c r="L9" s="60"/>
      <c r="M9" s="29"/>
      <c r="N9" s="29"/>
      <c r="O9" s="29"/>
      <c r="P9" s="29"/>
      <c r="Q9" s="29"/>
      <c r="R9" s="29"/>
      <c r="S9" s="29"/>
      <c r="T9" s="30"/>
      <c r="U9" s="59"/>
    </row>
    <row r="10" spans="1:21" x14ac:dyDescent="0.3">
      <c r="A10" s="31"/>
      <c r="B10" s="8"/>
      <c r="C10" s="8"/>
      <c r="D10" s="8"/>
      <c r="E10" s="32"/>
      <c r="F10" s="8"/>
      <c r="G10" s="8"/>
      <c r="H10" s="8"/>
      <c r="I10" s="8"/>
      <c r="J10" s="8"/>
      <c r="K10" s="8"/>
      <c r="L10" s="32"/>
      <c r="M10" s="8"/>
      <c r="N10" s="8"/>
      <c r="O10" s="8"/>
      <c r="P10" s="8"/>
      <c r="Q10" s="8"/>
      <c r="R10" s="8"/>
      <c r="S10" s="8"/>
      <c r="T10" s="32"/>
      <c r="U10" s="33"/>
    </row>
    <row r="11" spans="1:21" ht="7.5" customHeight="1" x14ac:dyDescent="0.3">
      <c r="T11" s="5" t="s">
        <v>660</v>
      </c>
    </row>
    <row r="12" spans="1:21" x14ac:dyDescent="0.3">
      <c r="A12" s="1230" t="s">
        <v>784</v>
      </c>
      <c r="B12" s="1231"/>
      <c r="C12" s="1231"/>
      <c r="D12" s="1231"/>
      <c r="E12" s="1231"/>
      <c r="F12" s="1232"/>
      <c r="G12" s="1230" t="s">
        <v>267</v>
      </c>
      <c r="H12" s="1231"/>
      <c r="I12" s="1231"/>
      <c r="J12" s="1231"/>
      <c r="K12" s="1231"/>
      <c r="L12" s="1232"/>
      <c r="M12" s="1230" t="s">
        <v>785</v>
      </c>
      <c r="N12" s="1231"/>
      <c r="O12" s="1231"/>
      <c r="P12" s="1231"/>
      <c r="Q12" s="1232"/>
      <c r="R12" s="1230" t="s">
        <v>786</v>
      </c>
      <c r="S12" s="1231"/>
      <c r="T12" s="1231"/>
      <c r="U12" s="1232"/>
    </row>
    <row r="13" spans="1:21" x14ac:dyDescent="0.3">
      <c r="A13" s="40" t="s">
        <v>787</v>
      </c>
      <c r="B13" s="41"/>
      <c r="C13" s="41"/>
      <c r="D13" s="1193">
        <f>RA_Standard!D21</f>
        <v>1</v>
      </c>
      <c r="E13" s="1194"/>
      <c r="F13" s="1195"/>
      <c r="G13" s="40" t="s">
        <v>787</v>
      </c>
      <c r="H13" s="41"/>
      <c r="I13" s="42"/>
      <c r="J13" s="1207"/>
      <c r="K13" s="1208"/>
      <c r="L13" s="1209"/>
      <c r="M13" s="40" t="s">
        <v>788</v>
      </c>
      <c r="N13" s="41"/>
      <c r="O13" s="42"/>
      <c r="P13" s="1210"/>
      <c r="Q13" s="1197"/>
      <c r="R13" s="1211" t="s">
        <v>787</v>
      </c>
      <c r="S13" s="1212"/>
      <c r="T13" s="1213"/>
      <c r="U13" s="1214"/>
    </row>
    <row r="14" spans="1:21" x14ac:dyDescent="0.3">
      <c r="A14" s="36" t="s">
        <v>789</v>
      </c>
      <c r="B14" s="37"/>
      <c r="C14" s="37"/>
      <c r="D14" s="1193" t="str">
        <f>RA_Standard!D22</f>
        <v>GF</v>
      </c>
      <c r="E14" s="1194"/>
      <c r="F14" s="1195"/>
      <c r="G14" s="40" t="s">
        <v>790</v>
      </c>
      <c r="H14" s="41"/>
      <c r="I14" s="42"/>
      <c r="J14" s="1207"/>
      <c r="K14" s="1208"/>
      <c r="L14" s="1209"/>
      <c r="M14" s="40" t="s">
        <v>791</v>
      </c>
      <c r="N14" s="41"/>
      <c r="O14" s="42"/>
      <c r="P14" s="1210"/>
      <c r="Q14" s="1197"/>
      <c r="R14" s="1211" t="s">
        <v>792</v>
      </c>
      <c r="S14" s="1212"/>
      <c r="T14" s="1213"/>
      <c r="U14" s="1214"/>
    </row>
    <row r="15" spans="1:21" x14ac:dyDescent="0.3">
      <c r="A15" s="40" t="s">
        <v>792</v>
      </c>
      <c r="B15" s="41"/>
      <c r="C15" s="42"/>
      <c r="D15" s="1193" t="str">
        <f>RA_Standard!D23</f>
        <v>9G</v>
      </c>
      <c r="E15" s="1194"/>
      <c r="F15" s="1195"/>
      <c r="G15" s="40" t="s">
        <v>793</v>
      </c>
      <c r="H15" s="41"/>
      <c r="I15" s="42"/>
      <c r="J15" s="1207"/>
      <c r="K15" s="1208"/>
      <c r="L15" s="1209"/>
      <c r="M15" s="40" t="s">
        <v>794</v>
      </c>
      <c r="N15" s="41"/>
      <c r="O15" s="42"/>
      <c r="P15" s="1210"/>
      <c r="Q15" s="1197"/>
      <c r="R15" s="1211" t="s">
        <v>795</v>
      </c>
      <c r="S15" s="1212"/>
      <c r="T15" s="1213"/>
      <c r="U15" s="1214"/>
    </row>
    <row r="16" spans="1:21" ht="16.5" customHeight="1" x14ac:dyDescent="0.3">
      <c r="A16" s="36" t="s">
        <v>80</v>
      </c>
      <c r="B16" s="40"/>
      <c r="C16" s="42"/>
      <c r="D16" s="1193">
        <f>RA_Standard!D24</f>
        <v>108.78</v>
      </c>
      <c r="E16" s="1194"/>
      <c r="F16" s="1195"/>
      <c r="G16" s="40" t="s">
        <v>795</v>
      </c>
      <c r="H16" s="41"/>
      <c r="I16" s="42"/>
      <c r="J16" s="1207"/>
      <c r="K16" s="1208"/>
      <c r="L16" s="1209"/>
      <c r="M16" s="36" t="s">
        <v>80</v>
      </c>
      <c r="N16" s="37"/>
      <c r="O16" s="37"/>
      <c r="P16" s="1196"/>
      <c r="Q16" s="1197"/>
      <c r="R16" s="1215" t="s">
        <v>796</v>
      </c>
      <c r="S16" s="1216"/>
      <c r="T16" s="1221"/>
      <c r="U16" s="1222"/>
    </row>
    <row r="17" spans="1:21" ht="16.5" customHeight="1" x14ac:dyDescent="0.3">
      <c r="A17" s="40" t="s">
        <v>797</v>
      </c>
      <c r="B17" s="37"/>
      <c r="C17" s="37"/>
      <c r="D17" s="1193" t="str">
        <f>RA_Standard!D25</f>
        <v>2-BR BARE</v>
      </c>
      <c r="E17" s="1194"/>
      <c r="F17" s="1195"/>
      <c r="G17" s="40" t="s">
        <v>798</v>
      </c>
      <c r="H17" s="41"/>
      <c r="I17" s="42"/>
      <c r="J17" s="698"/>
      <c r="K17" s="699"/>
      <c r="L17" s="700"/>
      <c r="M17" s="36" t="s">
        <v>799</v>
      </c>
      <c r="N17" s="37"/>
      <c r="O17" s="37"/>
      <c r="P17" s="1196"/>
      <c r="Q17" s="1197"/>
      <c r="R17" s="1217"/>
      <c r="S17" s="1218"/>
      <c r="T17" s="1223"/>
      <c r="U17" s="1224"/>
    </row>
    <row r="18" spans="1:21" x14ac:dyDescent="0.3">
      <c r="B18"/>
      <c r="C18"/>
      <c r="D18"/>
      <c r="E18"/>
      <c r="F18"/>
      <c r="G18"/>
      <c r="H18"/>
      <c r="I18"/>
      <c r="J18"/>
      <c r="K18"/>
      <c r="L18"/>
      <c r="M18" s="40" t="s">
        <v>800</v>
      </c>
      <c r="N18" s="41"/>
      <c r="O18" s="42"/>
      <c r="P18" s="1198"/>
      <c r="Q18" s="1195"/>
      <c r="R18" s="1219"/>
      <c r="S18" s="1220"/>
      <c r="T18" s="1225"/>
      <c r="U18" s="1226"/>
    </row>
    <row r="19" spans="1:21" ht="7.5" customHeight="1" x14ac:dyDescent="0.3"/>
    <row r="20" spans="1:21" x14ac:dyDescent="0.3">
      <c r="A20" s="40" t="s">
        <v>37</v>
      </c>
      <c r="B20" s="41"/>
      <c r="C20" s="41"/>
      <c r="D20" s="41"/>
      <c r="E20" s="41"/>
      <c r="F20" s="41"/>
      <c r="G20" s="41"/>
      <c r="H20" s="42"/>
      <c r="I20" s="1199">
        <f>RA_Special!I26</f>
        <v>20466686.730335645</v>
      </c>
      <c r="J20" s="1200"/>
      <c r="K20" s="1200"/>
      <c r="L20" s="1200"/>
      <c r="M20" s="1200"/>
      <c r="N20" s="1200"/>
      <c r="O20" s="1200"/>
      <c r="P20" s="1200"/>
      <c r="Q20" s="1200"/>
      <c r="R20" s="1200"/>
      <c r="S20" s="1200"/>
      <c r="T20" s="1200"/>
      <c r="U20" s="1201"/>
    </row>
    <row r="21" spans="1:21" x14ac:dyDescent="0.3">
      <c r="A21" s="40" t="s">
        <v>801</v>
      </c>
      <c r="B21" s="41"/>
      <c r="C21" s="43"/>
      <c r="D21" s="43"/>
      <c r="E21" s="43"/>
      <c r="F21" s="43"/>
      <c r="G21" s="43"/>
      <c r="H21" s="44"/>
      <c r="I21" s="1199">
        <f>RA_Special!I27</f>
        <v>1330334.637471817</v>
      </c>
      <c r="J21" s="1200"/>
      <c r="K21" s="1200"/>
      <c r="L21" s="1200"/>
      <c r="M21" s="1200"/>
      <c r="N21" s="1200"/>
      <c r="O21" s="1200"/>
      <c r="P21" s="1200"/>
      <c r="Q21" s="1200"/>
      <c r="R21" s="1200"/>
      <c r="S21" s="1200"/>
      <c r="T21" s="1200"/>
      <c r="U21" s="1201"/>
    </row>
    <row r="22" spans="1:21" x14ac:dyDescent="0.3">
      <c r="A22" s="52" t="s">
        <v>92</v>
      </c>
      <c r="B22" s="53"/>
      <c r="C22" s="54"/>
      <c r="D22" s="54"/>
      <c r="E22" s="54"/>
      <c r="F22" s="54"/>
      <c r="G22" s="54"/>
      <c r="H22" s="51"/>
      <c r="I22" s="1199">
        <f>RA_Special!I28</f>
        <v>19136352.092863828</v>
      </c>
      <c r="J22" s="1200"/>
      <c r="K22" s="1200"/>
      <c r="L22" s="1200"/>
      <c r="M22" s="1200"/>
      <c r="N22" s="1200"/>
      <c r="O22" s="1200"/>
      <c r="P22" s="1200"/>
      <c r="Q22" s="1200"/>
      <c r="R22" s="1200"/>
      <c r="S22" s="1200"/>
      <c r="T22" s="1200"/>
      <c r="U22" s="1201"/>
    </row>
    <row r="23" spans="1:21" x14ac:dyDescent="0.3">
      <c r="A23" s="40" t="s">
        <v>802</v>
      </c>
      <c r="B23" s="41"/>
      <c r="C23" s="43"/>
      <c r="D23" s="43"/>
      <c r="E23" s="43"/>
      <c r="F23" s="43"/>
      <c r="G23" s="43"/>
      <c r="H23" s="44"/>
      <c r="I23" s="1199">
        <f>RA_Special!I29</f>
        <v>1535001.5047751733</v>
      </c>
      <c r="J23" s="1200"/>
      <c r="K23" s="1200"/>
      <c r="L23" s="1200"/>
      <c r="M23" s="1200"/>
      <c r="N23" s="1200"/>
      <c r="O23" s="1200"/>
      <c r="P23" s="1200"/>
      <c r="Q23" s="1200"/>
      <c r="R23" s="1200"/>
      <c r="S23" s="1200"/>
      <c r="T23" s="1200"/>
      <c r="U23" s="1201"/>
    </row>
    <row r="24" spans="1:21" x14ac:dyDescent="0.3">
      <c r="A24" s="40" t="s">
        <v>803</v>
      </c>
      <c r="B24" s="41"/>
      <c r="C24" s="43"/>
      <c r="D24" s="43"/>
      <c r="E24" s="43"/>
      <c r="F24" s="43"/>
      <c r="G24" s="43"/>
      <c r="H24" s="44"/>
      <c r="I24" s="1199">
        <f>RA_Special!I30</f>
        <v>0</v>
      </c>
      <c r="J24" s="1200"/>
      <c r="K24" s="1200"/>
      <c r="L24" s="1200"/>
      <c r="M24" s="1200"/>
      <c r="N24" s="1200"/>
      <c r="O24" s="1200"/>
      <c r="P24" s="1200"/>
      <c r="Q24" s="1200"/>
      <c r="R24" s="1200"/>
      <c r="S24" s="1200"/>
      <c r="T24" s="1200"/>
      <c r="U24" s="1201"/>
    </row>
    <row r="25" spans="1:21" x14ac:dyDescent="0.3">
      <c r="A25" s="40" t="s">
        <v>41</v>
      </c>
      <c r="B25" s="41"/>
      <c r="C25" s="43"/>
      <c r="D25" s="43"/>
      <c r="E25" s="43"/>
      <c r="F25" s="43"/>
      <c r="G25" s="43"/>
      <c r="H25" s="44"/>
      <c r="I25" s="1199">
        <f>RA_Special!I31</f>
        <v>2296362.2511436595</v>
      </c>
      <c r="J25" s="1200"/>
      <c r="K25" s="1200"/>
      <c r="L25" s="1200"/>
      <c r="M25" s="1200"/>
      <c r="N25" s="1200"/>
      <c r="O25" s="1200"/>
      <c r="P25" s="1200"/>
      <c r="Q25" s="1200"/>
      <c r="R25" s="1200"/>
      <c r="S25" s="1200"/>
      <c r="T25" s="1200"/>
      <c r="U25" s="1201"/>
    </row>
    <row r="26" spans="1:21" ht="7.5" customHeight="1" x14ac:dyDescent="0.3"/>
    <row r="27" spans="1:21" x14ac:dyDescent="0.3">
      <c r="A27" s="18" t="s">
        <v>804</v>
      </c>
      <c r="B27" s="18"/>
      <c r="C27" s="18"/>
      <c r="D27" s="18"/>
      <c r="E27" s="18"/>
      <c r="F27" s="18"/>
      <c r="G27" s="1205" t="str">
        <f>IF(OR(LEN(FLOOR(P27,1))=13,FLOOR(P27,1)&lt;=0),"Out of range",PROPER(SUBSTITUTE(CONCATENATE(CHOOSE(MID(TEXT(INT(P27),REPT(0,12)),1,1)+1,"","one hundred ","two hundred ","three hundred ","four hundred ","five hundred ","six hundred ","seven hundred ","eight hundred ","nine hundred "),CHOOSE(MID(TEXT(INT(P27),REPT(0,12)),2,1)+1,"",CHOOSE(MID(TEXT(INT(P27),REPT(0,12)),3,1)+1,"ten","eleven","twelve","thirteen","fourteen","fifteen","sixteen","seventeen","eighteen","nineteen"),"twenty","thirty","forty","fifty","sixty","seventy","eighty","ninety"),IF(VALUE(MID(TEXT(INT(P27),REPT(0,12)),2,1))&gt;1,CHOOSE(MID(TEXT(INT(P27),REPT(0,12)),3,1)+1,"","-one","-two","-three","-four","-five","-six","-seven","-eight","-nine"),IF(VALUE(MID(TEXT(INT(P27),REPT(0,12)),2,1))=0,CHOOSE(MID(TEXT(INT(P27),REPT(0,12)),3,1)+1,"","one","two","three","four","five","six","seven","eight","nine"),"")),IF(P27&gt;=10^9," billion ",""),CHOOSE(MID(TEXT(INT(P27),REPT(0,12)),4,1)+1,"","one hundred ","two hundred ","three hundred ","four hundred ","five hundred ","six hundred ","seven hundred ","eight hundred ","nine hundred "),CHOOSE(MID(TEXT(INT(P27),REPT(0,12)),5,1)+1,"",CHOOSE(MID(TEXT(INT(P27),REPT(0,12)),6,1)+1,"ten","eleven","twelve","thirteen","fourteen","fifteen","sixteen","seventeen","eighteen","nineteen"),"twenty","thirty","forty","fifty","sixty","seventy","eighty","ninety"),IF(VALUE(MID(TEXT(INT(P27),REPT(0,12)),5,1))&gt;1,CHOOSE(MID(TEXT(INT(P27),REPT(0,12)),6,1)+1,"","-one","-two","-three","-four","-five","-six","-seven","-eight","-nine"),IF(VALUE(MID(TEXT(INT(P27),REPT(0,12)),5,1))=0,CHOOSE(MID(TEXT(INT(P27),REPT(0,12)),6,1)+1,"","one","two","three","four","five","six","seven","eight","nine"),"")),IF(VALUE(MID(TEXT(INT(P27),REPT(0,12)),4,3))&gt;0," million ",""),CHOOSE(MID(TEXT(INT(P27),REPT(0,12)),7,1)+1,"","one hundred ","two hundred ","three hundred ","four hundred ","five hundred ","six hundred ","seven hundred ","eight hundred ","nine hundred "),CHOOSE(MID(TEXT(INT(P27),REPT(0,12)),8,1)+1,"",CHOOSE(MID(TEXT(INT(P27),REPT(0,12)),9,1)+1,"ten","eleven","twelve","thirteen","fourteen","fifteen","sixteen","seventeen","eighteen","nineteen"),"twenty","thirty","forty","fifty","sixty","seventy","eighty","ninety"),IF(VALUE(MID(TEXT(INT(P27),REPT(0,12)),8,1))&gt;1,CHOOSE(MID(TEXT(INT(P27),REPT(0,12)),9,1)+1,"","-one","-two","-three","-four","-five","-six","-seven","-eight","-nine"),IF(VALUE(MID(TEXT(INT(P27),REPT(0,12)),8,1))=0,CHOOSE(MID(TEXT(INT(P27),REPT(0,12)),9,1)+1,"","one","two","three","four","five","six","seven","eight","nine"),"")),IF(VALUE(MID(TEXT(INT(P27),REPT(0,12)),7,3))," thousand ",""),CHOOSE(MID(TEXT(INT(P27),REPT(0,12)),10,1)+1,"","one hundred ","two hundred ","three hundred ","four hundred ","five hundred ","six hundred ","seven hundred ","eight hundred ","nine hundred "),CHOOSE(MID(TEXT(INT(P27),REPT(0,12)),11,1)+1,"",CHOOSE(MID(TEXT(INT(P27),REPT(0,12)),12,1)+1,"ten","eleven","twelve","thirteen","fourteen","fifteen","sixteen","seventeen","eighteen","nineteen"),"twenty","thirty","forty","fifty","sixty","seventy","eighty","ninety"),IF(VALUE(MID(TEXT(INT(P27),REPT(0,12)),11,1))&gt;1,CHOOSE(MID(TEXT(INT(P27),REPT(0,12)),12,1)+1,"","-one","-two","-three","-four","-five","-six","-seven","-eight","-nine"),IF(VALUE(MID(TEXT(INT(P27),REPT(0,12)),11,1))=0,CHOOSE(MID(TEXT(INT(P27),REPT(0,12)),12,1)+1,"","one","two","three","four","five","six","seven","eight","nine"),""))),"  "," ")&amp;IF(FLOOR(P27,1)&gt;1," PESOS"," dollar"))&amp;IF(ISERROR(FIND(".",P27,1)),""," and "&amp;PROPER(IF(LEN(LEFT(TRIM(MID(SUBSTITUTE([22]Sheet1!A2,".",REPT(" ",255)),255,200)),2))=1,CHOOSE(1*LEFT(TRIM(MID(SUBSTITUTE([22]Sheet1!A2,".",REPT(" ",255)),255,200)),2),"ten","twenty","thirty","forty","fifty","sixty","seventy","eighty","ninety")&amp;" cents","")&amp;CONCATENATE(CHOOSE(MID(TEXT(INT(LEFT(TRIM(MID(SUBSTITUTE([22]Sheet1!A2,".",REPT(" ",255)),255,200)),2)),REPT(0,12)),11,1)+1,"",CHOOSE(MID(TEXT(INT(LEFT(TRIM(MID(SUBSTITUTE([22]Sheet1!A2,".",REPT(" ",255)),255,200)),2)),REPT(0,12)),12,1)+1,"ten","eleven","twelve","thirteen","fourteen","fifteen","sixteen","seventeen","eighteen","nineteen")&amp;" cents","twenty","thirty","forty","fifty","sixty","seventy","eighty","ninety"),IF(VALUE(MID(TEXT(INT(LEFT(TRIM(MID(SUBSTITUTE([22]Sheet1!A2,".",REPT(" ",255)),255,200)),2)),REPT(0,12)),11,1))&gt;1,CHOOSE(MID(TEXT(INT(LEFT(TRIM(MID(SUBSTITUTE([22]Sheet1!A2,".",REPT(" ",255)),255,200)),2)),REPT(0,12)),12,1)+1,"","-one","-two","-three","-four","-five","-six","-seven","-eight","-nine")&amp;" cents",IF(LEFT(TRIM(MID(SUBSTITUTE([22]Sheet1!A2,".",REPT(" ",255)),255,200)),2)="01","one cent",IF(LEFT(TRIM(MID(SUBSTITUTE([22]Sheet1!A2,".",REPT(" ",255)),255,200)),1)="0",CHOOSE(MID(TEXT(INT(LEFT(TRIM(MID(SUBSTITUTE([22]Sheet1!A2,".",REPT(" ",255)),255,200)),2)),REPT(0,12)),12,1)+1,"","one","two","three","four","five","six","seven","eight","nine")&amp;" cents","")))))))</f>
        <v>Fifty Thousand  Pesos</v>
      </c>
      <c r="H27" s="1205"/>
      <c r="I27" s="1205"/>
      <c r="J27" s="1205"/>
      <c r="K27" s="1205"/>
      <c r="L27" s="1205"/>
      <c r="M27" s="1205"/>
      <c r="N27" s="18"/>
      <c r="O27" s="701" t="s">
        <v>805</v>
      </c>
      <c r="P27" s="1205">
        <f>FORM!G24</f>
        <v>50000</v>
      </c>
      <c r="Q27" s="1205"/>
      <c r="R27" s="1205"/>
      <c r="S27" s="18" t="s">
        <v>806</v>
      </c>
      <c r="T27" s="18"/>
      <c r="U27" s="18"/>
    </row>
    <row r="28" spans="1:21" ht="7.5" customHeight="1" x14ac:dyDescent="0.3">
      <c r="A28" s="77"/>
      <c r="B28" s="78"/>
      <c r="C28" s="78"/>
      <c r="D28" s="78"/>
      <c r="E28" s="78"/>
      <c r="F28" s="78"/>
      <c r="G28" s="78"/>
      <c r="H28" s="78"/>
      <c r="I28" s="78"/>
      <c r="J28" s="78"/>
      <c r="K28" s="78"/>
      <c r="L28" s="78"/>
      <c r="M28" s="78"/>
      <c r="N28" s="78"/>
      <c r="O28" s="84"/>
      <c r="P28" s="84"/>
      <c r="Q28" s="84"/>
      <c r="R28" s="84"/>
      <c r="S28" s="61"/>
      <c r="T28" s="85"/>
      <c r="U28" s="61"/>
    </row>
    <row r="29" spans="1:21" ht="13.5" customHeight="1" x14ac:dyDescent="0.3">
      <c r="A29" s="18" t="s">
        <v>807</v>
      </c>
      <c r="B29" s="78"/>
      <c r="C29" s="78"/>
      <c r="D29" s="78"/>
      <c r="E29" s="78"/>
      <c r="F29" s="78"/>
      <c r="G29" s="78"/>
      <c r="H29" s="78"/>
      <c r="I29" s="78"/>
      <c r="J29" s="78"/>
      <c r="K29" s="78"/>
      <c r="L29" s="78"/>
      <c r="M29" s="78"/>
      <c r="N29" s="78"/>
      <c r="O29" s="84"/>
      <c r="P29" s="84"/>
      <c r="Q29" s="84"/>
      <c r="R29" s="84"/>
      <c r="S29" s="61"/>
      <c r="T29" s="85"/>
      <c r="U29" s="61"/>
    </row>
    <row r="30" spans="1:21" ht="13.5" customHeight="1" x14ac:dyDescent="0.3">
      <c r="A30" s="702" t="s">
        <v>808</v>
      </c>
      <c r="B30" s="78"/>
      <c r="C30" s="78"/>
      <c r="D30" s="78"/>
      <c r="E30" s="78"/>
      <c r="F30" s="78"/>
      <c r="G30" s="78"/>
      <c r="H30" s="78"/>
      <c r="I30" s="78"/>
      <c r="J30" s="78"/>
      <c r="K30" s="78"/>
      <c r="L30" s="78"/>
      <c r="M30" s="78"/>
      <c r="N30" s="78"/>
      <c r="O30" s="84"/>
      <c r="P30" s="84"/>
      <c r="Q30" s="84"/>
      <c r="R30" s="84"/>
      <c r="S30" s="61"/>
      <c r="T30" s="85"/>
      <c r="U30" s="61"/>
    </row>
    <row r="31" spans="1:21" ht="13.5" customHeight="1" x14ac:dyDescent="0.3">
      <c r="A31" s="702" t="s">
        <v>809</v>
      </c>
      <c r="B31" s="78"/>
      <c r="C31" s="78"/>
      <c r="D31" s="78"/>
      <c r="E31" s="78"/>
      <c r="F31" s="78"/>
      <c r="G31" s="78"/>
      <c r="H31" s="78"/>
      <c r="I31" s="78"/>
      <c r="J31" s="78"/>
      <c r="K31" s="78"/>
      <c r="L31" s="78"/>
      <c r="M31" s="78"/>
      <c r="N31" s="78"/>
      <c r="O31" s="84"/>
      <c r="P31" s="84"/>
      <c r="Q31" s="84"/>
      <c r="R31" s="84"/>
      <c r="S31" s="61"/>
      <c r="T31" s="85"/>
      <c r="U31" s="61"/>
    </row>
    <row r="32" spans="1:21" ht="7.5" customHeight="1" x14ac:dyDescent="0.3">
      <c r="A32" s="77"/>
      <c r="B32" s="78"/>
      <c r="C32" s="78"/>
      <c r="D32" s="78"/>
      <c r="E32" s="78"/>
      <c r="F32" s="78"/>
      <c r="G32" s="78"/>
      <c r="H32" s="78"/>
      <c r="I32" s="78"/>
      <c r="J32" s="78"/>
      <c r="K32" s="78"/>
      <c r="L32" s="78"/>
      <c r="M32" s="78"/>
      <c r="N32" s="78"/>
      <c r="O32" s="84"/>
      <c r="P32" s="84"/>
      <c r="Q32" s="84"/>
      <c r="R32" s="84"/>
      <c r="S32" s="61"/>
      <c r="T32" s="85"/>
      <c r="U32" s="61"/>
    </row>
    <row r="33" spans="1:21" ht="13.5" customHeight="1" x14ac:dyDescent="0.3">
      <c r="A33" s="701" t="s">
        <v>810</v>
      </c>
      <c r="B33" s="78"/>
      <c r="C33" s="78"/>
      <c r="D33" s="78"/>
      <c r="E33" s="78"/>
      <c r="F33" s="78"/>
      <c r="G33" s="78"/>
      <c r="H33" s="78"/>
      <c r="I33" s="78"/>
      <c r="J33" s="78"/>
      <c r="K33" s="78"/>
      <c r="L33" s="78"/>
      <c r="M33" s="78"/>
      <c r="N33" s="78"/>
      <c r="O33" s="84"/>
      <c r="P33" s="84"/>
      <c r="Q33" s="84"/>
      <c r="R33" s="84"/>
      <c r="S33" s="61"/>
      <c r="T33" s="85"/>
      <c r="U33" s="61"/>
    </row>
    <row r="34" spans="1:21" ht="13.5" customHeight="1" x14ac:dyDescent="0.3">
      <c r="A34" s="701" t="s">
        <v>811</v>
      </c>
      <c r="B34" s="78"/>
      <c r="C34" s="78"/>
      <c r="D34" s="78"/>
      <c r="E34" s="78"/>
      <c r="F34" s="78"/>
      <c r="G34" s="78"/>
      <c r="H34" s="78"/>
      <c r="I34" s="78"/>
      <c r="J34" s="78"/>
      <c r="K34" s="78"/>
      <c r="L34" s="78"/>
      <c r="M34" s="78"/>
      <c r="N34" s="78"/>
      <c r="O34" s="84"/>
      <c r="P34" s="84"/>
      <c r="Q34" s="84"/>
      <c r="R34" s="84"/>
      <c r="S34" s="61"/>
      <c r="T34" s="85"/>
      <c r="U34" s="61"/>
    </row>
    <row r="35" spans="1:21" ht="7.5" customHeight="1" x14ac:dyDescent="0.3">
      <c r="A35" s="77"/>
      <c r="B35" s="78"/>
      <c r="C35" s="78"/>
      <c r="D35" s="78"/>
      <c r="E35" s="78"/>
      <c r="F35" s="78"/>
      <c r="G35" s="78"/>
      <c r="H35" s="78"/>
      <c r="I35" s="78"/>
      <c r="J35" s="78"/>
      <c r="K35" s="78"/>
      <c r="L35" s="78"/>
      <c r="M35" s="78"/>
      <c r="N35" s="78"/>
      <c r="O35" s="84"/>
      <c r="P35" s="84"/>
      <c r="Q35" s="84"/>
      <c r="R35" s="84"/>
      <c r="S35" s="61"/>
      <c r="T35" s="85"/>
      <c r="U35" s="61"/>
    </row>
    <row r="36" spans="1:21" ht="13.5" customHeight="1" x14ac:dyDescent="0.3">
      <c r="A36" s="702" t="s">
        <v>812</v>
      </c>
      <c r="B36" s="78"/>
      <c r="C36" s="78"/>
      <c r="D36" s="78"/>
      <c r="E36" s="78"/>
      <c r="F36" s="78"/>
      <c r="G36" s="78"/>
      <c r="H36" s="78"/>
      <c r="I36" s="78"/>
      <c r="J36" s="78"/>
      <c r="K36" s="78"/>
      <c r="L36" s="78"/>
      <c r="M36" s="78"/>
      <c r="N36" s="78"/>
      <c r="O36" s="84"/>
      <c r="P36" s="84"/>
      <c r="Q36" s="84"/>
      <c r="R36" s="84"/>
      <c r="S36" s="61"/>
      <c r="T36" s="85"/>
      <c r="U36" s="61"/>
    </row>
    <row r="37" spans="1:21" ht="7.5" customHeight="1" x14ac:dyDescent="0.3">
      <c r="A37" s="77"/>
      <c r="B37" s="78"/>
      <c r="C37" s="78"/>
      <c r="D37" s="78"/>
      <c r="E37" s="78"/>
      <c r="F37" s="78"/>
      <c r="G37" s="78"/>
      <c r="H37" s="78"/>
      <c r="I37" s="78"/>
      <c r="J37" s="78"/>
      <c r="K37" s="78"/>
      <c r="L37" s="78"/>
      <c r="M37" s="78"/>
      <c r="N37" s="78"/>
      <c r="O37" s="84"/>
      <c r="P37" s="84"/>
      <c r="Q37" s="84"/>
      <c r="R37" s="84"/>
      <c r="S37" s="61"/>
      <c r="T37" s="85"/>
      <c r="U37" s="61"/>
    </row>
    <row r="38" spans="1:21" ht="13.5" customHeight="1" x14ac:dyDescent="0.3">
      <c r="A38" s="701" t="s">
        <v>813</v>
      </c>
      <c r="B38" s="78"/>
      <c r="C38" s="78"/>
      <c r="D38" s="78"/>
      <c r="E38" s="78"/>
      <c r="F38" s="78"/>
      <c r="G38" s="78"/>
      <c r="H38" s="78"/>
      <c r="I38" s="78"/>
      <c r="J38" s="78"/>
      <c r="K38" s="78"/>
      <c r="L38" s="78"/>
      <c r="M38" s="78"/>
      <c r="N38" s="78"/>
      <c r="O38" s="84"/>
      <c r="P38" s="84"/>
      <c r="Q38" s="84"/>
      <c r="R38" s="84"/>
      <c r="S38" s="61"/>
      <c r="T38" s="85"/>
      <c r="U38" s="61"/>
    </row>
    <row r="39" spans="1:21" ht="13.5" customHeight="1" x14ac:dyDescent="0.3">
      <c r="A39" s="703" t="s">
        <v>814</v>
      </c>
      <c r="B39" s="78"/>
      <c r="C39" s="78"/>
      <c r="D39" s="78"/>
      <c r="E39" s="78"/>
      <c r="F39" s="78"/>
      <c r="G39" s="78"/>
      <c r="H39" s="78"/>
      <c r="I39" s="78"/>
      <c r="J39" s="78"/>
      <c r="K39" s="78"/>
      <c r="L39" s="78"/>
      <c r="M39" s="78"/>
      <c r="N39" s="78"/>
      <c r="O39" s="84"/>
      <c r="P39" s="84"/>
      <c r="Q39" s="84"/>
      <c r="R39" s="84"/>
      <c r="S39" s="61"/>
      <c r="T39" s="85"/>
      <c r="U39" s="61"/>
    </row>
    <row r="40" spans="1:21" ht="13.5" customHeight="1" x14ac:dyDescent="0.3">
      <c r="A40" s="703" t="s">
        <v>815</v>
      </c>
      <c r="B40" s="78"/>
      <c r="C40" s="78"/>
      <c r="D40" s="78"/>
      <c r="E40" s="78"/>
      <c r="F40" s="78"/>
      <c r="G40" s="78"/>
      <c r="H40" s="78"/>
      <c r="I40" s="78"/>
      <c r="J40" s="78"/>
      <c r="K40" s="78"/>
      <c r="L40" s="78"/>
      <c r="M40" s="78"/>
      <c r="N40" s="78"/>
      <c r="O40" s="84"/>
      <c r="P40" s="84"/>
      <c r="Q40" s="84"/>
      <c r="R40" s="84"/>
      <c r="S40" s="61"/>
      <c r="T40" s="85"/>
      <c r="U40" s="61"/>
    </row>
    <row r="41" spans="1:21" ht="13.5" customHeight="1" x14ac:dyDescent="0.3">
      <c r="A41" s="77"/>
      <c r="B41" s="78"/>
      <c r="C41" s="78"/>
      <c r="D41" s="78"/>
      <c r="E41" s="78"/>
      <c r="F41" s="78"/>
      <c r="G41" s="78"/>
      <c r="H41" s="78"/>
      <c r="I41" s="78"/>
      <c r="J41" s="78"/>
      <c r="K41" s="78"/>
      <c r="L41" s="78"/>
      <c r="M41" s="78"/>
      <c r="N41" s="78"/>
      <c r="O41" s="84"/>
      <c r="P41" s="84"/>
      <c r="Q41" s="84"/>
      <c r="R41" s="84"/>
      <c r="S41" s="61"/>
      <c r="T41" s="85"/>
      <c r="U41" s="61"/>
    </row>
    <row r="42" spans="1:21" ht="13.5" customHeight="1" x14ac:dyDescent="0.3">
      <c r="A42" s="702" t="s">
        <v>816</v>
      </c>
      <c r="B42" s="78"/>
      <c r="C42" s="78"/>
      <c r="D42" s="78"/>
      <c r="E42" s="78"/>
      <c r="F42" s="78"/>
      <c r="G42" s="78"/>
      <c r="H42" s="78"/>
      <c r="I42" s="78"/>
      <c r="J42" s="78"/>
      <c r="K42" s="78"/>
      <c r="L42" s="78"/>
      <c r="M42" s="78"/>
      <c r="N42" s="78"/>
      <c r="O42" s="84"/>
      <c r="P42" s="84"/>
      <c r="Q42" s="84"/>
      <c r="R42" s="84"/>
      <c r="S42" s="61"/>
      <c r="T42" s="85"/>
      <c r="U42" s="61"/>
    </row>
    <row r="43" spans="1:21" ht="13.5" customHeight="1" x14ac:dyDescent="0.3">
      <c r="A43" s="77"/>
      <c r="B43" s="78"/>
      <c r="C43" s="78"/>
      <c r="D43" s="78"/>
      <c r="E43" s="78"/>
      <c r="F43" s="78"/>
      <c r="G43" s="78"/>
      <c r="H43" s="78"/>
      <c r="I43" s="78"/>
      <c r="J43" s="78"/>
      <c r="K43" s="78"/>
      <c r="L43" s="78"/>
      <c r="M43" s="78"/>
      <c r="N43" s="78"/>
      <c r="O43" s="84"/>
      <c r="P43" s="84"/>
      <c r="Q43" s="84"/>
      <c r="R43" s="84"/>
      <c r="S43" s="61"/>
      <c r="T43" s="85"/>
      <c r="U43" s="61"/>
    </row>
    <row r="44" spans="1:21" ht="13.5" customHeight="1" x14ac:dyDescent="0.3">
      <c r="A44" s="704"/>
      <c r="B44" s="705"/>
      <c r="C44" s="705"/>
      <c r="D44" s="1191" t="s">
        <v>817</v>
      </c>
      <c r="E44" s="1191"/>
      <c r="F44" s="1191"/>
      <c r="G44" s="1191"/>
      <c r="H44" s="1191"/>
      <c r="I44" s="1191"/>
      <c r="J44" s="705"/>
      <c r="K44" s="705"/>
      <c r="L44" s="705"/>
      <c r="M44" s="705"/>
      <c r="N44" s="705"/>
      <c r="O44" s="706"/>
      <c r="P44" s="706"/>
      <c r="Q44" s="1192" t="s">
        <v>774</v>
      </c>
      <c r="R44" s="1192"/>
      <c r="S44" s="1192"/>
      <c r="T44" s="707"/>
      <c r="U44" s="61"/>
    </row>
    <row r="45" spans="1:21" ht="13.5" customHeight="1" x14ac:dyDescent="0.3">
      <c r="A45" s="704"/>
      <c r="B45" s="705"/>
      <c r="C45" s="705"/>
      <c r="D45" s="705"/>
      <c r="E45" s="705"/>
      <c r="F45" s="705"/>
      <c r="G45" s="705"/>
      <c r="H45" s="705"/>
      <c r="I45" s="705"/>
      <c r="J45" s="705"/>
      <c r="K45" s="705"/>
      <c r="L45" s="705"/>
      <c r="M45" s="705"/>
      <c r="N45" s="705"/>
      <c r="O45" s="706"/>
      <c r="P45" s="706"/>
      <c r="Q45" s="706"/>
      <c r="R45" s="706"/>
      <c r="S45" s="708"/>
      <c r="T45" s="707"/>
      <c r="U45" s="61"/>
    </row>
    <row r="46" spans="1:21" ht="13.5" customHeight="1" x14ac:dyDescent="0.3">
      <c r="A46" s="704"/>
      <c r="B46" s="705"/>
      <c r="C46" s="705"/>
      <c r="D46" s="705"/>
      <c r="E46" s="705"/>
      <c r="F46" s="705"/>
      <c r="G46" s="705"/>
      <c r="H46" s="705"/>
      <c r="I46" s="705"/>
      <c r="J46" s="705"/>
      <c r="K46" s="705"/>
      <c r="L46" s="705"/>
      <c r="M46" s="705"/>
      <c r="N46" s="705"/>
      <c r="O46" s="706"/>
      <c r="P46" s="706"/>
      <c r="Q46" s="706"/>
      <c r="R46" s="706"/>
      <c r="S46" s="708"/>
      <c r="T46" s="707"/>
      <c r="U46" s="61"/>
    </row>
    <row r="47" spans="1:21" ht="13.5" customHeight="1" x14ac:dyDescent="0.3">
      <c r="A47" s="704"/>
      <c r="B47" s="705"/>
      <c r="C47" s="705"/>
      <c r="D47" s="705"/>
      <c r="E47" s="705"/>
      <c r="F47" s="705"/>
      <c r="G47" s="705"/>
      <c r="H47" s="705"/>
      <c r="I47" s="705"/>
      <c r="J47" s="705"/>
      <c r="K47" s="705"/>
      <c r="L47" s="705"/>
      <c r="M47" s="705"/>
      <c r="N47" s="705"/>
      <c r="O47" s="706"/>
      <c r="P47" s="706"/>
      <c r="Q47" s="706"/>
      <c r="R47" s="706"/>
      <c r="S47" s="708"/>
      <c r="T47" s="707"/>
      <c r="U47" s="61"/>
    </row>
    <row r="48" spans="1:21" x14ac:dyDescent="0.3">
      <c r="A48" s="50"/>
      <c r="B48" s="50"/>
      <c r="C48" s="50"/>
      <c r="D48" s="1188">
        <f>FORM!G30</f>
        <v>0</v>
      </c>
      <c r="E48" s="1188"/>
      <c r="F48" s="1188"/>
      <c r="G48" s="1188"/>
      <c r="H48" s="1188"/>
      <c r="I48" s="1188"/>
      <c r="J48" s="50"/>
      <c r="K48" s="50"/>
      <c r="L48" s="50"/>
      <c r="M48" s="50"/>
      <c r="N48" s="50"/>
      <c r="O48" s="50"/>
      <c r="P48" s="50"/>
      <c r="Q48" s="1188" t="str">
        <f>FORM!G32</f>
        <v>Seller</v>
      </c>
      <c r="R48" s="1188"/>
      <c r="S48" s="1188"/>
      <c r="T48" s="50"/>
      <c r="U48" s="50"/>
    </row>
    <row r="49" spans="1:21" x14ac:dyDescent="0.3">
      <c r="A49" s="50"/>
      <c r="B49" s="50"/>
      <c r="C49" s="50"/>
      <c r="D49" s="1189" t="s">
        <v>818</v>
      </c>
      <c r="E49" s="1189"/>
      <c r="F49" s="1189"/>
      <c r="G49" s="1189"/>
      <c r="H49" s="1189"/>
      <c r="I49" s="1189"/>
      <c r="J49" s="50"/>
      <c r="K49" s="50"/>
      <c r="L49" s="50"/>
      <c r="M49" s="50"/>
      <c r="N49" s="50"/>
      <c r="O49" s="50"/>
      <c r="P49" s="50"/>
      <c r="Q49" s="1189" t="s">
        <v>818</v>
      </c>
      <c r="R49" s="1189"/>
      <c r="S49" s="1189"/>
      <c r="T49" s="50"/>
      <c r="U49" s="50"/>
    </row>
    <row r="50" spans="1:21" x14ac:dyDescent="0.3">
      <c r="A50" s="50"/>
      <c r="B50" s="50"/>
      <c r="C50" s="50"/>
      <c r="D50" s="1190" t="s">
        <v>819</v>
      </c>
      <c r="E50" s="1190"/>
      <c r="F50" s="1190"/>
      <c r="G50" s="1190"/>
      <c r="H50" s="1190"/>
      <c r="I50" s="1190"/>
      <c r="J50" s="50"/>
      <c r="K50" s="50"/>
      <c r="L50" s="50"/>
      <c r="M50" s="50"/>
      <c r="N50" s="50"/>
      <c r="O50" s="50"/>
      <c r="P50" s="50"/>
      <c r="Q50" s="1190" t="s">
        <v>820</v>
      </c>
      <c r="R50" s="1190"/>
      <c r="S50" s="1190"/>
      <c r="T50" s="50"/>
      <c r="U50" s="50"/>
    </row>
    <row r="51" spans="1:21" x14ac:dyDescent="0.3">
      <c r="A51" s="50"/>
      <c r="B51" s="50"/>
      <c r="C51" s="50"/>
      <c r="D51" s="50"/>
      <c r="E51" s="50"/>
      <c r="F51" s="50"/>
      <c r="G51" s="50"/>
      <c r="H51" s="50"/>
      <c r="I51" s="50"/>
      <c r="J51" s="50"/>
      <c r="K51" s="50"/>
      <c r="L51" s="50"/>
      <c r="M51" s="50"/>
      <c r="N51" s="50"/>
      <c r="O51" s="50"/>
      <c r="P51" s="50"/>
      <c r="Q51" s="50"/>
      <c r="R51" s="50"/>
      <c r="S51" s="50"/>
      <c r="T51" s="50"/>
      <c r="U51" s="50"/>
    </row>
    <row r="53" spans="1:21" x14ac:dyDescent="0.3">
      <c r="A53" s="1183" t="s">
        <v>821</v>
      </c>
      <c r="B53" s="1184"/>
      <c r="C53" s="1184"/>
      <c r="D53" s="1184"/>
      <c r="E53" s="1184"/>
      <c r="F53" s="1184"/>
      <c r="G53" s="1184"/>
      <c r="H53" s="1184"/>
      <c r="I53" s="1184"/>
      <c r="J53" s="1184"/>
      <c r="K53" s="1184"/>
      <c r="L53" s="1184"/>
      <c r="M53" s="1184"/>
      <c r="N53" s="1184"/>
      <c r="O53" s="1184"/>
      <c r="P53" s="1184"/>
      <c r="Q53" s="1184"/>
      <c r="R53" s="1184"/>
      <c r="S53" s="1184"/>
      <c r="T53" s="1184"/>
      <c r="U53" s="1185"/>
    </row>
    <row r="54" spans="1:21" x14ac:dyDescent="0.3">
      <c r="A54" s="1186" t="s">
        <v>822</v>
      </c>
      <c r="B54" s="1186"/>
      <c r="C54" s="1186"/>
      <c r="D54" s="1186"/>
      <c r="E54" s="1186"/>
      <c r="F54" s="1186"/>
      <c r="G54" s="1186"/>
      <c r="H54" s="1186"/>
      <c r="I54" s="1186" t="s">
        <v>823</v>
      </c>
      <c r="J54" s="1186"/>
      <c r="K54" s="1186"/>
      <c r="L54" s="1186"/>
      <c r="M54" s="1186"/>
      <c r="N54" s="1186"/>
      <c r="O54" s="1186"/>
      <c r="P54" s="1187" t="s">
        <v>824</v>
      </c>
      <c r="Q54" s="1187"/>
      <c r="R54" s="1187"/>
      <c r="S54" s="1187"/>
      <c r="T54" s="1187"/>
      <c r="U54" s="1187"/>
    </row>
    <row r="55" spans="1:21" x14ac:dyDescent="0.3">
      <c r="A55" s="1182" t="s">
        <v>825</v>
      </c>
      <c r="B55" s="1182"/>
      <c r="C55" s="1182"/>
      <c r="D55" s="1182"/>
      <c r="E55" s="1182"/>
      <c r="F55" s="1182"/>
      <c r="G55" s="1182"/>
      <c r="H55" s="1182"/>
      <c r="I55" s="1182">
        <f>FORM!J47</f>
        <v>0</v>
      </c>
      <c r="J55" s="1182"/>
      <c r="K55" s="1182"/>
      <c r="L55" s="1182"/>
      <c r="M55" s="1182"/>
      <c r="N55" s="1182"/>
      <c r="O55" s="1182"/>
      <c r="P55" s="1182">
        <f>FORM!Q47</f>
        <v>0</v>
      </c>
      <c r="Q55" s="1182"/>
      <c r="R55" s="1182"/>
      <c r="S55" s="1182"/>
      <c r="T55" s="1182"/>
      <c r="U55" s="1182"/>
    </row>
    <row r="56" spans="1:21" x14ac:dyDescent="0.3">
      <c r="A56" s="1182" t="s">
        <v>826</v>
      </c>
      <c r="B56" s="1182"/>
      <c r="C56" s="1182"/>
      <c r="D56" s="1182"/>
      <c r="E56" s="1182"/>
      <c r="F56" s="1182"/>
      <c r="G56" s="1182"/>
      <c r="H56" s="1182"/>
      <c r="I56" s="1182">
        <f>FORM!J48</f>
        <v>0</v>
      </c>
      <c r="J56" s="1182"/>
      <c r="K56" s="1182"/>
      <c r="L56" s="1182"/>
      <c r="M56" s="1182"/>
      <c r="N56" s="1182"/>
      <c r="O56" s="1182"/>
      <c r="P56" s="1182">
        <f>FORM!Q48</f>
        <v>0</v>
      </c>
      <c r="Q56" s="1182"/>
      <c r="R56" s="1182"/>
      <c r="S56" s="1182"/>
      <c r="T56" s="1182"/>
      <c r="U56" s="1182"/>
    </row>
    <row r="57" spans="1:21" x14ac:dyDescent="0.3">
      <c r="A57" s="1182" t="s">
        <v>827</v>
      </c>
      <c r="B57" s="1182"/>
      <c r="C57" s="1182"/>
      <c r="D57" s="1182"/>
      <c r="E57" s="1182"/>
      <c r="F57" s="1182"/>
      <c r="G57" s="1182"/>
      <c r="H57" s="1182"/>
      <c r="I57" s="1182">
        <f>FORM!J49</f>
        <v>0</v>
      </c>
      <c r="J57" s="1182"/>
      <c r="K57" s="1182"/>
      <c r="L57" s="1182"/>
      <c r="M57" s="1182"/>
      <c r="N57" s="1182"/>
      <c r="O57" s="1182"/>
      <c r="P57" s="1182">
        <f>FORM!Q49</f>
        <v>0</v>
      </c>
      <c r="Q57" s="1182"/>
      <c r="R57" s="1182"/>
      <c r="S57" s="1182"/>
      <c r="T57" s="1182"/>
      <c r="U57" s="1182"/>
    </row>
    <row r="58" spans="1:21" x14ac:dyDescent="0.3">
      <c r="A58" s="1182" t="s">
        <v>828</v>
      </c>
      <c r="B58" s="1182"/>
      <c r="C58" s="1182"/>
      <c r="D58" s="1182"/>
      <c r="E58" s="1182"/>
      <c r="F58" s="1182"/>
      <c r="G58" s="1182"/>
      <c r="H58" s="1182"/>
      <c r="I58" s="1182">
        <f>FORM!J50</f>
        <v>0</v>
      </c>
      <c r="J58" s="1182"/>
      <c r="K58" s="1182"/>
      <c r="L58" s="1182"/>
      <c r="M58" s="1182"/>
      <c r="N58" s="1182"/>
      <c r="O58" s="1182"/>
      <c r="P58" s="1182">
        <f>FORM!Q50</f>
        <v>0</v>
      </c>
      <c r="Q58" s="1182"/>
      <c r="R58" s="1182"/>
      <c r="S58" s="1182"/>
      <c r="T58" s="1182"/>
      <c r="U58" s="1182"/>
    </row>
    <row r="60" spans="1:21" x14ac:dyDescent="0.3">
      <c r="A60"/>
      <c r="B60"/>
      <c r="C60"/>
      <c r="D60"/>
      <c r="E60"/>
      <c r="F60"/>
      <c r="G60"/>
      <c r="H60"/>
      <c r="I60"/>
      <c r="J60"/>
      <c r="K60"/>
      <c r="L60"/>
      <c r="M60"/>
      <c r="N60"/>
      <c r="O60"/>
      <c r="P60"/>
      <c r="Q60"/>
      <c r="R60"/>
      <c r="S60"/>
      <c r="T60"/>
      <c r="U60"/>
    </row>
    <row r="68" spans="1:21" x14ac:dyDescent="0.3">
      <c r="A68"/>
      <c r="B68"/>
      <c r="C68"/>
      <c r="D68"/>
      <c r="E68"/>
      <c r="F68"/>
      <c r="G68"/>
      <c r="H68"/>
      <c r="I68"/>
      <c r="J68"/>
      <c r="K68"/>
      <c r="L68"/>
      <c r="M68"/>
      <c r="N68"/>
      <c r="O68"/>
      <c r="P68"/>
      <c r="Q68"/>
      <c r="R68"/>
      <c r="S68"/>
      <c r="T68"/>
      <c r="U68"/>
    </row>
    <row r="69" spans="1:21" x14ac:dyDescent="0.3">
      <c r="A69"/>
      <c r="B69"/>
      <c r="C69"/>
      <c r="D69"/>
      <c r="E69"/>
      <c r="F69"/>
      <c r="G69"/>
      <c r="H69"/>
      <c r="I69"/>
      <c r="J69"/>
      <c r="K69"/>
      <c r="L69"/>
      <c r="M69"/>
      <c r="N69"/>
      <c r="O69"/>
      <c r="P69"/>
      <c r="Q69"/>
      <c r="R69"/>
      <c r="S69"/>
      <c r="T69"/>
      <c r="U69"/>
    </row>
    <row r="70" spans="1:21" ht="25.5" customHeight="1" x14ac:dyDescent="0.3">
      <c r="A70"/>
      <c r="B70"/>
      <c r="C70"/>
      <c r="D70"/>
      <c r="E70"/>
      <c r="F70"/>
      <c r="G70"/>
      <c r="H70"/>
      <c r="I70"/>
      <c r="J70"/>
      <c r="K70"/>
      <c r="L70"/>
      <c r="M70"/>
      <c r="N70"/>
      <c r="O70"/>
      <c r="P70"/>
      <c r="Q70"/>
      <c r="R70"/>
      <c r="S70"/>
      <c r="T70"/>
      <c r="U70"/>
    </row>
    <row r="71" spans="1:21" x14ac:dyDescent="0.3">
      <c r="A71"/>
      <c r="B71"/>
      <c r="C71"/>
      <c r="D71"/>
      <c r="E71"/>
      <c r="F71"/>
      <c r="G71"/>
      <c r="H71"/>
      <c r="I71"/>
      <c r="J71"/>
      <c r="K71"/>
      <c r="L71"/>
      <c r="M71"/>
      <c r="N71"/>
      <c r="O71"/>
      <c r="P71"/>
      <c r="Q71"/>
      <c r="R71"/>
      <c r="S71"/>
      <c r="T71"/>
      <c r="U71"/>
    </row>
    <row r="72" spans="1:21" x14ac:dyDescent="0.3">
      <c r="A72"/>
      <c r="B72"/>
      <c r="C72"/>
      <c r="D72"/>
      <c r="E72"/>
      <c r="F72"/>
      <c r="G72"/>
      <c r="H72"/>
      <c r="I72"/>
      <c r="J72"/>
      <c r="K72"/>
      <c r="L72"/>
      <c r="M72"/>
      <c r="N72"/>
      <c r="O72"/>
      <c r="P72"/>
      <c r="Q72"/>
      <c r="R72"/>
      <c r="S72"/>
      <c r="T72"/>
      <c r="U72"/>
    </row>
    <row r="73" spans="1:21" x14ac:dyDescent="0.3">
      <c r="A73"/>
      <c r="B73"/>
      <c r="C73"/>
      <c r="D73"/>
      <c r="E73"/>
      <c r="F73"/>
      <c r="G73"/>
      <c r="H73"/>
      <c r="I73"/>
      <c r="J73"/>
      <c r="K73"/>
      <c r="L73"/>
      <c r="M73"/>
      <c r="N73"/>
      <c r="O73"/>
      <c r="P73"/>
      <c r="Q73"/>
      <c r="R73"/>
      <c r="S73"/>
      <c r="T73"/>
      <c r="U73"/>
    </row>
    <row r="74" spans="1:21" ht="21.75" customHeight="1" x14ac:dyDescent="0.3">
      <c r="A74"/>
      <c r="B74"/>
      <c r="C74"/>
      <c r="D74"/>
      <c r="E74"/>
      <c r="F74"/>
      <c r="G74"/>
      <c r="H74"/>
      <c r="I74"/>
      <c r="J74"/>
      <c r="K74"/>
      <c r="L74"/>
      <c r="M74"/>
      <c r="N74"/>
      <c r="O74"/>
      <c r="P74"/>
      <c r="Q74"/>
      <c r="R74"/>
      <c r="S74"/>
      <c r="T74"/>
      <c r="U74"/>
    </row>
    <row r="75" spans="1:21" x14ac:dyDescent="0.3">
      <c r="A75" s="21"/>
      <c r="B75" s="21"/>
      <c r="C75" s="21"/>
      <c r="D75" s="21"/>
      <c r="E75" s="21"/>
      <c r="F75" s="21"/>
      <c r="G75" s="21"/>
      <c r="H75" s="21"/>
      <c r="I75" s="21"/>
      <c r="J75" s="21"/>
      <c r="K75" s="21"/>
      <c r="L75" s="21"/>
      <c r="M75" s="21"/>
      <c r="N75" s="21"/>
      <c r="O75" s="21"/>
      <c r="P75" s="21"/>
      <c r="Q75" s="21"/>
      <c r="R75" s="21"/>
      <c r="S75" s="21"/>
      <c r="T75" s="21"/>
      <c r="U75" s="21"/>
    </row>
    <row r="76" spans="1:21" x14ac:dyDescent="0.3">
      <c r="A76" s="21"/>
      <c r="B76" s="21"/>
      <c r="C76" s="21"/>
      <c r="D76" s="21"/>
      <c r="E76" s="21"/>
      <c r="F76" s="21"/>
      <c r="G76" s="21"/>
      <c r="H76" s="21"/>
      <c r="I76" s="22"/>
      <c r="J76" s="22"/>
      <c r="K76" s="22"/>
      <c r="L76" s="22"/>
      <c r="M76" s="22"/>
      <c r="N76" s="22"/>
      <c r="O76" s="22"/>
      <c r="P76" s="22"/>
      <c r="Q76" s="22"/>
      <c r="R76" s="21"/>
      <c r="S76" s="21"/>
      <c r="T76" s="21"/>
      <c r="U76" s="21"/>
    </row>
    <row r="80" spans="1:21" x14ac:dyDescent="0.3">
      <c r="I80" s="56"/>
    </row>
  </sheetData>
  <sheetProtection sheet="1" formatCells="0" formatColumns="0" formatRows="0"/>
  <mergeCells count="62">
    <mergeCell ref="C2:F2"/>
    <mergeCell ref="A6:U6"/>
    <mergeCell ref="E8:T8"/>
    <mergeCell ref="A12:F12"/>
    <mergeCell ref="G12:L12"/>
    <mergeCell ref="M12:Q12"/>
    <mergeCell ref="R12:U12"/>
    <mergeCell ref="D14:F14"/>
    <mergeCell ref="J14:L14"/>
    <mergeCell ref="P14:Q14"/>
    <mergeCell ref="R14:S14"/>
    <mergeCell ref="T14:U14"/>
    <mergeCell ref="D13:F13"/>
    <mergeCell ref="J13:L13"/>
    <mergeCell ref="P13:Q13"/>
    <mergeCell ref="R13:S13"/>
    <mergeCell ref="T13:U13"/>
    <mergeCell ref="D16:F16"/>
    <mergeCell ref="J16:L16"/>
    <mergeCell ref="P16:Q16"/>
    <mergeCell ref="R16:S18"/>
    <mergeCell ref="T16:U18"/>
    <mergeCell ref="D15:F15"/>
    <mergeCell ref="J15:L15"/>
    <mergeCell ref="P15:Q15"/>
    <mergeCell ref="R15:S15"/>
    <mergeCell ref="T15:U15"/>
    <mergeCell ref="D44:I44"/>
    <mergeCell ref="Q44:S44"/>
    <mergeCell ref="D17:F17"/>
    <mergeCell ref="P17:Q17"/>
    <mergeCell ref="P18:Q18"/>
    <mergeCell ref="I20:U20"/>
    <mergeCell ref="I21:U21"/>
    <mergeCell ref="I22:U22"/>
    <mergeCell ref="I23:U23"/>
    <mergeCell ref="I24:U24"/>
    <mergeCell ref="I25:U25"/>
    <mergeCell ref="G27:M27"/>
    <mergeCell ref="P27:R27"/>
    <mergeCell ref="D48:I48"/>
    <mergeCell ref="Q48:S48"/>
    <mergeCell ref="D49:I49"/>
    <mergeCell ref="Q49:S49"/>
    <mergeCell ref="D50:I50"/>
    <mergeCell ref="Q50:S50"/>
    <mergeCell ref="A53:U53"/>
    <mergeCell ref="A54:H54"/>
    <mergeCell ref="I54:O54"/>
    <mergeCell ref="P54:U54"/>
    <mergeCell ref="A55:H55"/>
    <mergeCell ref="I55:O55"/>
    <mergeCell ref="P55:U55"/>
    <mergeCell ref="A58:H58"/>
    <mergeCell ref="I58:O58"/>
    <mergeCell ref="P58:U58"/>
    <mergeCell ref="A56:H56"/>
    <mergeCell ref="I56:O56"/>
    <mergeCell ref="P56:U56"/>
    <mergeCell ref="A57:H57"/>
    <mergeCell ref="I57:O57"/>
    <mergeCell ref="P57:U57"/>
  </mergeCells>
  <pageMargins left="0.51181102362204722" right="0.51181102362204722" top="0.87791666666666668" bottom="0.74803149606299213" header="0.31496062992125984" footer="0.31496062992125984"/>
  <pageSetup paperSize="305" scale="86" orientation="portrait" verticalDpi="360" r:id="rId1"/>
  <headerFooter>
    <oddHeader xml:space="preserve">&amp;R
&amp;"Century Gothic,Bold"&amp;18LETTER OF INTENT    
 &amp;"-,Regular"&amp;11
</oddHeader>
    <oddFooter>&amp;C&amp;"Century Gothic,Regular"&amp;8Page &amp;P of &amp;N</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96257" r:id="rId4" name="Check Box 1">
              <controlPr defaultSize="0" autoFill="0" autoLine="0" autoPict="0">
                <anchor moveWithCells="1">
                  <from>
                    <xdr:col>11</xdr:col>
                    <xdr:colOff>304800</xdr:colOff>
                    <xdr:row>7</xdr:row>
                    <xdr:rowOff>209550</xdr:rowOff>
                  </from>
                  <to>
                    <xdr:col>14</xdr:col>
                    <xdr:colOff>171450</xdr:colOff>
                    <xdr:row>9</xdr:row>
                    <xdr:rowOff>0</xdr:rowOff>
                  </to>
                </anchor>
              </controlPr>
            </control>
          </mc:Choice>
        </mc:AlternateContent>
        <mc:AlternateContent xmlns:mc="http://schemas.openxmlformats.org/markup-compatibility/2006">
          <mc:Choice Requires="x14">
            <control shapeId="96258" r:id="rId5" name="Check Box 2">
              <controlPr defaultSize="0" autoFill="0" autoLine="0" autoPict="0">
                <anchor moveWithCells="1">
                  <from>
                    <xdr:col>11</xdr:col>
                    <xdr:colOff>304800</xdr:colOff>
                    <xdr:row>9</xdr:row>
                    <xdr:rowOff>0</xdr:rowOff>
                  </from>
                  <to>
                    <xdr:col>14</xdr:col>
                    <xdr:colOff>171450</xdr:colOff>
                    <xdr:row>10</xdr:row>
                    <xdr:rowOff>0</xdr:rowOff>
                  </to>
                </anchor>
              </controlPr>
            </control>
          </mc:Choice>
        </mc:AlternateContent>
        <mc:AlternateContent xmlns:mc="http://schemas.openxmlformats.org/markup-compatibility/2006">
          <mc:Choice Requires="x14">
            <control shapeId="96259" r:id="rId6" name="Check Box 3">
              <controlPr defaultSize="0" autoFill="0" autoLine="0" autoPict="0">
                <anchor moveWithCells="1">
                  <from>
                    <xdr:col>4</xdr:col>
                    <xdr:colOff>57150</xdr:colOff>
                    <xdr:row>8</xdr:row>
                    <xdr:rowOff>19050</xdr:rowOff>
                  </from>
                  <to>
                    <xdr:col>8</xdr:col>
                    <xdr:colOff>285750</xdr:colOff>
                    <xdr:row>9</xdr:row>
                    <xdr:rowOff>19050</xdr:rowOff>
                  </to>
                </anchor>
              </controlPr>
            </control>
          </mc:Choice>
        </mc:AlternateContent>
        <mc:AlternateContent xmlns:mc="http://schemas.openxmlformats.org/markup-compatibility/2006">
          <mc:Choice Requires="x14">
            <control shapeId="96260" r:id="rId7" name="Check Box 4">
              <controlPr defaultSize="0" autoFill="0" autoLine="0" autoPict="0">
                <anchor moveWithCells="1">
                  <from>
                    <xdr:col>4</xdr:col>
                    <xdr:colOff>57150</xdr:colOff>
                    <xdr:row>8</xdr:row>
                    <xdr:rowOff>209550</xdr:rowOff>
                  </from>
                  <to>
                    <xdr:col>8</xdr:col>
                    <xdr:colOff>285750</xdr:colOff>
                    <xdr:row>10</xdr:row>
                    <xdr:rowOff>0</xdr:rowOff>
                  </to>
                </anchor>
              </controlPr>
            </control>
          </mc:Choice>
        </mc:AlternateContent>
        <mc:AlternateContent xmlns:mc="http://schemas.openxmlformats.org/markup-compatibility/2006">
          <mc:Choice Requires="x14">
            <control shapeId="96261" r:id="rId8" name="Check Box 5">
              <controlPr defaultSize="0" autoFill="0" autoLine="0" autoPict="0">
                <anchor moveWithCells="1">
                  <from>
                    <xdr:col>17</xdr:col>
                    <xdr:colOff>476250</xdr:colOff>
                    <xdr:row>8</xdr:row>
                    <xdr:rowOff>0</xdr:rowOff>
                  </from>
                  <to>
                    <xdr:col>19</xdr:col>
                    <xdr:colOff>180975</xdr:colOff>
                    <xdr:row>9</xdr:row>
                    <xdr:rowOff>0</xdr:rowOff>
                  </to>
                </anchor>
              </controlPr>
            </control>
          </mc:Choice>
        </mc:AlternateContent>
        <mc:AlternateContent xmlns:mc="http://schemas.openxmlformats.org/markup-compatibility/2006">
          <mc:Choice Requires="x14">
            <control shapeId="96262" r:id="rId9" name="Check Box 6">
              <controlPr defaultSize="0" autoFill="0" autoLine="0" autoPict="0">
                <anchor moveWithCells="1">
                  <from>
                    <xdr:col>17</xdr:col>
                    <xdr:colOff>476250</xdr:colOff>
                    <xdr:row>9</xdr:row>
                    <xdr:rowOff>0</xdr:rowOff>
                  </from>
                  <to>
                    <xdr:col>19</xdr:col>
                    <xdr:colOff>180975</xdr:colOff>
                    <xdr:row>10</xdr:row>
                    <xdr:rowOff>0</xdr:rowOff>
                  </to>
                </anchor>
              </controlPr>
            </control>
          </mc:Choice>
        </mc:AlternateContent>
      </controls>
    </mc:Choice>
  </mc:AlternateContent>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16"/>
  <dimension ref="A1:U121"/>
  <sheetViews>
    <sheetView showZeros="0" view="pageLayout" topLeftCell="A40" zoomScaleNormal="100" zoomScaleSheetLayoutView="115" workbookViewId="0">
      <selection activeCell="O40" sqref="O40:R40"/>
    </sheetView>
  </sheetViews>
  <sheetFormatPr defaultColWidth="9.28515625" defaultRowHeight="16.5" x14ac:dyDescent="0.3"/>
  <cols>
    <col min="1" max="1" width="3.28515625" style="5" customWidth="1"/>
    <col min="2" max="2" width="1.28515625" style="5" customWidth="1"/>
    <col min="3" max="3" width="4.5703125" style="5" customWidth="1"/>
    <col min="4" max="4" width="2.7109375" style="5" customWidth="1"/>
    <col min="5" max="5" width="7" style="5" customWidth="1"/>
    <col min="6" max="6" width="4.28515625" style="5" customWidth="1"/>
    <col min="7" max="7" width="3.42578125" style="5" customWidth="1"/>
    <col min="8" max="8" width="3.28515625" style="5" customWidth="1"/>
    <col min="9" max="9" width="5.28515625" style="5" customWidth="1"/>
    <col min="10" max="10" width="3.28515625" style="5" customWidth="1"/>
    <col min="11" max="11" width="4.7109375" style="5" customWidth="1"/>
    <col min="12" max="12" width="5.7109375" style="5" customWidth="1"/>
    <col min="13" max="13" width="7" style="5" customWidth="1"/>
    <col min="14" max="14" width="3.28515625" style="5" customWidth="1"/>
    <col min="15" max="15" width="4.42578125" style="5" customWidth="1"/>
    <col min="16" max="16" width="7" style="5" customWidth="1"/>
    <col min="17" max="17" width="5.28515625" style="5" customWidth="1"/>
    <col min="18" max="18" width="15.7109375" style="5" customWidth="1"/>
    <col min="19" max="19" width="2.42578125" style="5" customWidth="1"/>
    <col min="20" max="20" width="12.7109375" style="5" customWidth="1"/>
    <col min="21" max="21" width="1.28515625" style="5" customWidth="1"/>
    <col min="22" max="16384" width="9.28515625" style="5"/>
  </cols>
  <sheetData>
    <row r="1" spans="1:21" ht="14.25" customHeight="1" x14ac:dyDescent="0.3">
      <c r="U1" s="58"/>
    </row>
    <row r="2" spans="1:21" x14ac:dyDescent="0.3">
      <c r="A2" s="21" t="s">
        <v>829</v>
      </c>
      <c r="B2" s="21"/>
      <c r="C2" s="90"/>
      <c r="D2" s="1234">
        <f>FORM!G30</f>
        <v>0</v>
      </c>
      <c r="E2" s="1234"/>
      <c r="F2" s="1234"/>
      <c r="G2" s="1234"/>
      <c r="H2" s="1234"/>
      <c r="I2" s="1234"/>
      <c r="J2" s="1234"/>
      <c r="K2" s="1234"/>
      <c r="L2" s="1234"/>
      <c r="M2" s="1234"/>
      <c r="N2" s="1234"/>
      <c r="O2" s="1234"/>
      <c r="P2" s="1234"/>
      <c r="Q2" s="1234"/>
      <c r="R2" s="21"/>
      <c r="S2" s="21"/>
      <c r="T2" s="21"/>
      <c r="U2" s="23" t="s">
        <v>830</v>
      </c>
    </row>
    <row r="3" spans="1:21" x14ac:dyDescent="0.3">
      <c r="A3" s="1234">
        <f>FORM!G34</f>
        <v>0</v>
      </c>
      <c r="B3" s="1234"/>
      <c r="C3" s="1234"/>
      <c r="D3" s="1234"/>
      <c r="E3" s="1234"/>
      <c r="F3" s="1234"/>
      <c r="G3" s="1234"/>
      <c r="H3" s="1234"/>
      <c r="I3" s="1234"/>
      <c r="J3" s="1234"/>
      <c r="K3" s="1234"/>
      <c r="L3" s="1234"/>
      <c r="M3" s="1234"/>
      <c r="N3" s="1234"/>
      <c r="O3" s="1234"/>
      <c r="P3" s="1234"/>
      <c r="Q3" s="1234"/>
      <c r="R3" s="21"/>
      <c r="S3" s="21"/>
      <c r="T3" s="21"/>
      <c r="U3" s="23" t="s">
        <v>831</v>
      </c>
    </row>
    <row r="4" spans="1:21" ht="16.5" customHeight="1" x14ac:dyDescent="0.3">
      <c r="A4" s="1233" t="s">
        <v>832</v>
      </c>
      <c r="B4" s="1233"/>
      <c r="C4" s="1233"/>
      <c r="D4" s="1233"/>
      <c r="E4" s="1233"/>
      <c r="F4" s="1233"/>
      <c r="G4" s="1233"/>
      <c r="H4" s="1233"/>
      <c r="I4" s="1233"/>
      <c r="J4" s="1233"/>
      <c r="K4" s="1233"/>
      <c r="L4" s="1233"/>
      <c r="M4" s="1233"/>
      <c r="N4" s="1233"/>
      <c r="O4" s="1233"/>
      <c r="P4" s="1233"/>
      <c r="Q4" s="1233"/>
      <c r="R4" s="1233"/>
      <c r="S4" s="1233"/>
      <c r="T4" s="1233"/>
      <c r="U4" s="1233"/>
    </row>
    <row r="5" spans="1:21" x14ac:dyDescent="0.3">
      <c r="A5" s="1233"/>
      <c r="B5" s="1233"/>
      <c r="C5" s="1233"/>
      <c r="D5" s="1233"/>
      <c r="E5" s="1233"/>
      <c r="F5" s="1233"/>
      <c r="G5" s="1233"/>
      <c r="H5" s="1233"/>
      <c r="I5" s="1233"/>
      <c r="J5" s="1233"/>
      <c r="K5" s="1233"/>
      <c r="L5" s="1233"/>
      <c r="M5" s="1233"/>
      <c r="N5" s="1233"/>
      <c r="O5" s="1233"/>
      <c r="P5" s="1233"/>
      <c r="Q5" s="1233"/>
      <c r="R5" s="1233"/>
      <c r="S5" s="1233"/>
      <c r="T5" s="1233"/>
      <c r="U5" s="1233"/>
    </row>
    <row r="6" spans="1:21" ht="9" customHeight="1" x14ac:dyDescent="0.3">
      <c r="A6" s="21"/>
      <c r="B6" s="21"/>
      <c r="C6" s="21"/>
      <c r="D6" s="21"/>
      <c r="E6" s="21"/>
      <c r="F6" s="21"/>
      <c r="G6" s="21"/>
      <c r="H6" s="21"/>
      <c r="I6" s="21"/>
      <c r="J6" s="21"/>
      <c r="K6" s="21"/>
      <c r="L6" s="21"/>
      <c r="M6" s="21"/>
      <c r="N6" s="21"/>
      <c r="O6" s="21"/>
      <c r="P6" s="21"/>
      <c r="Q6" s="21"/>
      <c r="R6" s="21"/>
      <c r="S6" s="21"/>
      <c r="T6" s="21"/>
      <c r="U6" s="21"/>
    </row>
    <row r="7" spans="1:21" ht="16.5" customHeight="1" x14ac:dyDescent="0.3">
      <c r="A7" s="21" t="s">
        <v>833</v>
      </c>
      <c r="B7" s="21"/>
      <c r="C7" s="21"/>
      <c r="D7" s="21"/>
      <c r="E7" s="21"/>
      <c r="F7" s="21"/>
      <c r="G7" s="21"/>
      <c r="H7" s="1234" t="str">
        <f>FORM!Z13</f>
        <v>WEE COMMUNITY DEVELOPERS, INC.</v>
      </c>
      <c r="I7" s="1234"/>
      <c r="J7" s="1234"/>
      <c r="K7" s="1234"/>
      <c r="L7" s="1234"/>
      <c r="M7" s="1234"/>
      <c r="N7" s="1234"/>
      <c r="O7" s="1234"/>
      <c r="P7" s="21"/>
      <c r="Q7" s="21"/>
      <c r="R7" s="21"/>
      <c r="S7" s="21"/>
      <c r="T7" s="21"/>
      <c r="U7" s="23" t="s">
        <v>834</v>
      </c>
    </row>
    <row r="8" spans="1:21" x14ac:dyDescent="0.3">
      <c r="A8" s="1235" t="s">
        <v>835</v>
      </c>
      <c r="B8" s="1235"/>
      <c r="C8" s="1235"/>
      <c r="D8" s="1235"/>
      <c r="E8" s="1235"/>
      <c r="F8" s="1235"/>
      <c r="G8" s="1235"/>
      <c r="H8" s="1235"/>
      <c r="I8" s="1235"/>
      <c r="J8" s="1235"/>
      <c r="K8" s="1235"/>
      <c r="L8" s="1235"/>
      <c r="M8" s="1235"/>
      <c r="N8" s="1235"/>
      <c r="O8" s="1235"/>
      <c r="P8" s="1235"/>
      <c r="Q8" s="1235"/>
      <c r="R8" s="1235"/>
      <c r="S8" s="1235"/>
      <c r="T8" s="1235"/>
      <c r="U8" s="1235"/>
    </row>
    <row r="9" spans="1:21" x14ac:dyDescent="0.3">
      <c r="A9" s="1240" t="str">
        <f>FORM!Z14</f>
        <v>166 A. Mabini Street, Addition Hills, San Juan City</v>
      </c>
      <c r="B9" s="1240"/>
      <c r="C9" s="1240"/>
      <c r="D9" s="1240"/>
      <c r="E9" s="1240"/>
      <c r="F9" s="1240"/>
      <c r="G9" s="1240"/>
      <c r="H9" s="1240"/>
      <c r="I9" s="1240"/>
      <c r="J9" s="1240"/>
      <c r="K9" s="1240"/>
      <c r="L9" s="1240"/>
      <c r="M9" s="1240"/>
      <c r="N9" s="1240"/>
      <c r="O9" s="1240"/>
      <c r="P9" s="1240"/>
      <c r="Q9" s="1240"/>
      <c r="R9" s="21"/>
      <c r="S9" s="21"/>
      <c r="T9" s="21"/>
      <c r="U9" s="23" t="s">
        <v>836</v>
      </c>
    </row>
    <row r="10" spans="1:21" x14ac:dyDescent="0.3">
      <c r="A10" s="21" t="s">
        <v>837</v>
      </c>
      <c r="B10" s="21"/>
      <c r="C10" s="21"/>
      <c r="D10" s="21"/>
      <c r="E10" s="21"/>
      <c r="F10" s="21"/>
      <c r="G10" s="21"/>
      <c r="H10" s="21"/>
      <c r="I10" s="1234" t="str">
        <f>FORM!G11</f>
        <v>WEECOMM CENTRE</v>
      </c>
      <c r="J10" s="1234"/>
      <c r="K10" s="1234"/>
      <c r="L10" s="1234"/>
      <c r="M10" s="1234"/>
      <c r="N10" s="1234"/>
      <c r="O10" s="1234"/>
      <c r="P10" s="1234"/>
      <c r="Q10" s="1234"/>
      <c r="R10" s="1234"/>
      <c r="S10" s="1234"/>
      <c r="T10" s="1234"/>
      <c r="U10" s="1234"/>
    </row>
    <row r="11" spans="1:21" x14ac:dyDescent="0.3">
      <c r="A11" s="21" t="s">
        <v>838</v>
      </c>
      <c r="B11" s="21"/>
      <c r="C11" s="21"/>
      <c r="D11" s="21"/>
      <c r="E11" s="21"/>
      <c r="F11" s="21"/>
      <c r="G11" s="21"/>
      <c r="H11" s="21"/>
      <c r="I11" s="21"/>
      <c r="J11" s="21"/>
      <c r="K11" s="21"/>
      <c r="L11" s="21"/>
      <c r="M11" s="1229" t="str">
        <f>'RA_Step up'!M12:U12</f>
        <v>#54 Tinio St. Barangay Addition Hills, Mandaluyong City</v>
      </c>
      <c r="N11" s="1229"/>
      <c r="O11" s="1229"/>
      <c r="P11" s="1229"/>
      <c r="Q11" s="1229"/>
      <c r="R11" s="1229"/>
      <c r="S11" s="1229"/>
      <c r="T11" s="1229"/>
      <c r="U11" s="1229"/>
    </row>
    <row r="12" spans="1:21" x14ac:dyDescent="0.3">
      <c r="A12" s="21" t="s">
        <v>839</v>
      </c>
      <c r="B12" s="21"/>
      <c r="C12" s="21"/>
      <c r="D12" s="21"/>
      <c r="E12" s="21"/>
      <c r="F12" s="21"/>
      <c r="G12" s="21"/>
      <c r="H12" s="21"/>
      <c r="I12" s="21"/>
      <c r="J12" s="21"/>
      <c r="K12" s="1241" t="str">
        <f>RA_DEFERRED!K12</f>
        <v>2-BR BARE</v>
      </c>
      <c r="L12" s="1234"/>
      <c r="M12" s="1234"/>
      <c r="N12" s="1234"/>
      <c r="O12" s="1234"/>
      <c r="P12" s="1234"/>
      <c r="Q12" s="1234"/>
      <c r="R12" s="1234"/>
      <c r="S12" s="1234"/>
      <c r="T12" s="1234"/>
      <c r="U12" s="1234"/>
    </row>
    <row r="13" spans="1:21" ht="13.5" customHeight="1" x14ac:dyDescent="0.3">
      <c r="A13" s="21" t="s">
        <v>840</v>
      </c>
      <c r="B13" s="21"/>
      <c r="C13" s="21"/>
      <c r="D13" s="21"/>
      <c r="E13" s="21"/>
      <c r="F13" s="21"/>
      <c r="G13" s="21"/>
      <c r="H13" s="21"/>
      <c r="I13" s="21"/>
      <c r="J13" s="21"/>
      <c r="K13" s="21"/>
      <c r="L13" s="21"/>
      <c r="M13" s="21"/>
      <c r="N13" s="21"/>
      <c r="O13" s="21"/>
      <c r="P13" s="21"/>
      <c r="Q13" s="21"/>
      <c r="R13" s="21"/>
      <c r="S13" s="21"/>
      <c r="T13" s="21"/>
      <c r="U13" s="21"/>
    </row>
    <row r="14" spans="1:21" x14ac:dyDescent="0.3">
      <c r="A14" s="21"/>
      <c r="B14" s="21"/>
      <c r="C14" s="21"/>
      <c r="D14" s="21"/>
      <c r="E14" s="21"/>
      <c r="F14" s="21"/>
      <c r="G14" s="21"/>
      <c r="H14" s="21"/>
      <c r="I14" s="21"/>
      <c r="J14" s="21"/>
      <c r="K14" s="21"/>
      <c r="L14" s="21"/>
      <c r="M14" s="21"/>
      <c r="N14" s="21"/>
      <c r="O14" s="21"/>
      <c r="P14" s="21"/>
      <c r="Q14" s="21"/>
      <c r="R14" s="21"/>
      <c r="S14" s="21"/>
      <c r="T14" s="21"/>
      <c r="U14" s="21"/>
    </row>
    <row r="15" spans="1:21" x14ac:dyDescent="0.3">
      <c r="A15" s="25" t="s">
        <v>781</v>
      </c>
      <c r="B15" s="26"/>
      <c r="C15" s="26"/>
      <c r="D15" s="24"/>
      <c r="E15" s="1229" t="str">
        <f>FORM!G11</f>
        <v>WEECOMM CENTRE</v>
      </c>
      <c r="F15" s="1229"/>
      <c r="G15" s="1229"/>
      <c r="H15" s="1229"/>
      <c r="I15" s="1229"/>
      <c r="J15" s="1229"/>
      <c r="K15" s="1229"/>
      <c r="L15" s="1229"/>
      <c r="M15" s="1229"/>
      <c r="N15" s="1229"/>
      <c r="O15" s="1229"/>
      <c r="P15" s="1229"/>
      <c r="Q15" s="1229"/>
      <c r="R15" s="1229"/>
      <c r="S15" s="1229"/>
      <c r="T15" s="1229"/>
      <c r="U15" s="62"/>
    </row>
    <row r="16" spans="1:21" x14ac:dyDescent="0.3">
      <c r="A16" s="27" t="s">
        <v>782</v>
      </c>
      <c r="B16" s="28"/>
      <c r="C16" s="28"/>
      <c r="D16" s="29"/>
      <c r="E16" s="30" t="s">
        <v>841</v>
      </c>
      <c r="F16" s="29"/>
      <c r="G16" s="29"/>
      <c r="H16" s="29"/>
      <c r="I16" s="29"/>
      <c r="J16" s="29"/>
      <c r="K16" s="29"/>
      <c r="L16" s="60" t="s">
        <v>842</v>
      </c>
      <c r="M16" s="29"/>
      <c r="N16" s="29"/>
      <c r="O16" s="29"/>
      <c r="P16" s="29"/>
      <c r="Q16" s="29"/>
      <c r="R16" s="29"/>
      <c r="S16" s="29"/>
      <c r="T16" s="30" t="s">
        <v>843</v>
      </c>
      <c r="U16" s="59"/>
    </row>
    <row r="17" spans="1:21" x14ac:dyDescent="0.3">
      <c r="A17" s="31"/>
      <c r="B17" s="8"/>
      <c r="C17" s="8"/>
      <c r="D17" s="8"/>
      <c r="E17" s="32" t="s">
        <v>844</v>
      </c>
      <c r="F17" s="8"/>
      <c r="G17" s="8"/>
      <c r="H17" s="8"/>
      <c r="I17" s="8"/>
      <c r="J17" s="8"/>
      <c r="K17" s="8"/>
      <c r="L17" s="32" t="s">
        <v>786</v>
      </c>
      <c r="M17" s="8"/>
      <c r="N17" s="8"/>
      <c r="O17" s="8"/>
      <c r="P17" s="8"/>
      <c r="Q17" s="8"/>
      <c r="R17" s="8"/>
      <c r="S17" s="8"/>
      <c r="T17" s="32" t="s">
        <v>845</v>
      </c>
      <c r="U17" s="33"/>
    </row>
    <row r="18" spans="1:21" x14ac:dyDescent="0.3">
      <c r="T18" s="5" t="s">
        <v>660</v>
      </c>
    </row>
    <row r="19" spans="1:21" x14ac:dyDescent="0.3">
      <c r="A19" s="1230" t="s">
        <v>784</v>
      </c>
      <c r="B19" s="1231"/>
      <c r="C19" s="1231"/>
      <c r="D19" s="1231"/>
      <c r="E19" s="1231"/>
      <c r="F19" s="1232"/>
      <c r="G19" s="1230" t="s">
        <v>267</v>
      </c>
      <c r="H19" s="1231"/>
      <c r="I19" s="1231"/>
      <c r="J19" s="1231"/>
      <c r="K19" s="1231"/>
      <c r="L19" s="1232"/>
      <c r="M19" s="1230" t="s">
        <v>785</v>
      </c>
      <c r="N19" s="1231"/>
      <c r="O19" s="1231"/>
      <c r="P19" s="1231"/>
      <c r="Q19" s="1232"/>
      <c r="R19" s="1230" t="s">
        <v>786</v>
      </c>
      <c r="S19" s="1231"/>
      <c r="T19" s="1231"/>
      <c r="U19" s="1232"/>
    </row>
    <row r="20" spans="1:21" x14ac:dyDescent="0.3">
      <c r="A20" s="40" t="s">
        <v>787</v>
      </c>
      <c r="B20" s="41"/>
      <c r="C20" s="41"/>
      <c r="D20" s="1193">
        <f>FORM!G14</f>
        <v>1</v>
      </c>
      <c r="E20" s="1194"/>
      <c r="F20" s="1195"/>
      <c r="G20" s="40" t="s">
        <v>787</v>
      </c>
      <c r="H20" s="41"/>
      <c r="I20" s="42"/>
      <c r="J20" s="1207"/>
      <c r="K20" s="1208"/>
      <c r="L20" s="1209"/>
      <c r="M20" s="40" t="s">
        <v>788</v>
      </c>
      <c r="N20" s="41"/>
      <c r="O20" s="42"/>
      <c r="P20" s="1210"/>
      <c r="Q20" s="1197"/>
      <c r="R20" s="1211" t="s">
        <v>787</v>
      </c>
      <c r="S20" s="1212"/>
      <c r="T20" s="1213"/>
      <c r="U20" s="1214"/>
    </row>
    <row r="21" spans="1:21" x14ac:dyDescent="0.3">
      <c r="A21" s="36" t="s">
        <v>789</v>
      </c>
      <c r="B21" s="37"/>
      <c r="C21" s="37"/>
      <c r="D21" s="1193" t="str">
        <f>'RA_Step up'!D22:E22</f>
        <v>GF</v>
      </c>
      <c r="E21" s="1194"/>
      <c r="F21" s="55"/>
      <c r="G21" s="40" t="s">
        <v>790</v>
      </c>
      <c r="H21" s="41"/>
      <c r="I21" s="42"/>
      <c r="J21" s="1207"/>
      <c r="K21" s="1208"/>
      <c r="L21" s="1209"/>
      <c r="M21" s="40" t="s">
        <v>791</v>
      </c>
      <c r="N21" s="41"/>
      <c r="O21" s="42"/>
      <c r="P21" s="1210"/>
      <c r="Q21" s="1197"/>
      <c r="R21" s="1211" t="s">
        <v>792</v>
      </c>
      <c r="S21" s="1212"/>
      <c r="T21" s="1213"/>
      <c r="U21" s="1214"/>
    </row>
    <row r="22" spans="1:21" x14ac:dyDescent="0.3">
      <c r="A22" s="40" t="s">
        <v>792</v>
      </c>
      <c r="B22" s="41"/>
      <c r="C22" s="42"/>
      <c r="D22" s="1193" t="str">
        <f>FORM!G18</f>
        <v>9G</v>
      </c>
      <c r="E22" s="1194"/>
      <c r="F22" s="55"/>
      <c r="G22" s="40" t="s">
        <v>793</v>
      </c>
      <c r="H22" s="41"/>
      <c r="I22" s="42"/>
      <c r="J22" s="1207"/>
      <c r="K22" s="1208"/>
      <c r="L22" s="1209"/>
      <c r="M22" s="40" t="s">
        <v>794</v>
      </c>
      <c r="N22" s="41"/>
      <c r="O22" s="42"/>
      <c r="P22" s="1210"/>
      <c r="Q22" s="1197"/>
      <c r="R22" s="1211" t="s">
        <v>795</v>
      </c>
      <c r="S22" s="1212"/>
      <c r="T22" s="1213"/>
      <c r="U22" s="1214"/>
    </row>
    <row r="23" spans="1:21" ht="16.5" customHeight="1" x14ac:dyDescent="0.3">
      <c r="A23" s="36" t="s">
        <v>80</v>
      </c>
      <c r="B23" s="37"/>
      <c r="C23" s="37"/>
      <c r="D23" s="1242">
        <f>'STANDARD COMP.'!E13</f>
        <v>108.78</v>
      </c>
      <c r="E23" s="1243"/>
      <c r="F23" s="55" t="s">
        <v>693</v>
      </c>
      <c r="G23" s="40" t="s">
        <v>795</v>
      </c>
      <c r="H23" s="41"/>
      <c r="I23" s="42"/>
      <c r="J23" s="1207"/>
      <c r="K23" s="1208"/>
      <c r="L23" s="1209"/>
      <c r="M23" s="36" t="s">
        <v>846</v>
      </c>
      <c r="N23" s="37"/>
      <c r="O23" s="37"/>
      <c r="P23" s="1210"/>
      <c r="Q23" s="1197"/>
      <c r="R23" s="1215" t="s">
        <v>796</v>
      </c>
      <c r="S23" s="1216"/>
      <c r="T23" s="1221"/>
      <c r="U23" s="1222"/>
    </row>
    <row r="24" spans="1:21" x14ac:dyDescent="0.3">
      <c r="A24" s="40" t="s">
        <v>797</v>
      </c>
      <c r="B24" s="41"/>
      <c r="C24" s="42"/>
      <c r="D24" s="1237" t="str">
        <f>K12</f>
        <v>2-BR BARE</v>
      </c>
      <c r="E24" s="1194"/>
      <c r="F24" s="1195"/>
      <c r="G24" s="40" t="s">
        <v>798</v>
      </c>
      <c r="H24" s="41"/>
      <c r="I24" s="42"/>
      <c r="J24" s="1207"/>
      <c r="K24" s="1208"/>
      <c r="L24" s="1209"/>
      <c r="M24" s="40" t="s">
        <v>800</v>
      </c>
      <c r="N24" s="41"/>
      <c r="O24" s="42"/>
      <c r="P24" s="1193"/>
      <c r="Q24" s="1195"/>
      <c r="R24" s="1219"/>
      <c r="S24" s="1220"/>
      <c r="T24" s="1225"/>
      <c r="U24" s="1226"/>
    </row>
    <row r="26" spans="1:21" x14ac:dyDescent="0.3">
      <c r="A26" s="40" t="s">
        <v>37</v>
      </c>
      <c r="B26" s="41"/>
      <c r="C26" s="41"/>
      <c r="D26" s="41"/>
      <c r="E26" s="41"/>
      <c r="F26" s="41"/>
      <c r="G26" s="41"/>
      <c r="H26" s="42"/>
      <c r="I26" s="1199">
        <f>'SPECIAL PACKAGE'!F15</f>
        <v>20466686.730335645</v>
      </c>
      <c r="J26" s="1200"/>
      <c r="K26" s="1200"/>
      <c r="L26" s="1200"/>
      <c r="M26" s="1200"/>
      <c r="N26" s="1200"/>
      <c r="O26" s="1200"/>
      <c r="P26" s="1200"/>
      <c r="Q26" s="1200"/>
      <c r="R26" s="1200"/>
      <c r="S26" s="1200"/>
      <c r="T26" s="1200"/>
      <c r="U26" s="1201"/>
    </row>
    <row r="27" spans="1:21" x14ac:dyDescent="0.3">
      <c r="A27" s="40" t="s">
        <v>801</v>
      </c>
      <c r="B27" s="41"/>
      <c r="C27" s="43"/>
      <c r="D27" s="43"/>
      <c r="E27" s="43"/>
      <c r="F27" s="43"/>
      <c r="G27" s="43"/>
      <c r="H27" s="44"/>
      <c r="I27" s="1202">
        <f>'SPECIAL PACKAGE'!F16</f>
        <v>1330334.637471817</v>
      </c>
      <c r="J27" s="1203"/>
      <c r="K27" s="1203"/>
      <c r="L27" s="1203"/>
      <c r="M27" s="1203"/>
      <c r="N27" s="1203"/>
      <c r="O27" s="1203"/>
      <c r="P27" s="1203"/>
      <c r="Q27" s="1203"/>
      <c r="R27" s="1203"/>
      <c r="S27" s="1203"/>
      <c r="T27" s="1203"/>
      <c r="U27" s="1204"/>
    </row>
    <row r="28" spans="1:21" x14ac:dyDescent="0.3">
      <c r="A28" s="52" t="s">
        <v>92</v>
      </c>
      <c r="B28" s="53"/>
      <c r="C28" s="54"/>
      <c r="D28" s="54"/>
      <c r="E28" s="54"/>
      <c r="F28" s="54"/>
      <c r="G28" s="54"/>
      <c r="H28" s="51"/>
      <c r="I28" s="1199">
        <f>'SPECIAL PACKAGE'!F17</f>
        <v>19136352.092863828</v>
      </c>
      <c r="J28" s="1200"/>
      <c r="K28" s="1200"/>
      <c r="L28" s="1200"/>
      <c r="M28" s="1200"/>
      <c r="N28" s="1200"/>
      <c r="O28" s="1200"/>
      <c r="P28" s="1200"/>
      <c r="Q28" s="1200"/>
      <c r="R28" s="1200"/>
      <c r="S28" s="1200"/>
      <c r="T28" s="1200"/>
      <c r="U28" s="1201"/>
    </row>
    <row r="29" spans="1:21" x14ac:dyDescent="0.3">
      <c r="A29" s="40" t="s">
        <v>802</v>
      </c>
      <c r="B29" s="41"/>
      <c r="C29" s="43"/>
      <c r="D29" s="43"/>
      <c r="E29" s="43"/>
      <c r="F29" s="43"/>
      <c r="G29" s="43"/>
      <c r="H29" s="44"/>
      <c r="I29" s="1199">
        <f>'SPECIAL PACKAGE'!F19</f>
        <v>1535001.5047751733</v>
      </c>
      <c r="J29" s="1200"/>
      <c r="K29" s="1200"/>
      <c r="L29" s="1200"/>
      <c r="M29" s="1200"/>
      <c r="N29" s="1200"/>
      <c r="O29" s="1200"/>
      <c r="P29" s="1200"/>
      <c r="Q29" s="1200"/>
      <c r="R29" s="1200"/>
      <c r="S29" s="1200"/>
      <c r="T29" s="1200"/>
      <c r="U29" s="1201"/>
    </row>
    <row r="30" spans="1:21" hidden="1" x14ac:dyDescent="0.3">
      <c r="A30" s="38" t="s">
        <v>847</v>
      </c>
      <c r="B30" s="39"/>
      <c r="C30" s="48"/>
      <c r="D30" s="48"/>
      <c r="E30" s="48"/>
      <c r="F30" s="48"/>
      <c r="G30" s="48"/>
      <c r="H30" s="49"/>
      <c r="I30" s="1199">
        <f>'SPECIAL PACKAGE'!F19:I19</f>
        <v>0</v>
      </c>
      <c r="J30" s="1200"/>
      <c r="K30" s="1200"/>
      <c r="L30" s="1200"/>
      <c r="M30" s="1200"/>
      <c r="N30" s="1200"/>
      <c r="O30" s="1200"/>
      <c r="P30" s="1200"/>
      <c r="Q30" s="1200"/>
      <c r="R30" s="1200"/>
      <c r="S30" s="1200"/>
      <c r="T30" s="1200"/>
      <c r="U30" s="1201"/>
    </row>
    <row r="31" spans="1:21" x14ac:dyDescent="0.3">
      <c r="A31" s="40" t="s">
        <v>803</v>
      </c>
      <c r="B31" s="41"/>
      <c r="C31" s="43"/>
      <c r="D31" s="43"/>
      <c r="E31" s="43"/>
      <c r="F31" s="43"/>
      <c r="G31" s="43"/>
      <c r="H31" s="44"/>
      <c r="I31" s="1199">
        <f>'SPECIAL PACKAGE'!F20</f>
        <v>2296362.2511436595</v>
      </c>
      <c r="J31" s="1200"/>
      <c r="K31" s="1200"/>
      <c r="L31" s="1200"/>
      <c r="M31" s="1200"/>
      <c r="N31" s="1200"/>
      <c r="O31" s="1200"/>
      <c r="P31" s="1200"/>
      <c r="Q31" s="1200"/>
      <c r="R31" s="1200"/>
      <c r="S31" s="1200"/>
      <c r="T31" s="1200"/>
      <c r="U31" s="1201"/>
    </row>
    <row r="32" spans="1:21" x14ac:dyDescent="0.3">
      <c r="A32" s="40" t="s">
        <v>41</v>
      </c>
      <c r="B32" s="41"/>
      <c r="C32" s="43"/>
      <c r="D32" s="43"/>
      <c r="E32" s="43"/>
      <c r="F32" s="43"/>
      <c r="G32" s="43"/>
      <c r="H32" s="44"/>
      <c r="I32" s="1199">
        <f>'SPECIAL PACKAGE'!F22</f>
        <v>22967715.848782662</v>
      </c>
      <c r="J32" s="1200"/>
      <c r="K32" s="1200"/>
      <c r="L32" s="1200"/>
      <c r="M32" s="1200"/>
      <c r="N32" s="1200"/>
      <c r="O32" s="1200"/>
      <c r="P32" s="1200"/>
      <c r="Q32" s="1200"/>
      <c r="R32" s="1200"/>
      <c r="S32" s="1200"/>
      <c r="T32" s="1200"/>
      <c r="U32" s="1201"/>
    </row>
    <row r="34" spans="1:21" x14ac:dyDescent="0.3">
      <c r="A34" s="74" t="s">
        <v>848</v>
      </c>
      <c r="B34" s="45"/>
      <c r="C34" s="45"/>
      <c r="D34" s="45"/>
      <c r="E34" s="45"/>
      <c r="F34" s="45"/>
      <c r="G34" s="46"/>
      <c r="H34" s="46"/>
      <c r="I34" s="46"/>
      <c r="J34" s="46"/>
      <c r="K34" s="46"/>
      <c r="L34" s="46"/>
      <c r="M34" s="46"/>
      <c r="N34" s="46"/>
      <c r="O34" s="46"/>
      <c r="P34" s="46"/>
      <c r="Q34" s="46"/>
      <c r="R34" s="46"/>
      <c r="S34" s="46"/>
      <c r="T34" s="46"/>
      <c r="U34" s="47"/>
    </row>
    <row r="35" spans="1:21" ht="4.5" customHeight="1" x14ac:dyDescent="0.3">
      <c r="A35" s="34"/>
      <c r="B35" s="18"/>
      <c r="C35" s="18"/>
      <c r="D35" s="18"/>
      <c r="E35" s="18"/>
      <c r="F35" s="18"/>
      <c r="G35" s="18"/>
      <c r="H35" s="18"/>
      <c r="I35" s="18"/>
      <c r="J35" s="18"/>
      <c r="K35" s="18"/>
      <c r="L35" s="18"/>
      <c r="M35" s="18"/>
      <c r="N35" s="18"/>
      <c r="O35" s="18"/>
      <c r="P35" s="18"/>
      <c r="Q35" s="18"/>
      <c r="R35" s="18"/>
      <c r="S35" s="18"/>
      <c r="T35" s="18"/>
      <c r="U35" s="35"/>
    </row>
    <row r="36" spans="1:21" x14ac:dyDescent="0.3">
      <c r="A36" s="34"/>
      <c r="B36" s="18"/>
      <c r="C36" s="18"/>
      <c r="D36" s="18" t="s">
        <v>849</v>
      </c>
      <c r="E36" s="18"/>
      <c r="F36" s="18"/>
      <c r="G36" s="18"/>
      <c r="H36" s="18"/>
      <c r="I36" s="18"/>
      <c r="J36" s="18"/>
      <c r="K36" s="18"/>
      <c r="L36" s="18"/>
      <c r="M36" s="18" t="s">
        <v>927</v>
      </c>
      <c r="O36" s="18"/>
      <c r="P36" s="18"/>
      <c r="Q36" s="18"/>
      <c r="R36" s="18"/>
      <c r="S36" s="18" t="s">
        <v>851</v>
      </c>
      <c r="T36" s="18"/>
      <c r="U36" s="35"/>
    </row>
    <row r="37" spans="1:21" ht="4.5" customHeight="1" x14ac:dyDescent="0.3">
      <c r="A37" s="75"/>
      <c r="B37" s="32"/>
      <c r="C37" s="32"/>
      <c r="D37" s="32"/>
      <c r="E37" s="32"/>
      <c r="F37" s="32"/>
      <c r="G37" s="32"/>
      <c r="H37" s="32"/>
      <c r="I37" s="32"/>
      <c r="J37" s="32"/>
      <c r="K37" s="32"/>
      <c r="L37" s="32"/>
      <c r="M37" s="32"/>
      <c r="N37" s="32"/>
      <c r="O37" s="32"/>
      <c r="P37" s="32"/>
      <c r="Q37" s="32"/>
      <c r="R37" s="32"/>
      <c r="S37" s="32"/>
      <c r="T37" s="32"/>
      <c r="U37" s="76"/>
    </row>
    <row r="38" spans="1:21" ht="11.25" customHeight="1" x14ac:dyDescent="0.3"/>
    <row r="39" spans="1:21" x14ac:dyDescent="0.3">
      <c r="A39" s="6" t="s">
        <v>852</v>
      </c>
    </row>
    <row r="40" spans="1:21" ht="13.5" customHeight="1" x14ac:dyDescent="0.3">
      <c r="A40" s="88" t="s">
        <v>853</v>
      </c>
      <c r="B40" s="87"/>
      <c r="C40" s="1547" t="s">
        <v>854</v>
      </c>
      <c r="D40" s="1547"/>
      <c r="E40" s="1547"/>
      <c r="F40" s="1547"/>
      <c r="G40" s="1547"/>
      <c r="H40" s="1547"/>
      <c r="I40" s="1547"/>
      <c r="J40" s="1547"/>
      <c r="K40" s="1547"/>
      <c r="L40" s="1547"/>
      <c r="M40" s="1547"/>
      <c r="N40" s="1547"/>
      <c r="O40" s="1488" t="str">
        <f>IF(OR(LEN(FLOOR(T40,1))=13,FLOOR(T40,1)&lt;=0),"Out of range",PROPER(SUBSTITUTE(CONCATENATE(CHOOSE(MID(TEXT(INT(T40),REPT(0,12)),1,1)+1,"","one hundred ","two hundred ","three hundred ","four hundred ","five hundred ","six hundred ","seven hundred ","eight hundred ","nine hundred "),CHOOSE(MID(TEXT(INT(T40),REPT(0,12)),2,1)+1,"",CHOOSE(MID(TEXT(INT(T40),REPT(0,12)),3,1)+1,"ten","eleven","twelve","thirteen","fourteen","fifteen","sixteen","seventeen","eighteen","nineteen"),"twenty","thirty","forty","fifty","sixty","seventy","eighty","ninety"),IF(VALUE(MID(TEXT(INT(T40),REPT(0,12)),2,1))&gt;1,CHOOSE(MID(TEXT(INT(T40),REPT(0,12)),3,1)+1,"","-one","-two","-three","-four","-five","-six","-seven","-eight","-nine"),IF(VALUE(MID(TEXT(INT(T40),REPT(0,12)),2,1))=0,CHOOSE(MID(TEXT(INT(T40),REPT(0,12)),3,1)+1,"","one","two","three","four","five","six","seven","eight","nine"),"")),IF(T40&gt;=10^9," billion ",""),CHOOSE(MID(TEXT(INT(T40),REPT(0,12)),4,1)+1,"","one hundred ","two hundred ","three hundred ","four hundred ","five hundred ","six hundred ","seven hundred ","eight hundred ","nine hundred "),CHOOSE(MID(TEXT(INT(T40),REPT(0,12)),5,1)+1,"",CHOOSE(MID(TEXT(INT(T40),REPT(0,12)),6,1)+1,"ten","eleven","twelve","thirteen","fourteen","fifteen","sixteen","seventeen","eighteen","nineteen"),"twenty","thirty","forty","fifty","sixty","seventy","eighty","ninety"),IF(VALUE(MID(TEXT(INT(T40),REPT(0,12)),5,1))&gt;1,CHOOSE(MID(TEXT(INT(T40),REPT(0,12)),6,1)+1,"","-one","-two","-three","-four","-five","-six","-seven","-eight","-nine"),IF(VALUE(MID(TEXT(INT(T40),REPT(0,12)),5,1))=0,CHOOSE(MID(TEXT(INT(T40),REPT(0,12)),6,1)+1,"","one","two","three","four","five","six","seven","eight","nine"),"")),IF(VALUE(MID(TEXT(INT(T40),REPT(0,12)),4,3))&gt;0," million ",""),CHOOSE(MID(TEXT(INT(T40),REPT(0,12)),7,1)+1,"","one hundred ","two hundred ","three hundred ","four hundred ","five hundred ","six hundred ","seven hundred ","eight hundred ","nine hundred "),CHOOSE(MID(TEXT(INT(T40),REPT(0,12)),8,1)+1,"",CHOOSE(MID(TEXT(INT(T40),REPT(0,12)),9,1)+1,"ten","eleven","twelve","thirteen","fourteen","fifteen","sixteen","seventeen","eighteen","nineteen"),"twenty","thirty","forty","fifty","sixty","seventy","eighty","ninety"),IF(VALUE(MID(TEXT(INT(T40),REPT(0,12)),8,1))&gt;1,CHOOSE(MID(TEXT(INT(T40),REPT(0,12)),9,1)+1,"","-one","-two","-three","-four","-five","-six","-seven","-eight","-nine"),IF(VALUE(MID(TEXT(INT(T40),REPT(0,12)),8,1))=0,CHOOSE(MID(TEXT(INT(T40),REPT(0,12)),9,1)+1,"","one","two","three","four","five","six","seven","eight","nine"),"")),IF(VALUE(MID(TEXT(INT(T40),REPT(0,12)),7,3))," thousand ",""),CHOOSE(MID(TEXT(INT(T40),REPT(0,12)),10,1)+1,"","one hundred ","two hundred ","three hundred ","four hundred ","five hundred ","six hundred ","seven hundred ","eight hundred ","nine hundred "),CHOOSE(MID(TEXT(INT(T40),REPT(0,12)),11,1)+1,"",CHOOSE(MID(TEXT(INT(T40),REPT(0,12)),12,1)+1,"ten","eleven","twelve","thirteen","fourteen","fifteen","sixteen","seventeen","eighteen","nineteen"),"twenty","thirty","forty","fifty","sixty","seventy","eighty","ninety"),IF(VALUE(MID(TEXT(INT(T40),REPT(0,12)),11,1))&gt;1,CHOOSE(MID(TEXT(INT(T40),REPT(0,12)),12,1)+1,"","-one","-two","-three","-four","-five","-six","-seven","-eight","-nine"),IF(VALUE(MID(TEXT(INT(T40),REPT(0,12)),11,1))=0,CHOOSE(MID(TEXT(INT(T40),REPT(0,12)),12,1)+1,"","one","two","three","four","five","six","seven","eight","nine"),""))),"  "," ")&amp;IF(FLOOR(T40,1)&gt;1," PESOS"," dollar"))&amp;IF(ISERROR(FIND(".",T40,1)),""," and "&amp;PROPER(IF(LEN(LEFT(TRIM(MID(SUBSTITUTE([22]Sheet1!A2,".",REPT(" ",255)),255,200)),2))=1,CHOOSE(1*LEFT(TRIM(MID(SUBSTITUTE([22]Sheet1!A2,".",REPT(" ",255)),255,200)),2),"ten","twenty","thirty","forty","fifty","sixty","seventy","eighty","ninety")&amp;" cents","")&amp;CONCATENATE(CHOOSE(MID(TEXT(INT(LEFT(TRIM(MID(SUBSTITUTE([22]Sheet1!A2,".",REPT(" ",255)),255,200)),2)),REPT(0,12)),11,1)+1,"",CHOOSE(MID(TEXT(INT(LEFT(TRIM(MID(SUBSTITUTE([22]Sheet1!A2,".",REPT(" ",255)),255,200)),2)),REPT(0,12)),12,1)+1,"ten","eleven","twelve","thirteen","fourteen","fifteen","sixteen","seventeen","eighteen","nineteen")&amp;" cents","twenty","thirty","forty","fifty","sixty","seventy","eighty","ninety"),IF(VALUE(MID(TEXT(INT(LEFT(TRIM(MID(SUBSTITUTE([22]Sheet1!A2,".",REPT(" ",255)),255,200)),2)),REPT(0,12)),11,1))&gt;1,CHOOSE(MID(TEXT(INT(LEFT(TRIM(MID(SUBSTITUTE([22]Sheet1!A2,".",REPT(" ",255)),255,200)),2)),REPT(0,12)),12,1)+1,"","-one","-two","-three","-four","-five","-six","-seven","-eight","-nine")&amp;" cents",IF(LEFT(TRIM(MID(SUBSTITUTE([22]Sheet1!A2,".",REPT(" ",255)),255,200)),2)="01","one cent",IF(LEFT(TRIM(MID(SUBSTITUTE([22]Sheet1!A2,".",REPT(" ",255)),255,200)),1)="0",CHOOSE(MID(TEXT(INT(LEFT(TRIM(MID(SUBSTITUTE([22]Sheet1!A2,".",REPT(" ",255)),255,200)),2)),REPT(0,12)),12,1)+1,"","one","two","three","four","five","six","seven","eight","nine")&amp;" cents","")))))))</f>
        <v>Fifty Thousand  Pesos</v>
      </c>
      <c r="P40" s="1488"/>
      <c r="Q40" s="1488"/>
      <c r="R40" s="1488"/>
      <c r="S40" s="61" t="s">
        <v>928</v>
      </c>
      <c r="T40" s="720">
        <f>'SPECIAL PACKAGE'!F26</f>
        <v>50000</v>
      </c>
      <c r="U40" s="61" t="s">
        <v>856</v>
      </c>
    </row>
    <row r="41" spans="1:21" ht="13.5" customHeight="1" x14ac:dyDescent="0.3">
      <c r="A41" s="77"/>
      <c r="B41" s="78"/>
      <c r="C41" s="78"/>
      <c r="D41" s="78"/>
      <c r="E41" s="78"/>
      <c r="F41" s="78"/>
      <c r="G41" s="78"/>
      <c r="H41" s="78"/>
      <c r="I41" s="78"/>
      <c r="J41" s="78"/>
      <c r="K41" s="78"/>
      <c r="L41" s="78"/>
      <c r="M41" s="78"/>
      <c r="N41" s="78"/>
      <c r="O41" s="84"/>
      <c r="P41" s="84"/>
      <c r="Q41" s="84"/>
      <c r="R41" s="84"/>
      <c r="S41" s="61"/>
      <c r="T41" s="85"/>
      <c r="U41" s="61"/>
    </row>
    <row r="42" spans="1:21" ht="13.5" customHeight="1" x14ac:dyDescent="0.3">
      <c r="A42" s="77"/>
      <c r="B42" s="78"/>
      <c r="C42" s="78"/>
      <c r="D42" s="78"/>
      <c r="E42" s="78"/>
      <c r="F42" s="78"/>
      <c r="G42" s="78"/>
      <c r="H42" s="78"/>
      <c r="I42" s="78"/>
      <c r="J42" s="78"/>
      <c r="K42" s="78"/>
      <c r="L42" s="78"/>
      <c r="M42" s="78"/>
      <c r="N42" s="78"/>
      <c r="O42" s="84"/>
      <c r="P42" s="84"/>
      <c r="Q42" s="84"/>
      <c r="R42" s="84"/>
      <c r="S42" s="61"/>
      <c r="T42" s="85"/>
      <c r="U42" s="61"/>
    </row>
    <row r="43" spans="1:21" ht="13.5" customHeight="1" x14ac:dyDescent="0.3">
      <c r="A43" s="77"/>
      <c r="B43" s="78"/>
      <c r="C43" s="78"/>
      <c r="D43" s="78"/>
      <c r="E43" s="78"/>
      <c r="F43" s="78"/>
      <c r="G43" s="78"/>
      <c r="H43" s="78"/>
      <c r="I43" s="78"/>
      <c r="J43" s="78"/>
      <c r="K43" s="78"/>
      <c r="L43" s="78"/>
      <c r="M43" s="78"/>
      <c r="N43" s="78"/>
      <c r="O43" s="84"/>
      <c r="P43" s="84"/>
      <c r="Q43" s="84"/>
      <c r="R43" s="84"/>
      <c r="S43" s="61"/>
      <c r="T43" s="85"/>
      <c r="U43" s="61"/>
    </row>
    <row r="44" spans="1:21" ht="13.5" customHeight="1" x14ac:dyDescent="0.3">
      <c r="A44" s="77"/>
      <c r="B44" s="78"/>
      <c r="C44" s="78"/>
      <c r="D44" s="78"/>
      <c r="E44" s="78"/>
      <c r="F44" s="78"/>
      <c r="G44" s="78"/>
      <c r="H44" s="78"/>
      <c r="I44" s="78"/>
      <c r="J44" s="78"/>
      <c r="K44" s="78"/>
      <c r="L44" s="78"/>
      <c r="M44" s="78"/>
      <c r="N44" s="78"/>
      <c r="O44" s="84"/>
      <c r="P44" s="84"/>
      <c r="Q44" s="84"/>
      <c r="R44" s="84"/>
      <c r="S44" s="61"/>
      <c r="T44" s="85"/>
      <c r="U44" s="61"/>
    </row>
    <row r="45" spans="1:21" ht="13.5" customHeight="1" x14ac:dyDescent="0.3">
      <c r="A45" s="77"/>
      <c r="B45" s="78"/>
      <c r="C45" s="78"/>
      <c r="D45" s="78"/>
      <c r="E45" s="78"/>
      <c r="F45" s="78"/>
      <c r="G45" s="78"/>
      <c r="H45" s="78"/>
      <c r="I45" s="78"/>
      <c r="J45" s="78"/>
      <c r="K45" s="78"/>
      <c r="L45" s="78"/>
      <c r="M45" s="78"/>
      <c r="N45" s="78"/>
      <c r="O45" s="84"/>
      <c r="P45" s="84"/>
      <c r="Q45" s="84"/>
      <c r="R45" s="84"/>
      <c r="S45" s="61"/>
      <c r="T45" s="85"/>
      <c r="U45" s="61"/>
    </row>
    <row r="46" spans="1:21" ht="13.5" customHeight="1" x14ac:dyDescent="0.3">
      <c r="A46" s="77"/>
      <c r="B46" s="78"/>
      <c r="C46" s="78"/>
      <c r="D46" s="78"/>
      <c r="E46" s="78"/>
      <c r="F46" s="78"/>
      <c r="G46" s="78"/>
      <c r="H46" s="78"/>
      <c r="I46" s="78"/>
      <c r="J46" s="78"/>
      <c r="K46" s="78"/>
      <c r="L46" s="78"/>
      <c r="M46" s="78"/>
      <c r="N46" s="78"/>
      <c r="O46" s="84"/>
      <c r="P46" s="84"/>
      <c r="Q46" s="84"/>
      <c r="R46" s="84"/>
      <c r="S46" s="61"/>
      <c r="T46" s="85"/>
      <c r="U46" s="61"/>
    </row>
    <row r="47" spans="1:21" ht="13.5" customHeight="1" x14ac:dyDescent="0.3">
      <c r="A47" s="77"/>
      <c r="B47" s="78"/>
      <c r="C47" s="78"/>
      <c r="D47" s="78"/>
      <c r="E47" s="78"/>
      <c r="F47" s="78"/>
      <c r="G47" s="78"/>
      <c r="H47" s="78"/>
      <c r="I47" s="78"/>
      <c r="J47" s="78"/>
      <c r="K47" s="78"/>
      <c r="L47" s="78"/>
      <c r="M47" s="78"/>
      <c r="N47" s="78"/>
      <c r="O47" s="84"/>
      <c r="P47" s="84"/>
      <c r="Q47" s="84"/>
      <c r="R47" s="84"/>
      <c r="S47" s="61"/>
      <c r="T47" s="85"/>
      <c r="U47" s="61"/>
    </row>
    <row r="48" spans="1:21" ht="13.5" customHeight="1" x14ac:dyDescent="0.3">
      <c r="A48" s="77"/>
      <c r="B48" s="78"/>
      <c r="C48" s="78"/>
      <c r="D48" s="78"/>
      <c r="E48" s="78"/>
      <c r="F48" s="78"/>
      <c r="G48" s="78"/>
      <c r="H48" s="78"/>
      <c r="I48" s="78"/>
      <c r="J48" s="78"/>
      <c r="K48" s="78"/>
      <c r="L48" s="78"/>
      <c r="M48" s="78"/>
      <c r="N48" s="78"/>
      <c r="O48" s="84"/>
      <c r="P48" s="84"/>
      <c r="Q48" s="84"/>
      <c r="R48" s="84"/>
      <c r="S48" s="61"/>
      <c r="T48" s="85"/>
      <c r="U48" s="61"/>
    </row>
    <row r="49" spans="1:21" ht="13.5" customHeight="1" x14ac:dyDescent="0.3">
      <c r="A49" s="77"/>
      <c r="B49" s="78"/>
      <c r="C49" s="78"/>
      <c r="D49" s="78"/>
      <c r="E49" s="78"/>
      <c r="F49" s="78"/>
      <c r="G49" s="78"/>
      <c r="H49" s="78"/>
      <c r="I49" s="78"/>
      <c r="J49" s="78"/>
      <c r="K49" s="78"/>
      <c r="L49" s="78"/>
      <c r="M49" s="78"/>
      <c r="N49" s="78"/>
      <c r="O49" s="84"/>
      <c r="P49" s="84"/>
      <c r="Q49" s="84"/>
      <c r="R49" s="84"/>
      <c r="S49" s="61"/>
      <c r="T49" s="85"/>
      <c r="U49" s="61"/>
    </row>
    <row r="50" spans="1:21" ht="13.5" customHeight="1" x14ac:dyDescent="0.3">
      <c r="A50" s="77"/>
      <c r="B50" s="78"/>
      <c r="C50" s="78"/>
      <c r="D50" s="78"/>
      <c r="E50" s="78"/>
      <c r="F50" s="78"/>
      <c r="G50" s="78"/>
      <c r="H50" s="78"/>
      <c r="I50" s="78"/>
      <c r="J50" s="78"/>
      <c r="K50" s="78"/>
      <c r="L50" s="78"/>
      <c r="M50" s="78"/>
      <c r="N50" s="78"/>
      <c r="O50" s="84"/>
      <c r="P50" s="84"/>
      <c r="Q50" s="84"/>
      <c r="R50" s="84"/>
      <c r="S50" s="61"/>
      <c r="T50" s="85"/>
      <c r="U50" s="61"/>
    </row>
    <row r="51" spans="1:21" ht="13.5" customHeight="1" x14ac:dyDescent="0.3">
      <c r="A51" s="77"/>
      <c r="B51" s="78"/>
      <c r="C51" s="78"/>
      <c r="D51" s="78"/>
      <c r="E51" s="78"/>
      <c r="F51" s="78"/>
      <c r="G51" s="78"/>
      <c r="H51" s="78"/>
      <c r="I51" s="78"/>
      <c r="J51" s="78"/>
      <c r="K51" s="78"/>
      <c r="L51" s="78"/>
      <c r="M51" s="78"/>
      <c r="N51" s="78"/>
      <c r="O51" s="84"/>
      <c r="P51" s="84"/>
      <c r="Q51" s="84"/>
      <c r="R51" s="84"/>
      <c r="S51" s="61"/>
      <c r="T51" s="85"/>
      <c r="U51" s="61"/>
    </row>
    <row r="52" spans="1:21" ht="13.5" customHeight="1" x14ac:dyDescent="0.3">
      <c r="A52" s="77"/>
      <c r="B52" s="78"/>
      <c r="C52" s="78"/>
      <c r="D52" s="78"/>
      <c r="E52" s="78"/>
      <c r="F52" s="78"/>
      <c r="G52" s="78"/>
      <c r="H52" s="78"/>
      <c r="I52" s="78"/>
      <c r="J52" s="78"/>
      <c r="K52" s="78"/>
      <c r="L52" s="78"/>
      <c r="M52" s="78"/>
      <c r="N52" s="78"/>
      <c r="O52" s="84"/>
      <c r="P52" s="84"/>
      <c r="Q52" s="84"/>
      <c r="R52" s="84"/>
      <c r="S52" s="61"/>
      <c r="T52" s="85"/>
      <c r="U52" s="61"/>
    </row>
    <row r="53" spans="1:21" ht="13.5" customHeight="1" x14ac:dyDescent="0.3">
      <c r="A53" s="77"/>
      <c r="B53" s="78"/>
      <c r="C53" s="78"/>
      <c r="D53" s="78"/>
      <c r="E53" s="78"/>
      <c r="F53" s="78"/>
      <c r="G53" s="78"/>
      <c r="H53" s="78"/>
      <c r="I53" s="78"/>
      <c r="J53" s="78"/>
      <c r="K53" s="78"/>
      <c r="L53" s="78"/>
      <c r="M53" s="78"/>
      <c r="N53" s="78"/>
      <c r="O53" s="84"/>
      <c r="P53" s="84"/>
      <c r="Q53" s="84"/>
      <c r="R53" s="84"/>
      <c r="S53" s="61"/>
      <c r="T53" s="85"/>
      <c r="U53" s="61"/>
    </row>
    <row r="54" spans="1:21" ht="13.5" customHeight="1" x14ac:dyDescent="0.3">
      <c r="A54" s="77"/>
      <c r="B54" s="78"/>
      <c r="C54" s="78"/>
      <c r="D54" s="78"/>
      <c r="E54" s="78"/>
      <c r="F54" s="78"/>
      <c r="G54" s="78"/>
      <c r="H54" s="78"/>
      <c r="I54" s="78"/>
      <c r="J54" s="78"/>
      <c r="K54" s="78"/>
      <c r="L54" s="78"/>
      <c r="M54" s="78"/>
      <c r="N54" s="78"/>
      <c r="O54" s="84"/>
      <c r="P54" s="84"/>
      <c r="Q54" s="84"/>
      <c r="R54" s="84"/>
      <c r="S54" s="61"/>
      <c r="T54" s="85"/>
      <c r="U54" s="61"/>
    </row>
    <row r="55" spans="1:21" ht="13.5" customHeight="1" x14ac:dyDescent="0.3">
      <c r="A55" s="77"/>
      <c r="B55" s="78"/>
      <c r="C55" s="78"/>
      <c r="D55" s="78"/>
      <c r="E55" s="78"/>
      <c r="F55" s="78"/>
      <c r="G55" s="78"/>
      <c r="H55" s="78"/>
      <c r="I55" s="78"/>
      <c r="J55" s="78"/>
      <c r="K55" s="78"/>
      <c r="L55" s="78"/>
      <c r="M55" s="78"/>
      <c r="N55" s="78"/>
      <c r="O55" s="84"/>
      <c r="P55" s="84"/>
      <c r="Q55" s="84"/>
      <c r="R55" s="84"/>
      <c r="S55" s="61"/>
      <c r="T55" s="85"/>
      <c r="U55" s="61"/>
    </row>
    <row r="56" spans="1:21" ht="13.5" customHeight="1" x14ac:dyDescent="0.3">
      <c r="A56" s="77"/>
      <c r="B56" s="78"/>
      <c r="C56" s="78"/>
      <c r="D56" s="78"/>
      <c r="E56" s="78"/>
      <c r="F56" s="78"/>
      <c r="G56" s="78"/>
      <c r="H56" s="78"/>
      <c r="I56" s="78"/>
      <c r="J56" s="78"/>
      <c r="K56" s="78"/>
      <c r="L56" s="78"/>
      <c r="M56" s="78"/>
      <c r="N56" s="78"/>
      <c r="O56" s="84"/>
      <c r="P56" s="84"/>
      <c r="Q56" s="84"/>
      <c r="R56" s="84"/>
      <c r="S56" s="61"/>
      <c r="T56" s="85"/>
      <c r="U56" s="61"/>
    </row>
    <row r="57" spans="1:21" ht="13.5" customHeight="1" x14ac:dyDescent="0.3">
      <c r="A57" s="77"/>
      <c r="B57" s="78"/>
      <c r="C57" s="78"/>
      <c r="D57" s="78"/>
      <c r="E57" s="78"/>
      <c r="F57" s="78"/>
      <c r="G57" s="78"/>
      <c r="H57" s="78"/>
      <c r="I57" s="78"/>
      <c r="J57" s="78"/>
      <c r="K57" s="78"/>
      <c r="L57" s="78"/>
      <c r="M57" s="78"/>
      <c r="N57" s="78"/>
      <c r="O57" s="84"/>
      <c r="P57" s="84"/>
      <c r="Q57" s="84"/>
      <c r="R57" s="84"/>
      <c r="S57" s="61"/>
      <c r="T57" s="85"/>
      <c r="U57" s="61"/>
    </row>
    <row r="58" spans="1:21" ht="13.5" customHeight="1" x14ac:dyDescent="0.3">
      <c r="A58" s="77"/>
      <c r="B58" s="78"/>
      <c r="C58" s="78"/>
      <c r="D58" s="78"/>
      <c r="E58" s="78"/>
      <c r="F58" s="78"/>
      <c r="G58" s="78"/>
      <c r="H58" s="78"/>
      <c r="I58" s="78"/>
      <c r="J58" s="78"/>
      <c r="K58" s="78"/>
      <c r="L58" s="78"/>
      <c r="M58" s="78"/>
      <c r="N58" s="78"/>
      <c r="O58" s="84"/>
      <c r="P58" s="84"/>
      <c r="Q58" s="84"/>
      <c r="R58" s="84"/>
      <c r="S58" s="61"/>
      <c r="T58" s="85"/>
      <c r="U58" s="61"/>
    </row>
    <row r="59" spans="1:21" ht="13.5" customHeight="1" x14ac:dyDescent="0.3">
      <c r="A59" s="77"/>
      <c r="B59" s="78"/>
      <c r="C59" s="78"/>
      <c r="D59" s="78"/>
      <c r="E59" s="78"/>
      <c r="F59" s="78"/>
      <c r="G59" s="78"/>
      <c r="H59" s="78"/>
      <c r="I59" s="78"/>
      <c r="J59" s="78"/>
      <c r="K59" s="78"/>
      <c r="L59" s="78"/>
      <c r="M59" s="78"/>
      <c r="N59" s="78"/>
      <c r="O59" s="84"/>
      <c r="P59" s="84"/>
      <c r="Q59" s="84"/>
      <c r="R59" s="84"/>
      <c r="S59" s="61"/>
      <c r="T59" s="85"/>
      <c r="U59" s="61"/>
    </row>
    <row r="60" spans="1:21" ht="13.5" customHeight="1" x14ac:dyDescent="0.3">
      <c r="A60" s="77"/>
      <c r="B60" s="78"/>
      <c r="C60" s="78"/>
      <c r="D60" s="78"/>
      <c r="E60" s="78"/>
      <c r="F60" s="78"/>
      <c r="G60" s="78"/>
      <c r="H60" s="78"/>
      <c r="I60" s="78"/>
      <c r="J60" s="78"/>
      <c r="K60" s="78"/>
      <c r="L60" s="78"/>
      <c r="M60" s="78"/>
      <c r="N60" s="78"/>
      <c r="O60" s="84"/>
      <c r="P60" s="84"/>
      <c r="Q60" s="84"/>
      <c r="R60" s="84"/>
      <c r="S60" s="61"/>
      <c r="T60" s="85"/>
      <c r="U60" s="61"/>
    </row>
    <row r="61" spans="1:21" ht="13.5" customHeight="1" x14ac:dyDescent="0.3">
      <c r="A61" s="77"/>
      <c r="B61" s="78"/>
      <c r="C61" s="78"/>
      <c r="D61" s="78"/>
      <c r="E61" s="78"/>
      <c r="F61" s="78"/>
      <c r="G61" s="78"/>
      <c r="H61" s="78"/>
      <c r="I61" s="78"/>
      <c r="J61" s="78"/>
      <c r="K61" s="78"/>
      <c r="L61" s="78"/>
      <c r="M61" s="78"/>
      <c r="N61" s="78"/>
      <c r="O61" s="84"/>
      <c r="P61" s="84"/>
      <c r="Q61" s="84"/>
      <c r="R61" s="84"/>
      <c r="S61" s="61"/>
      <c r="T61" s="85"/>
      <c r="U61" s="61"/>
    </row>
    <row r="62" spans="1:21" ht="13.5" customHeight="1" x14ac:dyDescent="0.3">
      <c r="A62" s="77"/>
      <c r="B62" s="78"/>
      <c r="C62" s="78"/>
      <c r="D62" s="78"/>
      <c r="E62" s="78"/>
      <c r="F62" s="78"/>
      <c r="G62" s="78"/>
      <c r="H62" s="78"/>
      <c r="I62" s="78"/>
      <c r="J62" s="78"/>
      <c r="K62" s="78"/>
      <c r="L62" s="78"/>
      <c r="M62" s="78"/>
      <c r="N62" s="78"/>
      <c r="O62" s="84"/>
      <c r="P62" s="84"/>
      <c r="Q62" s="84"/>
      <c r="R62" s="84"/>
      <c r="S62" s="61"/>
      <c r="T62" s="85"/>
      <c r="U62" s="61"/>
    </row>
    <row r="63" spans="1:21" ht="13.5" customHeight="1" x14ac:dyDescent="0.3">
      <c r="A63" s="77"/>
      <c r="B63" s="78"/>
      <c r="C63" s="78"/>
      <c r="D63" s="78"/>
      <c r="E63" s="78"/>
      <c r="F63" s="78"/>
      <c r="G63" s="78"/>
      <c r="H63" s="78"/>
      <c r="I63" s="78"/>
      <c r="J63" s="78"/>
      <c r="K63" s="78"/>
      <c r="L63" s="78"/>
      <c r="M63" s="78"/>
      <c r="N63" s="78"/>
      <c r="O63" s="84"/>
      <c r="P63" s="84"/>
      <c r="Q63" s="84"/>
      <c r="R63" s="84"/>
      <c r="S63" s="61"/>
      <c r="T63" s="85"/>
      <c r="U63" s="61"/>
    </row>
    <row r="64" spans="1:21" ht="13.5" customHeight="1" x14ac:dyDescent="0.3">
      <c r="A64" s="77"/>
      <c r="B64" s="78"/>
      <c r="C64" s="78"/>
      <c r="D64" s="78"/>
      <c r="E64" s="78"/>
      <c r="F64" s="78"/>
      <c r="G64" s="78"/>
      <c r="H64" s="78"/>
      <c r="I64" s="78"/>
      <c r="J64" s="78"/>
      <c r="K64" s="78"/>
      <c r="L64" s="78"/>
      <c r="M64" s="78"/>
      <c r="N64" s="78"/>
      <c r="O64" s="84"/>
      <c r="P64" s="84"/>
      <c r="Q64" s="84"/>
      <c r="R64" s="84"/>
      <c r="S64" s="61"/>
      <c r="T64" s="85"/>
      <c r="U64" s="61"/>
    </row>
    <row r="65" spans="1:21" ht="13.5" customHeight="1" x14ac:dyDescent="0.3">
      <c r="A65" s="77"/>
      <c r="B65" s="78"/>
      <c r="C65" s="78"/>
      <c r="D65" s="78"/>
      <c r="E65" s="78"/>
      <c r="F65" s="78"/>
      <c r="G65" s="78"/>
      <c r="H65" s="78"/>
      <c r="I65" s="78"/>
      <c r="J65" s="78"/>
      <c r="K65" s="78"/>
      <c r="L65" s="78"/>
      <c r="M65" s="78"/>
      <c r="N65" s="78"/>
      <c r="O65" s="84"/>
      <c r="P65" s="84"/>
      <c r="Q65" s="84"/>
      <c r="R65" s="84"/>
      <c r="S65" s="61"/>
      <c r="T65" s="85"/>
      <c r="U65" s="61"/>
    </row>
    <row r="66" spans="1:21" ht="13.5" customHeight="1" x14ac:dyDescent="0.3">
      <c r="A66" s="77"/>
      <c r="B66" s="78"/>
      <c r="C66" s="78"/>
      <c r="D66" s="78"/>
      <c r="E66" s="78"/>
      <c r="F66" s="78"/>
      <c r="G66" s="78"/>
      <c r="H66" s="78"/>
      <c r="I66" s="78"/>
      <c r="J66" s="78"/>
      <c r="K66" s="78"/>
      <c r="L66" s="78"/>
      <c r="M66" s="78"/>
      <c r="N66" s="78"/>
      <c r="O66" s="84"/>
      <c r="P66" s="84"/>
      <c r="Q66" s="84"/>
      <c r="R66" s="84"/>
      <c r="S66" s="61"/>
      <c r="T66" s="85"/>
      <c r="U66" s="61"/>
    </row>
    <row r="67" spans="1:21" ht="13.5" customHeight="1" x14ac:dyDescent="0.3">
      <c r="A67" s="77"/>
      <c r="B67" s="78"/>
      <c r="C67" s="78"/>
      <c r="D67" s="78"/>
      <c r="E67" s="78"/>
      <c r="F67" s="78"/>
      <c r="G67" s="78"/>
      <c r="H67" s="78"/>
      <c r="I67" s="78"/>
      <c r="J67" s="78"/>
      <c r="K67" s="78"/>
      <c r="L67" s="78"/>
      <c r="M67" s="78"/>
      <c r="N67" s="78"/>
      <c r="O67" s="84"/>
      <c r="P67" s="84"/>
      <c r="Q67" s="84"/>
      <c r="R67" s="84"/>
      <c r="S67" s="61"/>
      <c r="T67" s="85"/>
      <c r="U67" s="61"/>
    </row>
    <row r="68" spans="1:21" ht="13.5" customHeight="1" x14ac:dyDescent="0.3">
      <c r="A68" s="77"/>
      <c r="B68" s="78"/>
      <c r="C68" s="78"/>
      <c r="D68" s="78"/>
      <c r="E68" s="78"/>
      <c r="F68" s="78"/>
      <c r="G68" s="78"/>
      <c r="H68" s="78"/>
      <c r="I68" s="78"/>
      <c r="J68" s="78"/>
      <c r="K68" s="78"/>
      <c r="L68" s="78"/>
      <c r="M68" s="78"/>
      <c r="N68" s="78"/>
      <c r="O68" s="84"/>
      <c r="P68" s="84"/>
      <c r="Q68" s="84"/>
      <c r="R68" s="84"/>
      <c r="S68" s="61"/>
      <c r="T68" s="85"/>
      <c r="U68" s="61"/>
    </row>
    <row r="69" spans="1:21" ht="13.5" customHeight="1" x14ac:dyDescent="0.3">
      <c r="A69" s="77"/>
      <c r="B69" s="78"/>
      <c r="C69" s="78"/>
      <c r="D69" s="78"/>
      <c r="E69" s="78"/>
      <c r="F69" s="78"/>
      <c r="G69" s="78"/>
      <c r="H69" s="78"/>
      <c r="I69" s="78"/>
      <c r="J69" s="78"/>
      <c r="K69" s="78"/>
      <c r="L69" s="78"/>
      <c r="M69" s="78"/>
      <c r="N69" s="78"/>
      <c r="O69" s="84"/>
      <c r="P69" s="84"/>
      <c r="Q69" s="84"/>
      <c r="R69" s="84"/>
      <c r="S69" s="61"/>
      <c r="T69" s="85"/>
      <c r="U69" s="61"/>
    </row>
    <row r="70" spans="1:21" ht="13.5" customHeight="1" x14ac:dyDescent="0.3">
      <c r="A70" s="77"/>
      <c r="B70" s="78"/>
      <c r="C70" s="78"/>
      <c r="D70" s="78"/>
      <c r="E70" s="78"/>
      <c r="F70" s="78"/>
      <c r="G70" s="78"/>
      <c r="H70" s="78"/>
      <c r="I70" s="78"/>
      <c r="J70" s="78"/>
      <c r="K70" s="78"/>
      <c r="L70" s="78"/>
      <c r="M70" s="78"/>
      <c r="N70" s="78"/>
      <c r="O70" s="84"/>
      <c r="P70" s="84"/>
      <c r="Q70" s="84"/>
      <c r="R70" s="84"/>
      <c r="S70" s="61"/>
      <c r="T70" s="85"/>
      <c r="U70" s="61"/>
    </row>
    <row r="71" spans="1:21" ht="6.75" customHeight="1" x14ac:dyDescent="0.3">
      <c r="A71" s="50"/>
      <c r="B71" s="50"/>
      <c r="C71" s="50"/>
      <c r="D71" s="50"/>
      <c r="E71" s="50"/>
      <c r="F71" s="50"/>
      <c r="G71" s="50"/>
      <c r="H71" s="50"/>
      <c r="I71" s="50"/>
      <c r="J71" s="50"/>
      <c r="K71" s="50"/>
      <c r="L71" s="50"/>
      <c r="M71" s="50"/>
      <c r="N71" s="50"/>
      <c r="O71" s="50"/>
      <c r="P71" s="50"/>
      <c r="Q71" s="50"/>
      <c r="R71" s="50"/>
      <c r="S71" s="50"/>
      <c r="T71" s="50"/>
      <c r="U71" s="50"/>
    </row>
    <row r="72" spans="1:21" x14ac:dyDescent="0.3">
      <c r="A72" s="50"/>
      <c r="B72" s="50"/>
      <c r="C72" s="50"/>
      <c r="D72" s="50"/>
      <c r="E72" s="50"/>
      <c r="F72" s="50"/>
      <c r="G72" s="50"/>
      <c r="H72" s="50"/>
      <c r="I72" s="50"/>
      <c r="J72" s="50"/>
      <c r="K72" s="50"/>
      <c r="L72" s="50"/>
      <c r="M72" s="50"/>
      <c r="N72" s="50"/>
      <c r="O72" s="50"/>
      <c r="P72" s="50"/>
      <c r="Q72" s="50"/>
      <c r="R72" s="50"/>
      <c r="S72" s="50"/>
      <c r="T72" s="50"/>
      <c r="U72" s="50"/>
    </row>
    <row r="73" spans="1:21" x14ac:dyDescent="0.3">
      <c r="A73" s="50"/>
      <c r="B73" s="50"/>
      <c r="C73" s="50"/>
      <c r="D73" s="50"/>
      <c r="E73" s="50"/>
      <c r="F73" s="50"/>
      <c r="G73" s="50"/>
      <c r="H73" s="50"/>
      <c r="I73" s="50"/>
      <c r="J73" s="50"/>
      <c r="K73" s="50"/>
      <c r="L73" s="50"/>
      <c r="M73" s="50"/>
      <c r="N73" s="50"/>
      <c r="O73" s="50"/>
      <c r="P73" s="50"/>
      <c r="Q73" s="50"/>
      <c r="R73" s="50"/>
      <c r="S73" s="50"/>
      <c r="T73" s="50"/>
      <c r="U73" s="50"/>
    </row>
    <row r="74" spans="1:21" x14ac:dyDescent="0.3">
      <c r="A74" s="50"/>
      <c r="B74" s="50"/>
      <c r="C74" s="50"/>
      <c r="D74" s="50"/>
      <c r="E74" s="50"/>
      <c r="F74" s="50"/>
      <c r="G74" s="50"/>
      <c r="H74" s="50"/>
      <c r="I74" s="50"/>
      <c r="J74" s="50"/>
      <c r="K74" s="50"/>
      <c r="L74" s="50"/>
      <c r="M74" s="50"/>
      <c r="N74" s="50"/>
      <c r="O74" s="50"/>
      <c r="P74" s="50"/>
      <c r="Q74" s="50"/>
      <c r="R74" s="50"/>
      <c r="S74" s="50"/>
      <c r="T74" s="50"/>
      <c r="U74" s="50"/>
    </row>
    <row r="75" spans="1:21" x14ac:dyDescent="0.3">
      <c r="A75" s="50"/>
      <c r="B75" s="50"/>
      <c r="C75" s="50"/>
      <c r="D75" s="50"/>
      <c r="E75" s="50"/>
      <c r="F75" s="50"/>
      <c r="G75" s="50"/>
      <c r="H75" s="50"/>
      <c r="I75" s="50"/>
      <c r="J75" s="50"/>
      <c r="K75" s="50"/>
      <c r="L75" s="50"/>
      <c r="M75" s="50"/>
      <c r="N75" s="50"/>
      <c r="O75" s="50"/>
      <c r="P75" s="50"/>
      <c r="Q75" s="50"/>
      <c r="R75" s="50"/>
      <c r="S75" s="50"/>
      <c r="T75" s="50"/>
      <c r="U75" s="50"/>
    </row>
    <row r="76" spans="1:21" x14ac:dyDescent="0.3">
      <c r="A76" s="50"/>
      <c r="B76" s="50"/>
      <c r="C76" s="50"/>
      <c r="D76" s="50"/>
      <c r="E76" s="50"/>
      <c r="F76" s="50"/>
      <c r="G76" s="50"/>
      <c r="H76" s="50"/>
      <c r="I76" s="50"/>
      <c r="J76" s="50"/>
      <c r="K76" s="50"/>
      <c r="L76" s="50"/>
      <c r="M76" s="50"/>
      <c r="N76" s="50"/>
      <c r="O76" s="50"/>
      <c r="P76" s="50"/>
      <c r="Q76" s="50"/>
      <c r="R76" s="50"/>
      <c r="S76" s="50"/>
      <c r="T76" s="50"/>
      <c r="U76" s="50"/>
    </row>
    <row r="77" spans="1:21" x14ac:dyDescent="0.3">
      <c r="A77" s="50"/>
      <c r="B77" s="50"/>
      <c r="C77" s="50"/>
      <c r="D77" s="50"/>
      <c r="E77" s="50"/>
      <c r="F77" s="50"/>
      <c r="G77" s="50"/>
      <c r="H77" s="50"/>
      <c r="I77" s="50"/>
      <c r="J77" s="50"/>
      <c r="K77" s="50"/>
      <c r="L77" s="50"/>
      <c r="M77" s="50"/>
      <c r="N77" s="50"/>
      <c r="O77" s="50"/>
      <c r="P77" s="50"/>
      <c r="Q77" s="50"/>
      <c r="R77" s="50"/>
      <c r="S77" s="50"/>
      <c r="T77" s="50"/>
      <c r="U77" s="50"/>
    </row>
    <row r="78" spans="1:21" x14ac:dyDescent="0.3">
      <c r="A78" s="50"/>
      <c r="B78" s="50"/>
      <c r="C78" s="50"/>
      <c r="D78" s="50"/>
      <c r="E78" s="50"/>
      <c r="F78" s="50"/>
      <c r="G78" s="50"/>
      <c r="H78" s="50"/>
      <c r="I78" s="50"/>
      <c r="J78" s="50"/>
      <c r="K78" s="50"/>
      <c r="L78" s="50"/>
      <c r="M78" s="50"/>
      <c r="N78" s="50"/>
      <c r="O78" s="50"/>
      <c r="P78" s="50"/>
      <c r="Q78" s="50"/>
      <c r="R78" s="50"/>
      <c r="S78" s="50"/>
      <c r="T78" s="50"/>
      <c r="U78" s="50"/>
    </row>
    <row r="79" spans="1:21" x14ac:dyDescent="0.3">
      <c r="A79" s="50"/>
      <c r="B79" s="50"/>
      <c r="C79" s="50"/>
      <c r="D79" s="50"/>
      <c r="E79" s="50"/>
      <c r="F79" s="50"/>
      <c r="G79" s="50"/>
      <c r="H79" s="50"/>
      <c r="I79" s="50"/>
      <c r="J79" s="50"/>
      <c r="K79" s="50"/>
      <c r="L79" s="50"/>
      <c r="M79" s="50"/>
      <c r="N79" s="50"/>
      <c r="O79" s="50"/>
      <c r="P79" s="50"/>
      <c r="Q79" s="50"/>
      <c r="R79" s="50"/>
      <c r="S79" s="50"/>
      <c r="T79" s="50"/>
      <c r="U79" s="50"/>
    </row>
    <row r="80" spans="1:21" x14ac:dyDescent="0.3">
      <c r="A80" s="50"/>
      <c r="B80" s="50"/>
      <c r="C80" s="50"/>
      <c r="D80" s="50"/>
      <c r="E80" s="50"/>
      <c r="F80" s="50"/>
      <c r="G80" s="50"/>
      <c r="H80" s="50"/>
      <c r="I80" s="50"/>
      <c r="J80" s="50"/>
      <c r="K80" s="50"/>
      <c r="L80" s="50"/>
      <c r="M80" s="50"/>
      <c r="N80" s="50"/>
      <c r="O80" s="50"/>
      <c r="P80" s="50"/>
      <c r="Q80" s="50"/>
      <c r="R80" s="50"/>
      <c r="S80" s="50"/>
      <c r="T80" s="50"/>
      <c r="U80" s="50"/>
    </row>
    <row r="81" spans="1:21" x14ac:dyDescent="0.3">
      <c r="A81" s="50"/>
      <c r="B81" s="50"/>
      <c r="C81" s="50"/>
      <c r="D81" s="50"/>
      <c r="E81" s="50"/>
      <c r="F81" s="50"/>
      <c r="G81" s="50"/>
      <c r="H81" s="50"/>
      <c r="I81" s="50"/>
      <c r="J81" s="50"/>
      <c r="K81" s="50"/>
      <c r="L81" s="50"/>
      <c r="M81" s="50"/>
      <c r="N81" s="50"/>
      <c r="O81" s="50"/>
      <c r="P81" s="50"/>
      <c r="Q81" s="50"/>
      <c r="R81" s="50"/>
      <c r="S81" s="50"/>
      <c r="T81" s="50"/>
      <c r="U81" s="50"/>
    </row>
    <row r="82" spans="1:21" x14ac:dyDescent="0.3">
      <c r="A82" s="50"/>
      <c r="B82" s="50"/>
      <c r="C82" s="50"/>
      <c r="D82" s="50"/>
      <c r="E82" s="50"/>
      <c r="F82" s="50"/>
      <c r="G82" s="50"/>
      <c r="H82" s="50"/>
      <c r="I82" s="50"/>
      <c r="J82" s="50"/>
      <c r="K82" s="50"/>
      <c r="L82" s="50"/>
      <c r="M82" s="50"/>
      <c r="N82" s="50"/>
      <c r="O82" s="50"/>
      <c r="P82" s="50"/>
      <c r="Q82" s="50"/>
      <c r="R82" s="50"/>
      <c r="S82" s="50"/>
      <c r="T82" s="50"/>
      <c r="U82" s="50"/>
    </row>
    <row r="83" spans="1:21" x14ac:dyDescent="0.3">
      <c r="A83" s="64"/>
      <c r="B83" s="65" t="s">
        <v>857</v>
      </c>
      <c r="C83" s="66"/>
      <c r="D83" s="66"/>
      <c r="E83" s="66"/>
      <c r="F83" s="66"/>
      <c r="G83" s="66"/>
      <c r="H83" s="66"/>
      <c r="I83" s="66"/>
      <c r="J83" s="66"/>
      <c r="K83" s="66"/>
      <c r="L83" s="66"/>
      <c r="M83" s="66"/>
      <c r="N83" s="66"/>
      <c r="O83" s="66"/>
      <c r="P83" s="66"/>
      <c r="Q83" s="66"/>
      <c r="R83" s="66"/>
      <c r="S83" s="66"/>
      <c r="T83" s="66"/>
      <c r="U83" s="67"/>
    </row>
    <row r="84" spans="1:21" ht="6.75" customHeight="1" x14ac:dyDescent="0.3">
      <c r="A84" s="68"/>
      <c r="B84" s="63"/>
      <c r="C84" s="63"/>
      <c r="D84" s="63"/>
      <c r="E84" s="63"/>
      <c r="F84" s="63"/>
      <c r="G84" s="63"/>
      <c r="H84" s="63"/>
      <c r="I84" s="63"/>
      <c r="J84" s="63"/>
      <c r="K84" s="63"/>
      <c r="L84" s="63"/>
      <c r="M84" s="63"/>
      <c r="N84" s="63"/>
      <c r="O84" s="63"/>
      <c r="P84" s="63"/>
      <c r="Q84" s="63"/>
      <c r="R84" s="63"/>
      <c r="S84" s="63"/>
      <c r="T84" s="63"/>
      <c r="U84" s="69"/>
    </row>
    <row r="85" spans="1:21" x14ac:dyDescent="0.3">
      <c r="A85" s="68"/>
      <c r="B85" s="63"/>
      <c r="C85" s="70" t="s">
        <v>858</v>
      </c>
      <c r="D85" s="63"/>
      <c r="E85" s="63"/>
      <c r="F85" s="63"/>
      <c r="G85" s="63"/>
      <c r="H85" s="63"/>
      <c r="I85" s="63"/>
      <c r="J85" s="63"/>
      <c r="K85" s="70" t="s">
        <v>859</v>
      </c>
      <c r="L85" s="63"/>
      <c r="M85" s="63"/>
      <c r="N85" s="63"/>
      <c r="O85" s="63"/>
      <c r="P85" s="63"/>
      <c r="Q85" s="63"/>
      <c r="R85" s="70" t="s">
        <v>860</v>
      </c>
      <c r="S85" s="70"/>
      <c r="T85" s="70"/>
      <c r="U85" s="69"/>
    </row>
    <row r="86" spans="1:21" x14ac:dyDescent="0.3">
      <c r="A86" s="338"/>
      <c r="B86" s="339"/>
      <c r="C86" s="63" t="s">
        <v>861</v>
      </c>
      <c r="D86" s="340"/>
      <c r="E86" s="1248"/>
      <c r="F86" s="1248"/>
      <c r="G86" s="1248"/>
      <c r="H86" s="1248"/>
      <c r="I86" s="340"/>
      <c r="J86" s="339"/>
      <c r="K86" s="63" t="s">
        <v>862</v>
      </c>
      <c r="L86" s="340"/>
      <c r="M86" s="1248"/>
      <c r="N86" s="1248"/>
      <c r="O86" s="1248"/>
      <c r="P86" s="340"/>
      <c r="Q86" s="339"/>
      <c r="R86" s="63" t="s">
        <v>863</v>
      </c>
      <c r="S86" s="1248"/>
      <c r="T86" s="1248"/>
      <c r="U86" s="69"/>
    </row>
    <row r="87" spans="1:21" x14ac:dyDescent="0.3">
      <c r="A87" s="338"/>
      <c r="B87" s="339"/>
      <c r="C87" s="63" t="s">
        <v>864</v>
      </c>
      <c r="D87" s="340"/>
      <c r="E87" s="1248"/>
      <c r="F87" s="1248"/>
      <c r="G87" s="1248"/>
      <c r="H87" s="1248"/>
      <c r="I87" s="340"/>
      <c r="J87" s="339"/>
      <c r="K87" s="63" t="s">
        <v>865</v>
      </c>
      <c r="L87" s="340"/>
      <c r="M87" s="1248"/>
      <c r="N87" s="1248"/>
      <c r="O87" s="1248"/>
      <c r="P87" s="340"/>
      <c r="Q87" s="339"/>
      <c r="R87" s="63" t="s">
        <v>866</v>
      </c>
      <c r="S87" s="1248"/>
      <c r="T87" s="1248"/>
      <c r="U87" s="69"/>
    </row>
    <row r="88" spans="1:21" x14ac:dyDescent="0.3">
      <c r="A88" s="338"/>
      <c r="B88" s="340"/>
      <c r="C88" s="340"/>
      <c r="D88" s="340"/>
      <c r="E88" s="340"/>
      <c r="F88" s="340"/>
      <c r="G88" s="340"/>
      <c r="H88" s="340"/>
      <c r="I88" s="340"/>
      <c r="J88" s="340"/>
      <c r="K88" s="340"/>
      <c r="L88" s="340"/>
      <c r="M88" s="340"/>
      <c r="N88" s="340"/>
      <c r="O88" s="340"/>
      <c r="P88" s="340"/>
      <c r="Q88" s="339"/>
      <c r="R88" s="63" t="s">
        <v>867</v>
      </c>
      <c r="S88" s="1248"/>
      <c r="T88" s="1248"/>
      <c r="U88" s="69"/>
    </row>
    <row r="89" spans="1:21" ht="6" customHeight="1" x14ac:dyDescent="0.3">
      <c r="A89" s="71"/>
      <c r="B89" s="72"/>
      <c r="C89" s="72"/>
      <c r="D89" s="72"/>
      <c r="E89" s="72"/>
      <c r="F89" s="72"/>
      <c r="G89" s="72"/>
      <c r="H89" s="72"/>
      <c r="I89" s="72"/>
      <c r="J89" s="72"/>
      <c r="K89" s="72"/>
      <c r="L89" s="72"/>
      <c r="M89" s="72"/>
      <c r="N89" s="72"/>
      <c r="O89" s="72"/>
      <c r="P89" s="72"/>
      <c r="Q89" s="72"/>
      <c r="R89" s="72"/>
      <c r="S89" s="72"/>
      <c r="T89" s="72"/>
      <c r="U89" s="73"/>
    </row>
    <row r="91" spans="1:21" x14ac:dyDescent="0.3">
      <c r="A91" s="1183" t="s">
        <v>821</v>
      </c>
      <c r="B91" s="1184"/>
      <c r="C91" s="1184"/>
      <c r="D91" s="1184"/>
      <c r="E91" s="1184"/>
      <c r="F91" s="1184"/>
      <c r="G91" s="1184"/>
      <c r="H91" s="1184"/>
      <c r="I91" s="1184"/>
      <c r="J91" s="1184"/>
      <c r="K91" s="1184"/>
      <c r="L91" s="1184"/>
      <c r="M91" s="1184"/>
      <c r="N91" s="1184"/>
      <c r="O91" s="1184"/>
      <c r="P91" s="1184"/>
      <c r="Q91" s="1184"/>
      <c r="R91" s="1184"/>
      <c r="S91" s="1184"/>
      <c r="T91" s="1184"/>
      <c r="U91" s="1185"/>
    </row>
    <row r="92" spans="1:21" x14ac:dyDescent="0.3">
      <c r="A92" s="1186" t="s">
        <v>822</v>
      </c>
      <c r="B92" s="1186"/>
      <c r="C92" s="1186"/>
      <c r="D92" s="1186"/>
      <c r="E92" s="1186"/>
      <c r="F92" s="1186"/>
      <c r="G92" s="1186"/>
      <c r="H92" s="1186"/>
      <c r="I92" s="1186" t="s">
        <v>823</v>
      </c>
      <c r="J92" s="1186"/>
      <c r="K92" s="1186"/>
      <c r="L92" s="1186"/>
      <c r="M92" s="1186"/>
      <c r="N92" s="1186"/>
      <c r="O92" s="1186"/>
      <c r="P92" s="1187" t="s">
        <v>824</v>
      </c>
      <c r="Q92" s="1187"/>
      <c r="R92" s="1187"/>
      <c r="S92" s="1187"/>
      <c r="T92" s="1187"/>
      <c r="U92" s="1187"/>
    </row>
    <row r="93" spans="1:21" x14ac:dyDescent="0.3">
      <c r="A93" s="1182" t="str">
        <f>RA_Standard!A97</f>
        <v>Brokerage/Realty</v>
      </c>
      <c r="B93" s="1182"/>
      <c r="C93" s="1182"/>
      <c r="D93" s="1182"/>
      <c r="E93" s="1182"/>
      <c r="F93" s="1182"/>
      <c r="G93" s="1182"/>
      <c r="H93" s="1182"/>
      <c r="I93" s="1244">
        <f>LOI_SPECIAL!I55</f>
        <v>0</v>
      </c>
      <c r="J93" s="1244"/>
      <c r="K93" s="1244"/>
      <c r="L93" s="1244"/>
      <c r="M93" s="1244"/>
      <c r="N93" s="1244"/>
      <c r="O93" s="1244"/>
      <c r="P93" s="1244">
        <f>LOI_SPECIAL!P55</f>
        <v>0</v>
      </c>
      <c r="Q93" s="1244"/>
      <c r="R93" s="1244"/>
      <c r="S93" s="1244"/>
      <c r="T93" s="1244"/>
      <c r="U93" s="1244"/>
    </row>
    <row r="94" spans="1:21" x14ac:dyDescent="0.3">
      <c r="A94" s="1182" t="str">
        <f>RA_Standard!A98</f>
        <v xml:space="preserve">Broker Head / AVP </v>
      </c>
      <c r="B94" s="1182"/>
      <c r="C94" s="1182"/>
      <c r="D94" s="1182"/>
      <c r="E94" s="1182"/>
      <c r="F94" s="1182"/>
      <c r="G94" s="1182"/>
      <c r="H94" s="1182"/>
      <c r="I94" s="1244">
        <f>LOI_SPECIAL!I56</f>
        <v>0</v>
      </c>
      <c r="J94" s="1244"/>
      <c r="K94" s="1244"/>
      <c r="L94" s="1244"/>
      <c r="M94" s="1244"/>
      <c r="N94" s="1244"/>
      <c r="O94" s="1244"/>
      <c r="P94" s="1244">
        <f>LOI_SPECIAL!P56</f>
        <v>0</v>
      </c>
      <c r="Q94" s="1244"/>
      <c r="R94" s="1244"/>
      <c r="S94" s="1244"/>
      <c r="T94" s="1244"/>
      <c r="U94" s="1244"/>
    </row>
    <row r="95" spans="1:21" x14ac:dyDescent="0.3">
      <c r="A95" s="1182" t="str">
        <f>RA_Standard!A99</f>
        <v>Sales Manager</v>
      </c>
      <c r="B95" s="1182"/>
      <c r="C95" s="1182"/>
      <c r="D95" s="1182"/>
      <c r="E95" s="1182"/>
      <c r="F95" s="1182"/>
      <c r="G95" s="1182"/>
      <c r="H95" s="1182"/>
      <c r="I95" s="1244">
        <f>LOI_SPECIAL!I57</f>
        <v>0</v>
      </c>
      <c r="J95" s="1244"/>
      <c r="K95" s="1244"/>
      <c r="L95" s="1244"/>
      <c r="M95" s="1244"/>
      <c r="N95" s="1244"/>
      <c r="O95" s="1244"/>
      <c r="P95" s="1244">
        <f>LOI_SPECIAL!P57</f>
        <v>0</v>
      </c>
      <c r="Q95" s="1244"/>
      <c r="R95" s="1244"/>
      <c r="S95" s="1244"/>
      <c r="T95" s="1244"/>
      <c r="U95" s="1244"/>
    </row>
    <row r="96" spans="1:21" x14ac:dyDescent="0.3">
      <c r="A96" s="1182" t="str">
        <f>RA_Standard!A100</f>
        <v>Sales Agent / Property Consultant</v>
      </c>
      <c r="B96" s="1182"/>
      <c r="C96" s="1182"/>
      <c r="D96" s="1182"/>
      <c r="E96" s="1182"/>
      <c r="F96" s="1182"/>
      <c r="G96" s="1182"/>
      <c r="H96" s="1182"/>
      <c r="I96" s="1244">
        <f>LOI_SPECIAL!I58</f>
        <v>0</v>
      </c>
      <c r="J96" s="1244"/>
      <c r="K96" s="1244"/>
      <c r="L96" s="1244"/>
      <c r="M96" s="1244"/>
      <c r="N96" s="1244"/>
      <c r="O96" s="1244"/>
      <c r="P96" s="1244">
        <f>LOI_SPECIAL!P58</f>
        <v>0</v>
      </c>
      <c r="Q96" s="1244"/>
      <c r="R96" s="1244"/>
      <c r="S96" s="1244"/>
      <c r="T96" s="1244"/>
      <c r="U96" s="1244"/>
    </row>
    <row r="98" spans="1:21" x14ac:dyDescent="0.3">
      <c r="A98" s="1251" t="s">
        <v>868</v>
      </c>
      <c r="B98" s="1251"/>
      <c r="C98" s="1251"/>
      <c r="D98" s="1251"/>
      <c r="E98" s="1251"/>
      <c r="F98" s="1251"/>
      <c r="G98" s="1251"/>
      <c r="H98" s="1251"/>
      <c r="I98" s="1251"/>
      <c r="J98" s="1251"/>
      <c r="K98" s="1251"/>
      <c r="L98" s="1251"/>
      <c r="M98" s="1251"/>
      <c r="N98" s="1251"/>
      <c r="O98" s="1251"/>
      <c r="P98" s="1251"/>
      <c r="Q98" s="1251"/>
      <c r="R98" s="1251"/>
      <c r="S98" s="1251"/>
      <c r="T98" s="1251"/>
      <c r="U98" s="1251"/>
    </row>
    <row r="99" spans="1:21" x14ac:dyDescent="0.3">
      <c r="A99" s="629"/>
      <c r="B99" s="629"/>
      <c r="C99" s="629"/>
      <c r="D99" s="629"/>
      <c r="E99" s="629"/>
      <c r="F99" s="629"/>
      <c r="G99" s="629"/>
      <c r="H99" s="629"/>
      <c r="I99" s="629"/>
      <c r="J99" s="629"/>
      <c r="K99" s="629"/>
      <c r="L99" s="629"/>
      <c r="M99" s="629"/>
      <c r="N99" s="629"/>
      <c r="O99" s="629"/>
      <c r="P99" s="629"/>
      <c r="Q99" s="629"/>
      <c r="R99" s="629"/>
      <c r="S99" s="629"/>
      <c r="T99" s="629"/>
      <c r="U99" s="629"/>
    </row>
    <row r="110" spans="1:21" x14ac:dyDescent="0.3">
      <c r="I110" s="1240">
        <f>D2</f>
        <v>0</v>
      </c>
      <c r="J110" s="1240"/>
      <c r="K110" s="1240"/>
      <c r="L110" s="1240"/>
      <c r="M110" s="1240"/>
      <c r="N110" s="1240"/>
      <c r="O110" s="1240"/>
      <c r="P110" s="1240"/>
      <c r="Q110" s="1240"/>
    </row>
    <row r="111" spans="1:21" ht="25.5" customHeight="1" x14ac:dyDescent="0.3">
      <c r="A111" s="1245" t="s">
        <v>869</v>
      </c>
      <c r="B111" s="1245"/>
      <c r="C111" s="1245"/>
      <c r="D111" s="1245"/>
      <c r="E111" s="1245"/>
      <c r="F111" s="1245"/>
      <c r="G111" s="1245"/>
      <c r="H111" s="1245"/>
      <c r="I111" s="1245"/>
      <c r="J111" s="1245"/>
      <c r="K111" s="1245"/>
      <c r="L111" s="1245"/>
      <c r="M111" s="1245"/>
      <c r="N111" s="1245"/>
      <c r="O111" s="1245"/>
      <c r="P111" s="1245"/>
      <c r="Q111" s="1245"/>
      <c r="R111" s="1245"/>
      <c r="S111" s="1245"/>
      <c r="T111" s="1245"/>
      <c r="U111" s="1245"/>
    </row>
    <row r="112" spans="1:21" x14ac:dyDescent="0.3">
      <c r="A112" s="21"/>
      <c r="B112" s="21"/>
      <c r="C112" s="21"/>
      <c r="D112" s="21"/>
      <c r="E112" s="21"/>
      <c r="F112" s="21"/>
      <c r="G112" s="21"/>
      <c r="H112" s="21"/>
      <c r="I112" s="21"/>
      <c r="J112" s="21"/>
      <c r="K112" s="21"/>
      <c r="L112" s="21"/>
      <c r="M112" s="21"/>
      <c r="N112" s="21"/>
      <c r="O112" s="21"/>
      <c r="P112" s="21"/>
      <c r="Q112" s="21"/>
      <c r="R112" s="21"/>
      <c r="S112" s="21"/>
      <c r="T112" s="21"/>
      <c r="U112" s="21"/>
    </row>
    <row r="113" spans="1:21" x14ac:dyDescent="0.3">
      <c r="A113" s="21"/>
      <c r="B113" s="21"/>
      <c r="C113" s="21"/>
      <c r="D113" s="21"/>
      <c r="E113" s="21"/>
      <c r="F113" s="21"/>
      <c r="G113" s="21"/>
      <c r="H113" s="21"/>
      <c r="I113" s="21"/>
      <c r="J113" s="21"/>
      <c r="K113" s="21"/>
      <c r="L113" s="21"/>
      <c r="M113" s="21"/>
      <c r="N113" s="21"/>
      <c r="O113" s="21"/>
      <c r="P113" s="21"/>
      <c r="Q113" s="21"/>
      <c r="R113" s="21"/>
      <c r="S113" s="21"/>
      <c r="T113" s="21"/>
      <c r="U113" s="21"/>
    </row>
    <row r="114" spans="1:21" x14ac:dyDescent="0.3">
      <c r="A114" s="1239" t="s">
        <v>870</v>
      </c>
      <c r="B114" s="1239"/>
      <c r="C114" s="1239"/>
      <c r="D114" s="1239"/>
      <c r="E114" s="1239"/>
      <c r="F114" s="1239"/>
      <c r="G114" s="1239"/>
      <c r="H114" s="1239"/>
      <c r="I114" s="1239"/>
      <c r="J114" s="1239"/>
      <c r="K114" s="1239"/>
      <c r="L114" s="1239"/>
      <c r="M114" s="1239"/>
      <c r="N114" s="1239"/>
      <c r="O114" s="1239"/>
      <c r="P114" s="1239"/>
      <c r="Q114" s="1239"/>
      <c r="R114" s="1239"/>
      <c r="S114" s="1239"/>
      <c r="T114" s="1239"/>
      <c r="U114" s="1239"/>
    </row>
    <row r="115" spans="1:21" ht="21.75" customHeight="1" x14ac:dyDescent="0.3">
      <c r="A115" s="1238" t="str">
        <f>H7</f>
        <v>WEE COMMUNITY DEVELOPERS, INC.</v>
      </c>
      <c r="B115" s="1238"/>
      <c r="C115" s="1238"/>
      <c r="D115" s="1238"/>
      <c r="E115" s="1238"/>
      <c r="F115" s="1238"/>
      <c r="G115" s="1238"/>
      <c r="H115" s="1238"/>
      <c r="I115" s="1238"/>
      <c r="J115" s="1238"/>
      <c r="K115" s="1238"/>
      <c r="L115" s="1238"/>
      <c r="M115" s="1238"/>
      <c r="N115" s="1238"/>
      <c r="O115" s="1238"/>
      <c r="P115" s="1238"/>
      <c r="Q115" s="1238"/>
      <c r="R115" s="1238"/>
      <c r="S115" s="1238"/>
      <c r="T115" s="1238"/>
      <c r="U115" s="1238"/>
    </row>
    <row r="116" spans="1:21" x14ac:dyDescent="0.3">
      <c r="A116" s="21"/>
      <c r="B116" s="21"/>
      <c r="C116" s="21"/>
      <c r="D116" s="21"/>
      <c r="E116" s="21"/>
      <c r="F116" s="21"/>
      <c r="G116" s="21"/>
      <c r="H116" s="21"/>
      <c r="I116" s="21"/>
      <c r="J116" s="21"/>
      <c r="K116" s="21"/>
      <c r="L116" s="21"/>
      <c r="M116" s="21"/>
      <c r="N116" s="21"/>
      <c r="O116" s="21"/>
      <c r="P116" s="21"/>
      <c r="Q116" s="21"/>
      <c r="R116" s="21"/>
      <c r="S116" s="21"/>
      <c r="T116" s="21"/>
      <c r="U116" s="21"/>
    </row>
    <row r="117" spans="1:21" x14ac:dyDescent="0.3">
      <c r="A117" s="21"/>
      <c r="B117" s="21"/>
      <c r="C117" s="21"/>
      <c r="D117" s="21"/>
      <c r="E117" s="21"/>
      <c r="F117" s="21"/>
      <c r="G117" s="21"/>
      <c r="H117" s="21"/>
      <c r="I117" s="22"/>
      <c r="J117" s="22"/>
      <c r="K117" s="22"/>
      <c r="L117" s="22"/>
      <c r="M117" s="22"/>
      <c r="N117" s="22"/>
      <c r="O117" s="22"/>
      <c r="P117" s="22"/>
      <c r="Q117" s="22"/>
      <c r="R117" s="21"/>
      <c r="S117" s="21"/>
      <c r="T117" s="21"/>
      <c r="U117" s="21"/>
    </row>
    <row r="121" spans="1:21" x14ac:dyDescent="0.3">
      <c r="I121" s="56"/>
    </row>
  </sheetData>
  <sheetProtection sheet="1" formatCells="0" formatColumns="0" formatRows="0" selectLockedCells="1"/>
  <mergeCells count="74">
    <mergeCell ref="E86:H86"/>
    <mergeCell ref="E87:H87"/>
    <mergeCell ref="S86:T86"/>
    <mergeCell ref="S87:T87"/>
    <mergeCell ref="S88:T88"/>
    <mergeCell ref="M86:O86"/>
    <mergeCell ref="M87:O87"/>
    <mergeCell ref="A91:U91"/>
    <mergeCell ref="J22:L22"/>
    <mergeCell ref="P22:Q22"/>
    <mergeCell ref="T22:U22"/>
    <mergeCell ref="D23:E23"/>
    <mergeCell ref="J23:L23"/>
    <mergeCell ref="P23:Q23"/>
    <mergeCell ref="D22:E22"/>
    <mergeCell ref="R23:S24"/>
    <mergeCell ref="T23:U24"/>
    <mergeCell ref="D24:F24"/>
    <mergeCell ref="J24:L24"/>
    <mergeCell ref="P24:Q24"/>
    <mergeCell ref="I27:U27"/>
    <mergeCell ref="O40:R40"/>
    <mergeCell ref="I31:U31"/>
    <mergeCell ref="A19:F19"/>
    <mergeCell ref="G19:L19"/>
    <mergeCell ref="M19:Q19"/>
    <mergeCell ref="R19:U19"/>
    <mergeCell ref="D20:F20"/>
    <mergeCell ref="J20:L20"/>
    <mergeCell ref="P20:Q20"/>
    <mergeCell ref="T20:U20"/>
    <mergeCell ref="R20:S20"/>
    <mergeCell ref="I10:U10"/>
    <mergeCell ref="M11:U11"/>
    <mergeCell ref="K12:U12"/>
    <mergeCell ref="E15:T15"/>
    <mergeCell ref="A9:Q9"/>
    <mergeCell ref="A3:Q3"/>
    <mergeCell ref="A4:U5"/>
    <mergeCell ref="A8:U8"/>
    <mergeCell ref="H7:O7"/>
    <mergeCell ref="D2:Q2"/>
    <mergeCell ref="D21:E21"/>
    <mergeCell ref="J21:L21"/>
    <mergeCell ref="P21:Q21"/>
    <mergeCell ref="T21:U21"/>
    <mergeCell ref="I26:U26"/>
    <mergeCell ref="R21:S21"/>
    <mergeCell ref="R22:S22"/>
    <mergeCell ref="I28:U28"/>
    <mergeCell ref="I29:U29"/>
    <mergeCell ref="I30:U30"/>
    <mergeCell ref="I32:U32"/>
    <mergeCell ref="C40:N40"/>
    <mergeCell ref="A92:H92"/>
    <mergeCell ref="I92:O92"/>
    <mergeCell ref="P92:U92"/>
    <mergeCell ref="A93:H93"/>
    <mergeCell ref="I93:O93"/>
    <mergeCell ref="P93:U93"/>
    <mergeCell ref="A94:H94"/>
    <mergeCell ref="I94:O94"/>
    <mergeCell ref="P94:U94"/>
    <mergeCell ref="A95:H95"/>
    <mergeCell ref="I95:O95"/>
    <mergeCell ref="P95:U95"/>
    <mergeCell ref="A115:U115"/>
    <mergeCell ref="A96:H96"/>
    <mergeCell ref="I96:O96"/>
    <mergeCell ref="P96:U96"/>
    <mergeCell ref="A111:U111"/>
    <mergeCell ref="A114:U114"/>
    <mergeCell ref="I110:Q110"/>
    <mergeCell ref="A98:U98"/>
  </mergeCells>
  <pageMargins left="0.51181102362204722" right="0.51181102362204722" top="1.1811023622047245" bottom="0.74803149606299213" header="0.31496062992125984" footer="0.31496062992125984"/>
  <pageSetup paperSize="14" scale="86" orientation="portrait" r:id="rId1"/>
  <headerFooter>
    <oddHeader xml:space="preserve">&amp;R
&amp;"Century Gothic,Bold"&amp;18RESERVATION AGREEMENT&amp;"-,Regular"&amp;11
</oddHeader>
    <oddFooter>&amp;C&amp;"Century Gothic,Regular"&amp;8Page &amp;P of &amp;N</oddFooter>
  </headerFooter>
  <rowBreaks count="1" manualBreakCount="1">
    <brk id="61" max="20" man="1"/>
  </rowBreaks>
  <drawing r:id="rId2"/>
  <legacyDrawing r:id="rId3"/>
  <mc:AlternateContent xmlns:mc="http://schemas.openxmlformats.org/markup-compatibility/2006">
    <mc:Choice Requires="x14">
      <controls>
        <mc:AlternateContent xmlns:mc="http://schemas.openxmlformats.org/markup-compatibility/2006">
          <mc:Choice Requires="x14">
            <control shapeId="20493" r:id="rId4" name="Check Box 13">
              <controlPr defaultSize="0" autoFill="0" autoLine="0" autoPict="0">
                <anchor moveWithCells="1">
                  <from>
                    <xdr:col>2</xdr:col>
                    <xdr:colOff>38100</xdr:colOff>
                    <xdr:row>35</xdr:row>
                    <xdr:rowOff>19050</xdr:rowOff>
                  </from>
                  <to>
                    <xdr:col>2</xdr:col>
                    <xdr:colOff>285750</xdr:colOff>
                    <xdr:row>36</xdr:row>
                    <xdr:rowOff>19050</xdr:rowOff>
                  </to>
                </anchor>
              </controlPr>
            </control>
          </mc:Choice>
        </mc:AlternateContent>
        <mc:AlternateContent xmlns:mc="http://schemas.openxmlformats.org/markup-compatibility/2006">
          <mc:Choice Requires="x14">
            <control shapeId="20495" r:id="rId5" name="Check Box 15">
              <controlPr defaultSize="0" autoFill="0" autoLine="0" autoPict="0">
                <anchor moveWithCells="1">
                  <from>
                    <xdr:col>11</xdr:col>
                    <xdr:colOff>361950</xdr:colOff>
                    <xdr:row>35</xdr:row>
                    <xdr:rowOff>0</xdr:rowOff>
                  </from>
                  <to>
                    <xdr:col>12</xdr:col>
                    <xdr:colOff>171450</xdr:colOff>
                    <xdr:row>36</xdr:row>
                    <xdr:rowOff>19050</xdr:rowOff>
                  </to>
                </anchor>
              </controlPr>
            </control>
          </mc:Choice>
        </mc:AlternateContent>
        <mc:AlternateContent xmlns:mc="http://schemas.openxmlformats.org/markup-compatibility/2006">
          <mc:Choice Requires="x14">
            <control shapeId="20496" r:id="rId6" name="Check Box 16">
              <controlPr defaultSize="0" autoFill="0" autoLine="0" autoPict="0">
                <anchor moveWithCells="1">
                  <from>
                    <xdr:col>2</xdr:col>
                    <xdr:colOff>257175</xdr:colOff>
                    <xdr:row>16</xdr:row>
                    <xdr:rowOff>0</xdr:rowOff>
                  </from>
                  <to>
                    <xdr:col>3</xdr:col>
                    <xdr:colOff>133350</xdr:colOff>
                    <xdr:row>17</xdr:row>
                    <xdr:rowOff>19050</xdr:rowOff>
                  </to>
                </anchor>
              </controlPr>
            </control>
          </mc:Choice>
        </mc:AlternateContent>
        <mc:AlternateContent xmlns:mc="http://schemas.openxmlformats.org/markup-compatibility/2006">
          <mc:Choice Requires="x14">
            <control shapeId="20497" r:id="rId7" name="Check Box 17">
              <controlPr defaultSize="0" autoFill="0" autoLine="0" autoPict="0">
                <anchor moveWithCells="1">
                  <from>
                    <xdr:col>2</xdr:col>
                    <xdr:colOff>257175</xdr:colOff>
                    <xdr:row>15</xdr:row>
                    <xdr:rowOff>19050</xdr:rowOff>
                  </from>
                  <to>
                    <xdr:col>3</xdr:col>
                    <xdr:colOff>133350</xdr:colOff>
                    <xdr:row>16</xdr:row>
                    <xdr:rowOff>19050</xdr:rowOff>
                  </to>
                </anchor>
              </controlPr>
            </control>
          </mc:Choice>
        </mc:AlternateContent>
        <mc:AlternateContent xmlns:mc="http://schemas.openxmlformats.org/markup-compatibility/2006">
          <mc:Choice Requires="x14">
            <control shapeId="20498" r:id="rId8" name="Check Box 18">
              <controlPr defaultSize="0" autoFill="0" autoLine="0" autoPict="0">
                <anchor moveWithCells="1">
                  <from>
                    <xdr:col>10</xdr:col>
                    <xdr:colOff>133350</xdr:colOff>
                    <xdr:row>15</xdr:row>
                    <xdr:rowOff>209550</xdr:rowOff>
                  </from>
                  <to>
                    <xdr:col>11</xdr:col>
                    <xdr:colOff>0</xdr:colOff>
                    <xdr:row>17</xdr:row>
                    <xdr:rowOff>0</xdr:rowOff>
                  </to>
                </anchor>
              </controlPr>
            </control>
          </mc:Choice>
        </mc:AlternateContent>
        <mc:AlternateContent xmlns:mc="http://schemas.openxmlformats.org/markup-compatibility/2006">
          <mc:Choice Requires="x14">
            <control shapeId="20499" r:id="rId9" name="Check Box 19">
              <controlPr defaultSize="0" autoFill="0" autoLine="0" autoPict="0">
                <anchor moveWithCells="1">
                  <from>
                    <xdr:col>10</xdr:col>
                    <xdr:colOff>133350</xdr:colOff>
                    <xdr:row>15</xdr:row>
                    <xdr:rowOff>0</xdr:rowOff>
                  </from>
                  <to>
                    <xdr:col>11</xdr:col>
                    <xdr:colOff>0</xdr:colOff>
                    <xdr:row>16</xdr:row>
                    <xdr:rowOff>19050</xdr:rowOff>
                  </to>
                </anchor>
              </controlPr>
            </control>
          </mc:Choice>
        </mc:AlternateContent>
        <mc:AlternateContent xmlns:mc="http://schemas.openxmlformats.org/markup-compatibility/2006">
          <mc:Choice Requires="x14">
            <control shapeId="20500" r:id="rId10" name="Check Box 20">
              <controlPr defaultSize="0" autoFill="0" autoLine="0" autoPict="0">
                <anchor moveWithCells="1">
                  <from>
                    <xdr:col>17</xdr:col>
                    <xdr:colOff>952500</xdr:colOff>
                    <xdr:row>15</xdr:row>
                    <xdr:rowOff>0</xdr:rowOff>
                  </from>
                  <to>
                    <xdr:col>18</xdr:col>
                    <xdr:colOff>66675</xdr:colOff>
                    <xdr:row>16</xdr:row>
                    <xdr:rowOff>19050</xdr:rowOff>
                  </to>
                </anchor>
              </controlPr>
            </control>
          </mc:Choice>
        </mc:AlternateContent>
        <mc:AlternateContent xmlns:mc="http://schemas.openxmlformats.org/markup-compatibility/2006">
          <mc:Choice Requires="x14">
            <control shapeId="20501" r:id="rId11" name="Check Box 21">
              <controlPr defaultSize="0" autoFill="0" autoLine="0" autoPict="0">
                <anchor moveWithCells="1">
                  <from>
                    <xdr:col>0</xdr:col>
                    <xdr:colOff>95250</xdr:colOff>
                    <xdr:row>84</xdr:row>
                    <xdr:rowOff>0</xdr:rowOff>
                  </from>
                  <to>
                    <xdr:col>1</xdr:col>
                    <xdr:colOff>57150</xdr:colOff>
                    <xdr:row>85</xdr:row>
                    <xdr:rowOff>0</xdr:rowOff>
                  </to>
                </anchor>
              </controlPr>
            </control>
          </mc:Choice>
        </mc:AlternateContent>
        <mc:AlternateContent xmlns:mc="http://schemas.openxmlformats.org/markup-compatibility/2006">
          <mc:Choice Requires="x14">
            <control shapeId="20502" r:id="rId12" name="Check Box 22">
              <controlPr defaultSize="0" autoFill="0" autoLine="0" autoPict="0">
                <anchor moveWithCells="1">
                  <from>
                    <xdr:col>9</xdr:col>
                    <xdr:colOff>19050</xdr:colOff>
                    <xdr:row>84</xdr:row>
                    <xdr:rowOff>0</xdr:rowOff>
                  </from>
                  <to>
                    <xdr:col>9</xdr:col>
                    <xdr:colOff>209550</xdr:colOff>
                    <xdr:row>85</xdr:row>
                    <xdr:rowOff>0</xdr:rowOff>
                  </to>
                </anchor>
              </controlPr>
            </control>
          </mc:Choice>
        </mc:AlternateContent>
        <mc:AlternateContent xmlns:mc="http://schemas.openxmlformats.org/markup-compatibility/2006">
          <mc:Choice Requires="x14">
            <control shapeId="20503" r:id="rId13" name="Check Box 23">
              <controlPr defaultSize="0" autoFill="0" autoLine="0" autoPict="0">
                <anchor moveWithCells="1">
                  <from>
                    <xdr:col>16</xdr:col>
                    <xdr:colOff>114300</xdr:colOff>
                    <xdr:row>84</xdr:row>
                    <xdr:rowOff>0</xdr:rowOff>
                  </from>
                  <to>
                    <xdr:col>16</xdr:col>
                    <xdr:colOff>295275</xdr:colOff>
                    <xdr:row>85</xdr:row>
                    <xdr:rowOff>19050</xdr:rowOff>
                  </to>
                </anchor>
              </controlPr>
            </control>
          </mc:Choice>
        </mc:AlternateContent>
        <mc:AlternateContent xmlns:mc="http://schemas.openxmlformats.org/markup-compatibility/2006">
          <mc:Choice Requires="x14">
            <control shapeId="20504" r:id="rId14" name="Check Box 24">
              <controlPr defaultSize="0" autoFill="0" autoLine="0" autoPict="0">
                <anchor moveWithCells="1">
                  <from>
                    <xdr:col>17</xdr:col>
                    <xdr:colOff>952500</xdr:colOff>
                    <xdr:row>15</xdr:row>
                    <xdr:rowOff>190500</xdr:rowOff>
                  </from>
                  <to>
                    <xdr:col>18</xdr:col>
                    <xdr:colOff>66675</xdr:colOff>
                    <xdr:row>17</xdr:row>
                    <xdr:rowOff>0</xdr:rowOff>
                  </to>
                </anchor>
              </controlPr>
            </control>
          </mc:Choice>
        </mc:AlternateContent>
        <mc:AlternateContent xmlns:mc="http://schemas.openxmlformats.org/markup-compatibility/2006">
          <mc:Choice Requires="x14">
            <control shapeId="20505" r:id="rId15" name="Check Box 25">
              <controlPr defaultSize="0" autoFill="0" autoLine="0" autoPict="0">
                <anchor moveWithCells="1">
                  <from>
                    <xdr:col>17</xdr:col>
                    <xdr:colOff>895350</xdr:colOff>
                    <xdr:row>35</xdr:row>
                    <xdr:rowOff>0</xdr:rowOff>
                  </from>
                  <to>
                    <xdr:col>18</xdr:col>
                    <xdr:colOff>0</xdr:colOff>
                    <xdr:row>36</xdr:row>
                    <xdr:rowOff>19050</xdr:rowOff>
                  </to>
                </anchor>
              </controlPr>
            </control>
          </mc:Choice>
        </mc:AlternateContent>
        <mc:AlternateContent xmlns:mc="http://schemas.openxmlformats.org/markup-compatibility/2006">
          <mc:Choice Requires="x14">
            <control shapeId="20506" r:id="rId16" name="Check Box 26">
              <controlPr defaultSize="0" autoFill="0" autoLine="0" autoPict="0">
                <anchor moveWithCells="1">
                  <from>
                    <xdr:col>16</xdr:col>
                    <xdr:colOff>171450</xdr:colOff>
                    <xdr:row>87</xdr:row>
                    <xdr:rowOff>19050</xdr:rowOff>
                  </from>
                  <to>
                    <xdr:col>17</xdr:col>
                    <xdr:colOff>38100</xdr:colOff>
                    <xdr:row>88</xdr:row>
                    <xdr:rowOff>0</xdr:rowOff>
                  </to>
                </anchor>
              </controlPr>
            </control>
          </mc:Choice>
        </mc:AlternateContent>
        <mc:AlternateContent xmlns:mc="http://schemas.openxmlformats.org/markup-compatibility/2006">
          <mc:Choice Requires="x14">
            <control shapeId="20508" r:id="rId17" name="Check Box 28">
              <controlPr defaultSize="0" autoFill="0" autoLine="0" autoPict="0">
                <anchor moveWithCells="1">
                  <from>
                    <xdr:col>16</xdr:col>
                    <xdr:colOff>171450</xdr:colOff>
                    <xdr:row>86</xdr:row>
                    <xdr:rowOff>19050</xdr:rowOff>
                  </from>
                  <to>
                    <xdr:col>17</xdr:col>
                    <xdr:colOff>38100</xdr:colOff>
                    <xdr:row>87</xdr:row>
                    <xdr:rowOff>0</xdr:rowOff>
                  </to>
                </anchor>
              </controlPr>
            </control>
          </mc:Choice>
        </mc:AlternateContent>
        <mc:AlternateContent xmlns:mc="http://schemas.openxmlformats.org/markup-compatibility/2006">
          <mc:Choice Requires="x14">
            <control shapeId="20509" r:id="rId18" name="Check Box 29">
              <controlPr defaultSize="0" autoFill="0" autoLine="0" autoPict="0">
                <anchor moveWithCells="1">
                  <from>
                    <xdr:col>16</xdr:col>
                    <xdr:colOff>171450</xdr:colOff>
                    <xdr:row>85</xdr:row>
                    <xdr:rowOff>19050</xdr:rowOff>
                  </from>
                  <to>
                    <xdr:col>17</xdr:col>
                    <xdr:colOff>38100</xdr:colOff>
                    <xdr:row>86</xdr:row>
                    <xdr:rowOff>0</xdr:rowOff>
                  </to>
                </anchor>
              </controlPr>
            </control>
          </mc:Choice>
        </mc:AlternateContent>
        <mc:AlternateContent xmlns:mc="http://schemas.openxmlformats.org/markup-compatibility/2006">
          <mc:Choice Requires="x14">
            <control shapeId="20510" r:id="rId19" name="Check Box 30">
              <controlPr defaultSize="0" autoFill="0" autoLine="0" autoPict="0">
                <anchor moveWithCells="1">
                  <from>
                    <xdr:col>9</xdr:col>
                    <xdr:colOff>57150</xdr:colOff>
                    <xdr:row>86</xdr:row>
                    <xdr:rowOff>19050</xdr:rowOff>
                  </from>
                  <to>
                    <xdr:col>10</xdr:col>
                    <xdr:colOff>57150</xdr:colOff>
                    <xdr:row>87</xdr:row>
                    <xdr:rowOff>0</xdr:rowOff>
                  </to>
                </anchor>
              </controlPr>
            </control>
          </mc:Choice>
        </mc:AlternateContent>
        <mc:AlternateContent xmlns:mc="http://schemas.openxmlformats.org/markup-compatibility/2006">
          <mc:Choice Requires="x14">
            <control shapeId="20511" r:id="rId20" name="Check Box 31">
              <controlPr defaultSize="0" autoFill="0" autoLine="0" autoPict="0">
                <anchor moveWithCells="1">
                  <from>
                    <xdr:col>9</xdr:col>
                    <xdr:colOff>57150</xdr:colOff>
                    <xdr:row>85</xdr:row>
                    <xdr:rowOff>19050</xdr:rowOff>
                  </from>
                  <to>
                    <xdr:col>10</xdr:col>
                    <xdr:colOff>57150</xdr:colOff>
                    <xdr:row>86</xdr:row>
                    <xdr:rowOff>0</xdr:rowOff>
                  </to>
                </anchor>
              </controlPr>
            </control>
          </mc:Choice>
        </mc:AlternateContent>
        <mc:AlternateContent xmlns:mc="http://schemas.openxmlformats.org/markup-compatibility/2006">
          <mc:Choice Requires="x14">
            <control shapeId="20512" r:id="rId21" name="Check Box 32">
              <controlPr defaultSize="0" autoFill="0" autoLine="0" autoPict="0">
                <anchor moveWithCells="1">
                  <from>
                    <xdr:col>0</xdr:col>
                    <xdr:colOff>133350</xdr:colOff>
                    <xdr:row>85</xdr:row>
                    <xdr:rowOff>28575</xdr:rowOff>
                  </from>
                  <to>
                    <xdr:col>1</xdr:col>
                    <xdr:colOff>76200</xdr:colOff>
                    <xdr:row>86</xdr:row>
                    <xdr:rowOff>0</xdr:rowOff>
                  </to>
                </anchor>
              </controlPr>
            </control>
          </mc:Choice>
        </mc:AlternateContent>
        <mc:AlternateContent xmlns:mc="http://schemas.openxmlformats.org/markup-compatibility/2006">
          <mc:Choice Requires="x14">
            <control shapeId="20513" r:id="rId22" name="Check Box 33">
              <controlPr defaultSize="0" autoFill="0" autoLine="0" autoPict="0">
                <anchor moveWithCells="1">
                  <from>
                    <xdr:col>0</xdr:col>
                    <xdr:colOff>133350</xdr:colOff>
                    <xdr:row>86</xdr:row>
                    <xdr:rowOff>0</xdr:rowOff>
                  </from>
                  <to>
                    <xdr:col>1</xdr:col>
                    <xdr:colOff>76200</xdr:colOff>
                    <xdr:row>87</xdr:row>
                    <xdr:rowOff>0</xdr:rowOff>
                  </to>
                </anchor>
              </controlPr>
            </control>
          </mc:Choice>
        </mc:AlternateContent>
      </controls>
    </mc:Choice>
  </mc:AlternateContent>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1"/>
  <dimension ref="A1:K122"/>
  <sheetViews>
    <sheetView showGridLines="0" view="pageLayout" topLeftCell="A61" zoomScaleNormal="100" zoomScaleSheetLayoutView="115" workbookViewId="0">
      <selection activeCell="E114" sqref="E114"/>
    </sheetView>
  </sheetViews>
  <sheetFormatPr defaultRowHeight="15" x14ac:dyDescent="0.25"/>
  <cols>
    <col min="1" max="2" width="3.7109375" customWidth="1"/>
    <col min="3" max="3" width="16.28515625" customWidth="1"/>
    <col min="6" max="6" width="36.7109375" customWidth="1"/>
    <col min="7" max="7" width="17.28515625" customWidth="1"/>
    <col min="8" max="8" width="8.7109375" customWidth="1"/>
    <col min="9" max="9" width="12.5703125" customWidth="1"/>
    <col min="10" max="10" width="13" customWidth="1"/>
    <col min="11" max="11" width="13.42578125" customWidth="1"/>
  </cols>
  <sheetData>
    <row r="1" spans="1:11" x14ac:dyDescent="0.25">
      <c r="A1" s="1564" t="s">
        <v>929</v>
      </c>
      <c r="B1" s="1564"/>
      <c r="C1" s="1564"/>
      <c r="D1" s="1564"/>
      <c r="E1" s="1564"/>
      <c r="F1" s="1564"/>
      <c r="G1" s="1564"/>
      <c r="H1" s="1564"/>
      <c r="I1" s="1564"/>
      <c r="J1" s="1564"/>
      <c r="K1" s="1564"/>
    </row>
    <row r="2" spans="1:11" ht="18.75" customHeight="1" x14ac:dyDescent="0.25">
      <c r="A2" s="1557" t="s">
        <v>930</v>
      </c>
      <c r="B2" s="1557"/>
      <c r="C2" s="1557"/>
      <c r="D2" s="1565"/>
      <c r="E2" s="1566"/>
      <c r="F2" s="1566"/>
      <c r="G2" s="1566"/>
      <c r="H2" s="1567" t="s">
        <v>931</v>
      </c>
      <c r="I2" s="1568"/>
      <c r="J2" s="1565"/>
      <c r="K2" s="1569"/>
    </row>
    <row r="3" spans="1:11" ht="27" customHeight="1" x14ac:dyDescent="0.25">
      <c r="A3" s="1557" t="s">
        <v>932</v>
      </c>
      <c r="B3" s="1557"/>
      <c r="C3" s="1557"/>
      <c r="D3" s="1558"/>
      <c r="E3" s="1559"/>
      <c r="F3" s="1559"/>
      <c r="G3" s="1559"/>
      <c r="H3" s="1559"/>
      <c r="I3" s="1560"/>
      <c r="J3" s="580" t="s">
        <v>933</v>
      </c>
      <c r="K3" s="581" t="s">
        <v>934</v>
      </c>
    </row>
    <row r="4" spans="1:11" x14ac:dyDescent="0.25">
      <c r="A4" s="1561" t="s">
        <v>935</v>
      </c>
      <c r="B4" s="1562"/>
      <c r="C4" s="1562"/>
      <c r="D4" s="1562"/>
      <c r="E4" s="1562"/>
      <c r="F4" s="1562"/>
      <c r="G4" s="1562"/>
      <c r="H4" s="1562"/>
      <c r="I4" s="1562"/>
      <c r="J4" s="1562"/>
      <c r="K4" s="1563"/>
    </row>
    <row r="5" spans="1:11" ht="16.5" x14ac:dyDescent="0.3">
      <c r="A5" s="582"/>
      <c r="B5" s="583">
        <v>1</v>
      </c>
      <c r="C5" s="1556" t="s">
        <v>936</v>
      </c>
      <c r="D5" s="1556"/>
      <c r="E5" s="1556"/>
      <c r="F5" s="1556"/>
      <c r="G5" s="1556"/>
      <c r="H5" s="1556"/>
      <c r="I5" s="1556"/>
      <c r="J5" s="568"/>
      <c r="K5" s="568"/>
    </row>
    <row r="6" spans="1:11" ht="15" customHeight="1" x14ac:dyDescent="0.3">
      <c r="A6" s="584"/>
      <c r="B6" s="585">
        <v>2</v>
      </c>
      <c r="C6" s="1555" t="s">
        <v>937</v>
      </c>
      <c r="D6" s="1555"/>
      <c r="E6" s="1555"/>
      <c r="F6" s="1555"/>
      <c r="G6" s="1555"/>
      <c r="H6" s="1555"/>
      <c r="I6" s="1555"/>
      <c r="J6" s="568"/>
      <c r="K6" s="568"/>
    </row>
    <row r="7" spans="1:11" ht="15" customHeight="1" x14ac:dyDescent="0.3">
      <c r="A7" s="584"/>
      <c r="B7" s="585">
        <v>3</v>
      </c>
      <c r="C7" s="1555" t="s">
        <v>938</v>
      </c>
      <c r="D7" s="1555"/>
      <c r="E7" s="1555"/>
      <c r="F7" s="1555"/>
      <c r="G7" s="1555"/>
      <c r="H7" s="1555"/>
      <c r="I7" s="1555"/>
      <c r="J7" s="568"/>
      <c r="K7" s="568"/>
    </row>
    <row r="8" spans="1:11" ht="15" customHeight="1" x14ac:dyDescent="0.3">
      <c r="A8" s="584"/>
      <c r="B8" s="585">
        <v>4</v>
      </c>
      <c r="C8" s="1555" t="s">
        <v>939</v>
      </c>
      <c r="D8" s="1555"/>
      <c r="E8" s="1555"/>
      <c r="F8" s="1555"/>
      <c r="G8" s="1555"/>
      <c r="H8" s="1555"/>
      <c r="I8" s="1555"/>
      <c r="J8" s="568"/>
      <c r="K8" s="568"/>
    </row>
    <row r="9" spans="1:11" ht="15" customHeight="1" x14ac:dyDescent="0.3">
      <c r="A9" s="584"/>
      <c r="B9" s="585">
        <v>5</v>
      </c>
      <c r="C9" s="1555" t="s">
        <v>940</v>
      </c>
      <c r="D9" s="1555"/>
      <c r="E9" s="1555"/>
      <c r="F9" s="1555"/>
      <c r="G9" s="1555"/>
      <c r="H9" s="1555"/>
      <c r="I9" s="1555"/>
      <c r="J9" s="568"/>
      <c r="K9" s="568"/>
    </row>
    <row r="10" spans="1:11" ht="15" customHeight="1" x14ac:dyDescent="0.3">
      <c r="A10" s="584"/>
      <c r="B10" s="585">
        <v>6</v>
      </c>
      <c r="C10" s="1555" t="s">
        <v>941</v>
      </c>
      <c r="D10" s="1555"/>
      <c r="E10" s="1555"/>
      <c r="F10" s="1555"/>
      <c r="G10" s="1555"/>
      <c r="H10" s="1555"/>
      <c r="I10" s="1555"/>
      <c r="J10" s="568"/>
      <c r="K10" s="568"/>
    </row>
    <row r="11" spans="1:11" ht="16.5" x14ac:dyDescent="0.3">
      <c r="A11" s="584"/>
      <c r="B11" s="585">
        <v>7</v>
      </c>
      <c r="C11" s="1555" t="s">
        <v>942</v>
      </c>
      <c r="D11" s="1555"/>
      <c r="E11" s="1555"/>
      <c r="F11" s="1555"/>
      <c r="G11" s="1555"/>
      <c r="H11" s="1555"/>
      <c r="I11" s="1555"/>
      <c r="J11" s="568"/>
      <c r="K11" s="568"/>
    </row>
    <row r="12" spans="1:11" ht="13.5" customHeight="1" x14ac:dyDescent="0.3">
      <c r="A12" s="584"/>
      <c r="B12" s="585">
        <v>8</v>
      </c>
      <c r="C12" s="1555" t="s">
        <v>943</v>
      </c>
      <c r="D12" s="1555"/>
      <c r="E12" s="1555"/>
      <c r="F12" s="1555"/>
      <c r="G12" s="1555"/>
      <c r="H12" s="1555"/>
      <c r="I12" s="1555"/>
      <c r="J12" s="568"/>
      <c r="K12" s="568"/>
    </row>
    <row r="13" spans="1:11" ht="16.5" x14ac:dyDescent="0.3">
      <c r="A13" s="584"/>
      <c r="B13" s="585">
        <v>9</v>
      </c>
      <c r="C13" s="1555" t="s">
        <v>944</v>
      </c>
      <c r="D13" s="1555"/>
      <c r="E13" s="1555"/>
      <c r="F13" s="1555"/>
      <c r="G13" s="1555"/>
      <c r="H13" s="1555"/>
      <c r="I13" s="1555"/>
      <c r="J13" s="568"/>
      <c r="K13" s="568"/>
    </row>
    <row r="14" spans="1:11" ht="15" customHeight="1" x14ac:dyDescent="0.3">
      <c r="A14" s="584"/>
      <c r="B14" s="585">
        <v>10</v>
      </c>
      <c r="C14" s="1555" t="s">
        <v>945</v>
      </c>
      <c r="D14" s="1555"/>
      <c r="E14" s="1555"/>
      <c r="F14" s="1555"/>
      <c r="G14" s="1555"/>
      <c r="H14" s="1555"/>
      <c r="I14" s="1555"/>
      <c r="J14" s="568"/>
      <c r="K14" s="568"/>
    </row>
    <row r="15" spans="1:11" ht="16.5" customHeight="1" x14ac:dyDescent="0.25">
      <c r="A15" s="1551" t="s">
        <v>946</v>
      </c>
      <c r="B15" s="1552"/>
      <c r="C15" s="1552"/>
      <c r="D15" s="1552"/>
      <c r="E15" s="1552"/>
      <c r="F15" s="1552"/>
      <c r="G15" s="1552"/>
      <c r="H15" s="1552"/>
      <c r="I15" s="1552"/>
      <c r="J15" s="1552"/>
      <c r="K15" s="1553"/>
    </row>
    <row r="16" spans="1:11" ht="16.5" x14ac:dyDescent="0.3">
      <c r="A16" s="584"/>
      <c r="B16" s="586">
        <v>1</v>
      </c>
      <c r="C16" s="1548" t="s">
        <v>947</v>
      </c>
      <c r="D16" s="1549"/>
      <c r="E16" s="1549"/>
      <c r="F16" s="1549"/>
      <c r="G16" s="1549"/>
      <c r="H16" s="1549"/>
      <c r="I16" s="1550"/>
      <c r="J16" s="568"/>
      <c r="K16" s="568"/>
    </row>
    <row r="17" spans="1:11" ht="16.5" x14ac:dyDescent="0.3">
      <c r="A17" s="584"/>
      <c r="B17" s="587">
        <v>2</v>
      </c>
      <c r="C17" s="1548" t="s">
        <v>937</v>
      </c>
      <c r="D17" s="1549"/>
      <c r="E17" s="1549"/>
      <c r="F17" s="1549"/>
      <c r="G17" s="1549"/>
      <c r="H17" s="1549"/>
      <c r="I17" s="1550"/>
      <c r="J17" s="568"/>
      <c r="K17" s="568"/>
    </row>
    <row r="18" spans="1:11" ht="16.5" x14ac:dyDescent="0.3">
      <c r="A18" s="584"/>
      <c r="B18" s="587">
        <v>3</v>
      </c>
      <c r="C18" s="1548" t="s">
        <v>938</v>
      </c>
      <c r="D18" s="1549"/>
      <c r="E18" s="1549"/>
      <c r="F18" s="1549"/>
      <c r="G18" s="1549"/>
      <c r="H18" s="1549"/>
      <c r="I18" s="1550"/>
      <c r="J18" s="568"/>
      <c r="K18" s="568"/>
    </row>
    <row r="19" spans="1:11" ht="16.5" x14ac:dyDescent="0.3">
      <c r="A19" s="588"/>
      <c r="B19" s="587">
        <v>4</v>
      </c>
      <c r="C19" s="1548" t="s">
        <v>941</v>
      </c>
      <c r="D19" s="1549"/>
      <c r="E19" s="1549"/>
      <c r="F19" s="1549"/>
      <c r="G19" s="1549"/>
      <c r="H19" s="1549"/>
      <c r="I19" s="1550"/>
      <c r="J19" s="568"/>
      <c r="K19" s="568"/>
    </row>
    <row r="20" spans="1:11" ht="16.5" x14ac:dyDescent="0.3">
      <c r="A20" s="584"/>
      <c r="B20" s="587">
        <v>5</v>
      </c>
      <c r="C20" s="1548" t="s">
        <v>942</v>
      </c>
      <c r="D20" s="1549"/>
      <c r="E20" s="1549"/>
      <c r="F20" s="1549"/>
      <c r="G20" s="1549"/>
      <c r="H20" s="1549"/>
      <c r="I20" s="1550"/>
      <c r="J20" s="568"/>
      <c r="K20" s="568"/>
    </row>
    <row r="21" spans="1:11" ht="16.5" x14ac:dyDescent="0.3">
      <c r="A21" s="588"/>
      <c r="B21" s="589">
        <v>6</v>
      </c>
      <c r="C21" s="1548" t="s">
        <v>943</v>
      </c>
      <c r="D21" s="1549"/>
      <c r="E21" s="1549"/>
      <c r="F21" s="1549"/>
      <c r="G21" s="1549"/>
      <c r="H21" s="1549"/>
      <c r="I21" s="1550"/>
      <c r="J21" s="568"/>
      <c r="K21" s="568"/>
    </row>
    <row r="22" spans="1:11" ht="16.5" x14ac:dyDescent="0.3">
      <c r="A22" s="584"/>
      <c r="B22" s="587">
        <v>7</v>
      </c>
      <c r="C22" s="1548" t="s">
        <v>940</v>
      </c>
      <c r="D22" s="1549"/>
      <c r="E22" s="1549"/>
      <c r="F22" s="1549"/>
      <c r="G22" s="1549"/>
      <c r="H22" s="1549"/>
      <c r="I22" s="1550"/>
      <c r="J22" s="568"/>
      <c r="K22" s="568"/>
    </row>
    <row r="23" spans="1:11" ht="16.5" x14ac:dyDescent="0.3">
      <c r="A23" s="588"/>
      <c r="B23" s="587">
        <v>8</v>
      </c>
      <c r="C23" s="1548" t="s">
        <v>948</v>
      </c>
      <c r="D23" s="1549"/>
      <c r="E23" s="1549"/>
      <c r="F23" s="1549"/>
      <c r="G23" s="1549"/>
      <c r="H23" s="1549"/>
      <c r="I23" s="1550"/>
      <c r="J23" s="568"/>
      <c r="K23" s="568"/>
    </row>
    <row r="24" spans="1:11" ht="16.5" x14ac:dyDescent="0.3">
      <c r="A24" s="584"/>
      <c r="B24" s="587">
        <v>9</v>
      </c>
      <c r="C24" s="1548" t="s">
        <v>949</v>
      </c>
      <c r="D24" s="1549"/>
      <c r="E24" s="1549"/>
      <c r="F24" s="1549"/>
      <c r="G24" s="1549"/>
      <c r="H24" s="1549"/>
      <c r="I24" s="1550"/>
      <c r="J24" s="568"/>
      <c r="K24" s="568"/>
    </row>
    <row r="25" spans="1:11" ht="16.5" x14ac:dyDescent="0.3">
      <c r="A25" s="588"/>
      <c r="B25" s="587">
        <v>10</v>
      </c>
      <c r="C25" s="1548" t="s">
        <v>950</v>
      </c>
      <c r="D25" s="1549"/>
      <c r="E25" s="1549"/>
      <c r="F25" s="1549"/>
      <c r="G25" s="1549"/>
      <c r="H25" s="1549"/>
      <c r="I25" s="1550"/>
      <c r="J25" s="568"/>
      <c r="K25" s="568"/>
    </row>
    <row r="26" spans="1:11" ht="16.5" x14ac:dyDescent="0.3">
      <c r="A26" s="584"/>
      <c r="B26" s="587">
        <v>11</v>
      </c>
      <c r="C26" s="1548" t="s">
        <v>951</v>
      </c>
      <c r="D26" s="1549"/>
      <c r="E26" s="1549"/>
      <c r="F26" s="1549"/>
      <c r="G26" s="1549"/>
      <c r="H26" s="1549"/>
      <c r="I26" s="1550"/>
      <c r="J26" s="568"/>
      <c r="K26" s="568"/>
    </row>
    <row r="27" spans="1:11" ht="16.5" x14ac:dyDescent="0.3">
      <c r="A27" s="588"/>
      <c r="B27" s="587">
        <v>12</v>
      </c>
      <c r="C27" s="1548" t="s">
        <v>952</v>
      </c>
      <c r="D27" s="1549"/>
      <c r="E27" s="1549"/>
      <c r="F27" s="1549"/>
      <c r="G27" s="1549"/>
      <c r="H27" s="1549"/>
      <c r="I27" s="1550"/>
      <c r="J27" s="568"/>
      <c r="K27" s="568"/>
    </row>
    <row r="28" spans="1:11" ht="13.5" customHeight="1" x14ac:dyDescent="0.3">
      <c r="A28" s="584"/>
      <c r="B28" s="587">
        <v>13</v>
      </c>
      <c r="C28" s="1548" t="s">
        <v>953</v>
      </c>
      <c r="D28" s="1549"/>
      <c r="E28" s="1549"/>
      <c r="F28" s="1549"/>
      <c r="G28" s="1549"/>
      <c r="H28" s="1549"/>
      <c r="I28" s="1550"/>
      <c r="J28" s="568"/>
      <c r="K28" s="568"/>
    </row>
    <row r="29" spans="1:11" ht="16.5" x14ac:dyDescent="0.3">
      <c r="A29" s="588"/>
      <c r="B29" s="589">
        <v>14</v>
      </c>
      <c r="C29" s="1548" t="s">
        <v>945</v>
      </c>
      <c r="D29" s="1549"/>
      <c r="E29" s="1549"/>
      <c r="F29" s="1549"/>
      <c r="G29" s="1549"/>
      <c r="H29" s="1549"/>
      <c r="I29" s="1550"/>
      <c r="J29" s="568"/>
      <c r="K29" s="568"/>
    </row>
    <row r="30" spans="1:11" ht="16.5" customHeight="1" x14ac:dyDescent="0.25">
      <c r="A30" s="1551" t="s">
        <v>954</v>
      </c>
      <c r="B30" s="1552"/>
      <c r="C30" s="1552"/>
      <c r="D30" s="1552"/>
      <c r="E30" s="1552"/>
      <c r="F30" s="1552"/>
      <c r="G30" s="1552"/>
      <c r="H30" s="1552"/>
      <c r="I30" s="1552"/>
      <c r="J30" s="1552"/>
      <c r="K30" s="1553"/>
    </row>
    <row r="31" spans="1:11" ht="16.5" x14ac:dyDescent="0.3">
      <c r="A31" s="584"/>
      <c r="B31" s="586">
        <v>1</v>
      </c>
      <c r="C31" s="1548" t="s">
        <v>941</v>
      </c>
      <c r="D31" s="1549"/>
      <c r="E31" s="1549"/>
      <c r="F31" s="1549"/>
      <c r="G31" s="1549"/>
      <c r="H31" s="1549"/>
      <c r="I31" s="1550"/>
      <c r="J31" s="568"/>
      <c r="K31" s="568"/>
    </row>
    <row r="32" spans="1:11" ht="15.75" x14ac:dyDescent="0.3">
      <c r="A32" s="590"/>
      <c r="B32" s="587">
        <v>2</v>
      </c>
      <c r="C32" s="1548" t="s">
        <v>938</v>
      </c>
      <c r="D32" s="1549"/>
      <c r="E32" s="1549"/>
      <c r="F32" s="1549"/>
      <c r="G32" s="1549"/>
      <c r="H32" s="1549"/>
      <c r="I32" s="1550"/>
      <c r="J32" s="568"/>
      <c r="K32" s="568"/>
    </row>
    <row r="33" spans="1:11" ht="16.5" x14ac:dyDescent="0.3">
      <c r="A33" s="584"/>
      <c r="B33" s="587">
        <v>3</v>
      </c>
      <c r="C33" s="1548" t="s">
        <v>955</v>
      </c>
      <c r="D33" s="1549"/>
      <c r="E33" s="1549"/>
      <c r="F33" s="1549"/>
      <c r="G33" s="1549"/>
      <c r="H33" s="1549"/>
      <c r="I33" s="1550"/>
      <c r="J33" s="568"/>
      <c r="K33" s="568"/>
    </row>
    <row r="34" spans="1:11" ht="15.75" x14ac:dyDescent="0.3">
      <c r="A34" s="590"/>
      <c r="B34" s="587">
        <v>4</v>
      </c>
      <c r="C34" s="1548" t="s">
        <v>942</v>
      </c>
      <c r="D34" s="1549"/>
      <c r="E34" s="1549"/>
      <c r="F34" s="1549"/>
      <c r="G34" s="1549"/>
      <c r="H34" s="1549"/>
      <c r="I34" s="1550"/>
      <c r="J34" s="568"/>
      <c r="K34" s="568"/>
    </row>
    <row r="35" spans="1:11" ht="16.5" x14ac:dyDescent="0.3">
      <c r="A35" s="584"/>
      <c r="B35" s="587">
        <v>5</v>
      </c>
      <c r="C35" s="1548" t="s">
        <v>943</v>
      </c>
      <c r="D35" s="1549"/>
      <c r="E35" s="1549"/>
      <c r="F35" s="1549"/>
      <c r="G35" s="1549"/>
      <c r="H35" s="1549"/>
      <c r="I35" s="1550"/>
      <c r="J35" s="568"/>
      <c r="K35" s="568"/>
    </row>
    <row r="36" spans="1:11" ht="15.75" x14ac:dyDescent="0.3">
      <c r="A36" s="590"/>
      <c r="B36" s="587">
        <v>6</v>
      </c>
      <c r="C36" s="1548" t="s">
        <v>940</v>
      </c>
      <c r="D36" s="1549"/>
      <c r="E36" s="1549"/>
      <c r="F36" s="1549"/>
      <c r="G36" s="1549"/>
      <c r="H36" s="1549"/>
      <c r="I36" s="1550"/>
      <c r="J36" s="568"/>
      <c r="K36" s="568"/>
    </row>
    <row r="37" spans="1:11" ht="16.5" x14ac:dyDescent="0.3">
      <c r="A37" s="584"/>
      <c r="B37" s="587">
        <v>7</v>
      </c>
      <c r="C37" s="1548" t="s">
        <v>956</v>
      </c>
      <c r="D37" s="1549"/>
      <c r="E37" s="1549"/>
      <c r="F37" s="1549"/>
      <c r="G37" s="1549"/>
      <c r="H37" s="1549"/>
      <c r="I37" s="1550"/>
      <c r="J37" s="568"/>
      <c r="K37" s="568"/>
    </row>
    <row r="38" spans="1:11" ht="15.75" x14ac:dyDescent="0.3">
      <c r="A38" s="590"/>
      <c r="B38" s="587">
        <v>8</v>
      </c>
      <c r="C38" s="1548" t="s">
        <v>957</v>
      </c>
      <c r="D38" s="1549"/>
      <c r="E38" s="1549"/>
      <c r="F38" s="1549"/>
      <c r="G38" s="1549"/>
      <c r="H38" s="1549"/>
      <c r="I38" s="1550"/>
      <c r="J38" s="568"/>
      <c r="K38" s="568"/>
    </row>
    <row r="39" spans="1:11" ht="16.5" x14ac:dyDescent="0.3">
      <c r="A39" s="584"/>
      <c r="B39" s="587">
        <v>9</v>
      </c>
      <c r="C39" s="1548" t="s">
        <v>958</v>
      </c>
      <c r="D39" s="1549"/>
      <c r="E39" s="1549"/>
      <c r="F39" s="1549"/>
      <c r="G39" s="1549"/>
      <c r="H39" s="1549"/>
      <c r="I39" s="1550"/>
      <c r="J39" s="568"/>
      <c r="K39" s="568"/>
    </row>
    <row r="40" spans="1:11" ht="15.75" x14ac:dyDescent="0.3">
      <c r="A40" s="590"/>
      <c r="B40" s="587">
        <v>10</v>
      </c>
      <c r="C40" s="1548" t="s">
        <v>959</v>
      </c>
      <c r="D40" s="1549"/>
      <c r="E40" s="1549"/>
      <c r="F40" s="1549"/>
      <c r="G40" s="1549"/>
      <c r="H40" s="1549"/>
      <c r="I40" s="1550"/>
      <c r="J40" s="568"/>
      <c r="K40" s="568"/>
    </row>
    <row r="41" spans="1:11" ht="16.5" x14ac:dyDescent="0.3">
      <c r="A41" s="584"/>
      <c r="B41" s="587">
        <v>11</v>
      </c>
      <c r="C41" s="1548" t="s">
        <v>944</v>
      </c>
      <c r="D41" s="1549"/>
      <c r="E41" s="1549"/>
      <c r="F41" s="1549"/>
      <c r="G41" s="1549"/>
      <c r="H41" s="1549"/>
      <c r="I41" s="1550"/>
      <c r="J41" s="568"/>
      <c r="K41" s="568"/>
    </row>
    <row r="42" spans="1:11" ht="15.75" x14ac:dyDescent="0.3">
      <c r="A42" s="590"/>
      <c r="B42" s="587">
        <v>12</v>
      </c>
      <c r="C42" s="1548" t="s">
        <v>948</v>
      </c>
      <c r="D42" s="1549"/>
      <c r="E42" s="1549"/>
      <c r="F42" s="1549"/>
      <c r="G42" s="1549"/>
      <c r="H42" s="1549"/>
      <c r="I42" s="1550"/>
      <c r="J42" s="568"/>
      <c r="K42" s="568"/>
    </row>
    <row r="43" spans="1:11" ht="16.5" x14ac:dyDescent="0.3">
      <c r="A43" s="584"/>
      <c r="B43" s="587">
        <v>13</v>
      </c>
      <c r="C43" s="1548" t="s">
        <v>945</v>
      </c>
      <c r="D43" s="1549"/>
      <c r="E43" s="1549"/>
      <c r="F43" s="1549"/>
      <c r="G43" s="1549"/>
      <c r="H43" s="1549"/>
      <c r="I43" s="1550"/>
      <c r="J43" s="568"/>
      <c r="K43" s="568"/>
    </row>
    <row r="44" spans="1:11" ht="16.5" customHeight="1" x14ac:dyDescent="0.25">
      <c r="A44" s="1551" t="s">
        <v>960</v>
      </c>
      <c r="B44" s="1552"/>
      <c r="C44" s="1552"/>
      <c r="D44" s="1552"/>
      <c r="E44" s="1552"/>
      <c r="F44" s="1552"/>
      <c r="G44" s="1552"/>
      <c r="H44" s="1552"/>
      <c r="I44" s="1552"/>
      <c r="J44" s="1552"/>
      <c r="K44" s="1553"/>
    </row>
    <row r="45" spans="1:11" ht="16.5" x14ac:dyDescent="0.3">
      <c r="A45" s="584"/>
      <c r="B45" s="586">
        <v>1</v>
      </c>
      <c r="C45" s="1548" t="s">
        <v>941</v>
      </c>
      <c r="D45" s="1549"/>
      <c r="E45" s="1549"/>
      <c r="F45" s="1549"/>
      <c r="G45" s="1549"/>
      <c r="H45" s="1549"/>
      <c r="I45" s="1550"/>
      <c r="J45" s="568"/>
      <c r="K45" s="568"/>
    </row>
    <row r="46" spans="1:11" ht="15.75" x14ac:dyDescent="0.3">
      <c r="A46" s="590"/>
      <c r="B46" s="587">
        <v>2</v>
      </c>
      <c r="C46" s="1548" t="s">
        <v>961</v>
      </c>
      <c r="D46" s="1549"/>
      <c r="E46" s="1549"/>
      <c r="F46" s="1549"/>
      <c r="G46" s="1549"/>
      <c r="H46" s="1549"/>
      <c r="I46" s="1550"/>
      <c r="J46" s="568"/>
      <c r="K46" s="568"/>
    </row>
    <row r="47" spans="1:11" ht="18.75" customHeight="1" x14ac:dyDescent="0.3">
      <c r="A47" s="584"/>
      <c r="B47" s="587">
        <v>3</v>
      </c>
      <c r="C47" s="1548" t="s">
        <v>962</v>
      </c>
      <c r="D47" s="1549"/>
      <c r="E47" s="1549"/>
      <c r="F47" s="1549"/>
      <c r="G47" s="1549"/>
      <c r="H47" s="1549"/>
      <c r="I47" s="1550"/>
      <c r="J47" s="568"/>
      <c r="K47" s="568"/>
    </row>
    <row r="48" spans="1:11" ht="15.75" x14ac:dyDescent="0.3">
      <c r="A48" s="590"/>
      <c r="B48" s="587">
        <v>4</v>
      </c>
      <c r="C48" s="1548" t="s">
        <v>963</v>
      </c>
      <c r="D48" s="1549"/>
      <c r="E48" s="1549"/>
      <c r="F48" s="1549"/>
      <c r="G48" s="1549"/>
      <c r="H48" s="1549"/>
      <c r="I48" s="1550"/>
      <c r="J48" s="568"/>
      <c r="K48" s="568"/>
    </row>
    <row r="49" spans="1:11" ht="16.5" x14ac:dyDescent="0.3">
      <c r="A49" s="584"/>
      <c r="B49" s="587">
        <v>5</v>
      </c>
      <c r="C49" s="1548" t="s">
        <v>964</v>
      </c>
      <c r="D49" s="1549"/>
      <c r="E49" s="1549"/>
      <c r="F49" s="1549"/>
      <c r="G49" s="1549"/>
      <c r="H49" s="1549"/>
      <c r="I49" s="1550"/>
      <c r="J49" s="568"/>
      <c r="K49" s="568"/>
    </row>
    <row r="50" spans="1:11" ht="15.75" x14ac:dyDescent="0.3">
      <c r="A50" s="590"/>
      <c r="B50" s="587">
        <v>6</v>
      </c>
      <c r="C50" s="1548" t="s">
        <v>948</v>
      </c>
      <c r="D50" s="1549"/>
      <c r="E50" s="1549"/>
      <c r="F50" s="1549"/>
      <c r="G50" s="1549"/>
      <c r="H50" s="1549"/>
      <c r="I50" s="1550"/>
      <c r="J50" s="568"/>
      <c r="K50" s="568"/>
    </row>
    <row r="51" spans="1:11" ht="16.5" x14ac:dyDescent="0.3">
      <c r="A51" s="584"/>
      <c r="B51" s="587">
        <v>7</v>
      </c>
      <c r="C51" s="1548" t="s">
        <v>965</v>
      </c>
      <c r="D51" s="1549"/>
      <c r="E51" s="1549"/>
      <c r="F51" s="1549"/>
      <c r="G51" s="1549"/>
      <c r="H51" s="1549"/>
      <c r="I51" s="1550"/>
      <c r="J51" s="568"/>
      <c r="K51" s="568"/>
    </row>
    <row r="52" spans="1:11" ht="15.75" x14ac:dyDescent="0.3">
      <c r="A52" s="590"/>
      <c r="B52" s="591">
        <v>8</v>
      </c>
      <c r="C52" s="1548" t="s">
        <v>966</v>
      </c>
      <c r="D52" s="1549"/>
      <c r="E52" s="1549"/>
      <c r="F52" s="1549"/>
      <c r="G52" s="1549"/>
      <c r="H52" s="1549"/>
      <c r="I52" s="1550"/>
      <c r="J52" s="568"/>
      <c r="K52" s="568"/>
    </row>
    <row r="53" spans="1:11" ht="16.5" customHeight="1" x14ac:dyDescent="0.25">
      <c r="A53" s="1551" t="s">
        <v>967</v>
      </c>
      <c r="B53" s="1552"/>
      <c r="C53" s="1552"/>
      <c r="D53" s="1552"/>
      <c r="E53" s="1552"/>
      <c r="F53" s="1552"/>
      <c r="G53" s="1552"/>
      <c r="H53" s="1552"/>
      <c r="I53" s="1552"/>
      <c r="J53" s="1552"/>
      <c r="K53" s="1553"/>
    </row>
    <row r="54" spans="1:11" ht="15.75" x14ac:dyDescent="0.3">
      <c r="A54" s="590"/>
      <c r="B54" s="586">
        <v>1</v>
      </c>
      <c r="C54" s="1548" t="s">
        <v>956</v>
      </c>
      <c r="D54" s="1549"/>
      <c r="E54" s="1549"/>
      <c r="F54" s="1549"/>
      <c r="G54" s="1549"/>
      <c r="H54" s="1549"/>
      <c r="I54" s="1550"/>
      <c r="J54" s="568"/>
      <c r="K54" s="568"/>
    </row>
    <row r="55" spans="1:11" ht="15.75" x14ac:dyDescent="0.3">
      <c r="A55" s="590"/>
      <c r="B55" s="587">
        <v>2</v>
      </c>
      <c r="C55" s="1548" t="s">
        <v>938</v>
      </c>
      <c r="D55" s="1549"/>
      <c r="E55" s="1549"/>
      <c r="F55" s="1549"/>
      <c r="G55" s="1549"/>
      <c r="H55" s="1549"/>
      <c r="I55" s="1550"/>
      <c r="J55" s="568"/>
      <c r="K55" s="568"/>
    </row>
    <row r="56" spans="1:11" ht="15.75" x14ac:dyDescent="0.3">
      <c r="A56" s="590"/>
      <c r="B56" s="587">
        <v>3</v>
      </c>
      <c r="C56" s="1548" t="s">
        <v>968</v>
      </c>
      <c r="D56" s="1549"/>
      <c r="E56" s="1549"/>
      <c r="F56" s="1549"/>
      <c r="G56" s="1549"/>
      <c r="H56" s="1549"/>
      <c r="I56" s="1550"/>
      <c r="J56" s="568"/>
      <c r="K56" s="568"/>
    </row>
    <row r="57" spans="1:11" ht="15.75" x14ac:dyDescent="0.3">
      <c r="A57" s="590"/>
      <c r="B57" s="587">
        <v>4</v>
      </c>
      <c r="C57" s="1548" t="s">
        <v>957</v>
      </c>
      <c r="D57" s="1549"/>
      <c r="E57" s="1549"/>
      <c r="F57" s="1549"/>
      <c r="G57" s="1549"/>
      <c r="H57" s="1549"/>
      <c r="I57" s="1550"/>
      <c r="J57" s="568"/>
      <c r="K57" s="568"/>
    </row>
    <row r="58" spans="1:11" ht="15.75" x14ac:dyDescent="0.3">
      <c r="A58" s="590"/>
      <c r="B58" s="587">
        <v>5</v>
      </c>
      <c r="C58" s="1548" t="s">
        <v>969</v>
      </c>
      <c r="D58" s="1549"/>
      <c r="E58" s="1549"/>
      <c r="F58" s="1549"/>
      <c r="G58" s="1549"/>
      <c r="H58" s="1549"/>
      <c r="I58" s="1550"/>
      <c r="J58" s="568"/>
      <c r="K58" s="568"/>
    </row>
    <row r="59" spans="1:11" ht="15.75" x14ac:dyDescent="0.3">
      <c r="A59" s="590"/>
      <c r="B59" s="587">
        <v>6</v>
      </c>
      <c r="C59" s="1548" t="s">
        <v>970</v>
      </c>
      <c r="D59" s="1549"/>
      <c r="E59" s="1549"/>
      <c r="F59" s="1549"/>
      <c r="G59" s="1549"/>
      <c r="H59" s="1549"/>
      <c r="I59" s="1550"/>
      <c r="J59" s="568"/>
      <c r="K59" s="568"/>
    </row>
    <row r="60" spans="1:11" ht="15.75" x14ac:dyDescent="0.3">
      <c r="A60" s="590"/>
      <c r="B60" s="587">
        <v>7</v>
      </c>
      <c r="C60" s="1548" t="s">
        <v>971</v>
      </c>
      <c r="D60" s="1549"/>
      <c r="E60" s="1549"/>
      <c r="F60" s="1549"/>
      <c r="G60" s="1549"/>
      <c r="H60" s="1549"/>
      <c r="I60" s="1550"/>
      <c r="J60" s="568"/>
      <c r="K60" s="568"/>
    </row>
    <row r="61" spans="1:11" ht="15" customHeight="1" x14ac:dyDescent="0.3">
      <c r="A61" s="590"/>
      <c r="B61" s="587">
        <v>8</v>
      </c>
      <c r="C61" s="1548" t="s">
        <v>972</v>
      </c>
      <c r="D61" s="1549"/>
      <c r="E61" s="1549"/>
      <c r="F61" s="1549"/>
      <c r="G61" s="1549"/>
      <c r="H61" s="1549"/>
      <c r="I61" s="1550"/>
      <c r="J61" s="568"/>
      <c r="K61" s="568"/>
    </row>
    <row r="62" spans="1:11" ht="15" customHeight="1" x14ac:dyDescent="0.3">
      <c r="A62" s="590"/>
      <c r="B62" s="587">
        <v>9</v>
      </c>
      <c r="C62" s="1548" t="s">
        <v>973</v>
      </c>
      <c r="D62" s="1549"/>
      <c r="E62" s="1549"/>
      <c r="F62" s="1549"/>
      <c r="G62" s="1549"/>
      <c r="H62" s="1549"/>
      <c r="I62" s="1550"/>
      <c r="J62" s="568"/>
      <c r="K62" s="568"/>
    </row>
    <row r="63" spans="1:11" ht="15.75" x14ac:dyDescent="0.3">
      <c r="A63" s="590"/>
      <c r="B63" s="587">
        <v>10</v>
      </c>
      <c r="C63" s="1548" t="s">
        <v>974</v>
      </c>
      <c r="D63" s="1549"/>
      <c r="E63" s="1549"/>
      <c r="F63" s="1549"/>
      <c r="G63" s="1549"/>
      <c r="H63" s="1549"/>
      <c r="I63" s="1550"/>
      <c r="J63" s="568"/>
      <c r="K63" s="568"/>
    </row>
    <row r="64" spans="1:11" ht="15.75" x14ac:dyDescent="0.3">
      <c r="A64" s="590"/>
      <c r="B64" s="587">
        <v>11</v>
      </c>
      <c r="C64" s="1548" t="s">
        <v>975</v>
      </c>
      <c r="D64" s="1549"/>
      <c r="E64" s="1549"/>
      <c r="F64" s="1549"/>
      <c r="G64" s="1549"/>
      <c r="H64" s="1549"/>
      <c r="I64" s="1550"/>
      <c r="J64" s="568"/>
      <c r="K64" s="568"/>
    </row>
    <row r="65" spans="1:11" ht="15.75" x14ac:dyDescent="0.3">
      <c r="A65" s="590"/>
      <c r="B65" s="587">
        <v>12</v>
      </c>
      <c r="C65" s="1548" t="s">
        <v>945</v>
      </c>
      <c r="D65" s="1549"/>
      <c r="E65" s="1549"/>
      <c r="F65" s="1549"/>
      <c r="G65" s="1549"/>
      <c r="H65" s="1549"/>
      <c r="I65" s="1550"/>
      <c r="J65" s="568"/>
      <c r="K65" s="568"/>
    </row>
    <row r="66" spans="1:11" ht="16.5" customHeight="1" x14ac:dyDescent="0.25">
      <c r="A66" s="1551" t="s">
        <v>976</v>
      </c>
      <c r="B66" s="1552"/>
      <c r="C66" s="1552"/>
      <c r="D66" s="1552"/>
      <c r="E66" s="1552"/>
      <c r="F66" s="1552"/>
      <c r="G66" s="1552"/>
      <c r="H66" s="1552"/>
      <c r="I66" s="1552"/>
      <c r="J66" s="1552"/>
      <c r="K66" s="1553"/>
    </row>
    <row r="67" spans="1:11" ht="15.75" x14ac:dyDescent="0.3">
      <c r="A67" s="590"/>
      <c r="B67" s="586">
        <v>1</v>
      </c>
      <c r="C67" s="1548" t="s">
        <v>977</v>
      </c>
      <c r="D67" s="1549"/>
      <c r="E67" s="1549"/>
      <c r="F67" s="1549"/>
      <c r="G67" s="1549"/>
      <c r="H67" s="1549"/>
      <c r="I67" s="1550"/>
      <c r="J67" s="568"/>
      <c r="K67" s="568"/>
    </row>
    <row r="68" spans="1:11" ht="15.75" x14ac:dyDescent="0.3">
      <c r="A68" s="590"/>
      <c r="B68" s="587">
        <v>2</v>
      </c>
      <c r="C68" s="1548" t="s">
        <v>978</v>
      </c>
      <c r="D68" s="1549"/>
      <c r="E68" s="1549"/>
      <c r="F68" s="1549"/>
      <c r="G68" s="1549"/>
      <c r="H68" s="1549"/>
      <c r="I68" s="1550"/>
      <c r="J68" s="568"/>
      <c r="K68" s="568"/>
    </row>
    <row r="69" spans="1:11" ht="15.75" x14ac:dyDescent="0.3">
      <c r="A69" s="590"/>
      <c r="B69" s="587">
        <v>3</v>
      </c>
      <c r="C69" s="1548" t="s">
        <v>979</v>
      </c>
      <c r="D69" s="1549"/>
      <c r="E69" s="1549"/>
      <c r="F69" s="1549"/>
      <c r="G69" s="1549"/>
      <c r="H69" s="1549"/>
      <c r="I69" s="1550"/>
      <c r="J69" s="568"/>
      <c r="K69" s="568"/>
    </row>
    <row r="70" spans="1:11" ht="15.75" x14ac:dyDescent="0.3">
      <c r="A70" s="590"/>
      <c r="B70" s="587">
        <v>4</v>
      </c>
      <c r="C70" s="1548" t="s">
        <v>980</v>
      </c>
      <c r="D70" s="1549"/>
      <c r="E70" s="1549"/>
      <c r="F70" s="1549"/>
      <c r="G70" s="1549"/>
      <c r="H70" s="1549"/>
      <c r="I70" s="1550"/>
      <c r="J70" s="568"/>
      <c r="K70" s="568"/>
    </row>
    <row r="71" spans="1:11" ht="15.75" x14ac:dyDescent="0.3">
      <c r="A71" s="590"/>
      <c r="B71" s="591">
        <v>5</v>
      </c>
      <c r="C71" s="1548" t="s">
        <v>981</v>
      </c>
      <c r="D71" s="1549"/>
      <c r="E71" s="1549"/>
      <c r="F71" s="1549"/>
      <c r="G71" s="1549"/>
      <c r="H71" s="1549"/>
      <c r="I71" s="1550"/>
      <c r="J71" s="568"/>
      <c r="K71" s="568"/>
    </row>
    <row r="72" spans="1:11" ht="16.5" customHeight="1" x14ac:dyDescent="0.25">
      <c r="A72" s="1551" t="s">
        <v>982</v>
      </c>
      <c r="B72" s="1552"/>
      <c r="C72" s="1552"/>
      <c r="D72" s="1552"/>
      <c r="E72" s="1552"/>
      <c r="F72" s="1552"/>
      <c r="G72" s="1552"/>
      <c r="H72" s="1552"/>
      <c r="I72" s="1552"/>
      <c r="J72" s="1552"/>
      <c r="K72" s="1553"/>
    </row>
    <row r="73" spans="1:11" ht="15.75" x14ac:dyDescent="0.3">
      <c r="A73" s="590"/>
      <c r="B73" s="504">
        <v>1</v>
      </c>
      <c r="C73" s="1549" t="s">
        <v>983</v>
      </c>
      <c r="D73" s="1549"/>
      <c r="E73" s="1549"/>
      <c r="F73" s="1549"/>
      <c r="G73" s="1549"/>
      <c r="H73" s="1549"/>
      <c r="I73" s="1550"/>
      <c r="J73" s="568"/>
      <c r="K73" s="568"/>
    </row>
    <row r="74" spans="1:11" ht="15.75" x14ac:dyDescent="0.3">
      <c r="A74" s="590"/>
      <c r="B74" s="592">
        <v>2</v>
      </c>
      <c r="C74" s="1554" t="s">
        <v>984</v>
      </c>
      <c r="D74" s="1554"/>
      <c r="E74" s="1554"/>
      <c r="F74" s="1554"/>
      <c r="G74" s="1554"/>
      <c r="H74" s="1554"/>
      <c r="I74" s="1554"/>
      <c r="J74" s="1554"/>
      <c r="K74" s="1554"/>
    </row>
    <row r="75" spans="1:11" ht="36.75" customHeight="1" x14ac:dyDescent="0.3">
      <c r="A75" s="1302" t="s">
        <v>985</v>
      </c>
      <c r="B75" s="1229"/>
      <c r="C75" s="1229"/>
      <c r="D75" s="1229"/>
      <c r="E75" s="1229"/>
      <c r="F75" s="1303"/>
      <c r="G75" s="1302" t="s">
        <v>986</v>
      </c>
      <c r="H75" s="1229"/>
      <c r="I75" s="1229"/>
      <c r="J75" s="1229"/>
      <c r="K75" s="1303"/>
    </row>
    <row r="76" spans="1:11" ht="16.5" x14ac:dyDescent="0.3">
      <c r="A76" s="5"/>
      <c r="B76" s="5"/>
      <c r="C76" s="5"/>
      <c r="D76" s="5"/>
      <c r="E76" s="5"/>
      <c r="F76" s="5"/>
      <c r="G76" s="5"/>
      <c r="H76" s="5"/>
    </row>
    <row r="77" spans="1:11" ht="16.5" x14ac:dyDescent="0.3">
      <c r="A77" s="5"/>
      <c r="B77" s="5"/>
      <c r="C77" s="5"/>
      <c r="D77" s="5"/>
      <c r="E77" s="5"/>
      <c r="F77" s="5"/>
      <c r="G77" s="5"/>
      <c r="H77" s="5"/>
    </row>
    <row r="78" spans="1:11" ht="16.5" x14ac:dyDescent="0.3">
      <c r="A78" s="5"/>
      <c r="B78" s="5"/>
      <c r="C78" s="5"/>
      <c r="D78" s="5"/>
      <c r="E78" s="5"/>
      <c r="F78" s="5"/>
      <c r="G78" s="5"/>
      <c r="H78" s="5"/>
    </row>
    <row r="79" spans="1:11" ht="16.5" x14ac:dyDescent="0.3">
      <c r="A79" s="5"/>
      <c r="B79" s="5"/>
      <c r="C79" s="5"/>
      <c r="D79" s="5"/>
      <c r="E79" s="5"/>
      <c r="F79" s="5"/>
      <c r="G79" s="5"/>
      <c r="H79" s="5"/>
    </row>
    <row r="80" spans="1:11" ht="16.5" x14ac:dyDescent="0.3">
      <c r="A80" s="5"/>
      <c r="B80" s="5"/>
      <c r="C80" s="5"/>
      <c r="D80" s="5"/>
      <c r="E80" s="5"/>
      <c r="F80" s="5"/>
      <c r="G80" s="5"/>
      <c r="H80" s="5"/>
    </row>
    <row r="81" spans="1:8" ht="16.5" x14ac:dyDescent="0.3">
      <c r="A81" s="5"/>
      <c r="B81" s="5"/>
      <c r="C81" s="5"/>
      <c r="D81" s="5"/>
      <c r="E81" s="5"/>
      <c r="F81" s="5"/>
      <c r="G81" s="5"/>
      <c r="H81" s="5"/>
    </row>
    <row r="82" spans="1:8" ht="16.5" x14ac:dyDescent="0.3">
      <c r="A82" s="5"/>
      <c r="B82" s="5"/>
      <c r="C82" s="5"/>
      <c r="D82" s="5"/>
      <c r="E82" s="5"/>
      <c r="F82" s="5"/>
      <c r="G82" s="5"/>
      <c r="H82" s="5"/>
    </row>
    <row r="83" spans="1:8" ht="16.5" x14ac:dyDescent="0.3">
      <c r="A83" s="5"/>
      <c r="B83" s="5"/>
      <c r="C83" s="5"/>
      <c r="D83" s="5"/>
      <c r="E83" s="5"/>
      <c r="F83" s="5"/>
      <c r="G83" s="5"/>
      <c r="H83" s="5"/>
    </row>
    <row r="84" spans="1:8" ht="16.5" x14ac:dyDescent="0.3">
      <c r="A84" s="5"/>
      <c r="B84" s="5"/>
      <c r="C84" s="5"/>
      <c r="D84" s="5"/>
      <c r="E84" s="5"/>
      <c r="F84" s="5"/>
      <c r="G84" s="5"/>
      <c r="H84" s="5"/>
    </row>
    <row r="85" spans="1:8" ht="16.5" x14ac:dyDescent="0.3">
      <c r="A85" s="5"/>
      <c r="B85" s="5"/>
      <c r="C85" s="5"/>
      <c r="D85" s="5"/>
      <c r="E85" s="5"/>
      <c r="F85" s="5"/>
      <c r="G85" s="5"/>
      <c r="H85" s="5"/>
    </row>
    <row r="86" spans="1:8" ht="16.5" x14ac:dyDescent="0.3">
      <c r="A86" s="5"/>
      <c r="B86" s="5"/>
      <c r="C86" s="5"/>
      <c r="D86" s="5"/>
      <c r="E86" s="5"/>
      <c r="F86" s="5"/>
      <c r="G86" s="5"/>
      <c r="H86" s="5"/>
    </row>
    <row r="87" spans="1:8" ht="16.5" x14ac:dyDescent="0.3">
      <c r="A87" s="5"/>
      <c r="B87" s="5"/>
      <c r="C87" s="5"/>
      <c r="D87" s="5"/>
      <c r="E87" s="5"/>
      <c r="F87" s="5"/>
      <c r="G87" s="5"/>
      <c r="H87" s="5"/>
    </row>
    <row r="88" spans="1:8" ht="16.5" x14ac:dyDescent="0.3">
      <c r="A88" s="5"/>
      <c r="B88" s="5"/>
      <c r="C88" s="5"/>
      <c r="D88" s="5"/>
      <c r="E88" s="5"/>
      <c r="F88" s="5"/>
      <c r="G88" s="5"/>
      <c r="H88" s="5"/>
    </row>
    <row r="89" spans="1:8" ht="16.5" x14ac:dyDescent="0.3">
      <c r="A89" s="5"/>
      <c r="B89" s="5"/>
      <c r="C89" s="5"/>
      <c r="D89" s="5"/>
      <c r="E89" s="5"/>
      <c r="F89" s="5"/>
      <c r="G89" s="5"/>
      <c r="H89" s="5"/>
    </row>
    <row r="90" spans="1:8" ht="16.5" x14ac:dyDescent="0.3">
      <c r="A90" s="5"/>
      <c r="B90" s="5"/>
      <c r="C90" s="5"/>
      <c r="D90" s="5"/>
      <c r="E90" s="5"/>
      <c r="F90" s="5"/>
      <c r="G90" s="5"/>
      <c r="H90" s="5"/>
    </row>
    <row r="91" spans="1:8" ht="16.5" x14ac:dyDescent="0.3">
      <c r="A91" s="5"/>
      <c r="B91" s="5"/>
      <c r="C91" s="5"/>
      <c r="D91" s="5"/>
      <c r="E91" s="5"/>
      <c r="F91" s="5"/>
      <c r="G91" s="5"/>
      <c r="H91" s="5"/>
    </row>
    <row r="92" spans="1:8" ht="16.5" x14ac:dyDescent="0.3">
      <c r="A92" s="5"/>
      <c r="B92" s="5"/>
      <c r="C92" s="5"/>
      <c r="D92" s="5"/>
      <c r="E92" s="5"/>
      <c r="F92" s="5"/>
      <c r="G92" s="5"/>
      <c r="H92" s="5"/>
    </row>
    <row r="93" spans="1:8" ht="16.5" x14ac:dyDescent="0.3">
      <c r="A93" s="5"/>
      <c r="B93" s="5"/>
      <c r="C93" s="5"/>
      <c r="D93" s="5"/>
      <c r="E93" s="5"/>
      <c r="F93" s="5"/>
      <c r="G93" s="5"/>
      <c r="H93" s="5"/>
    </row>
    <row r="94" spans="1:8" ht="16.5" x14ac:dyDescent="0.3">
      <c r="A94" s="5"/>
      <c r="B94" s="5"/>
      <c r="C94" s="5"/>
      <c r="D94" s="5"/>
      <c r="E94" s="5"/>
      <c r="F94" s="5"/>
      <c r="G94" s="5"/>
      <c r="H94" s="5"/>
    </row>
    <row r="95" spans="1:8" ht="16.5" x14ac:dyDescent="0.3">
      <c r="A95" s="5"/>
      <c r="B95" s="5"/>
      <c r="C95" s="5"/>
      <c r="D95" s="5"/>
      <c r="E95" s="5"/>
      <c r="F95" s="5"/>
      <c r="G95" s="5"/>
      <c r="H95" s="5"/>
    </row>
    <row r="96" spans="1:8" ht="16.5" x14ac:dyDescent="0.3">
      <c r="A96" s="5"/>
      <c r="B96" s="5"/>
      <c r="C96" s="5"/>
      <c r="D96" s="5"/>
      <c r="E96" s="5"/>
      <c r="F96" s="5"/>
      <c r="G96" s="5"/>
      <c r="H96" s="5"/>
    </row>
    <row r="97" spans="1:8" ht="16.5" x14ac:dyDescent="0.3">
      <c r="A97" s="5"/>
      <c r="B97" s="5"/>
      <c r="C97" s="5"/>
      <c r="D97" s="5"/>
      <c r="E97" s="5"/>
      <c r="F97" s="5"/>
      <c r="G97" s="5"/>
      <c r="H97" s="5"/>
    </row>
    <row r="98" spans="1:8" ht="16.5" x14ac:dyDescent="0.3">
      <c r="A98" s="5"/>
      <c r="B98" s="5"/>
      <c r="C98" s="5"/>
      <c r="D98" s="5"/>
      <c r="E98" s="5"/>
      <c r="F98" s="5"/>
      <c r="G98" s="5"/>
      <c r="H98" s="5"/>
    </row>
    <row r="99" spans="1:8" ht="16.5" x14ac:dyDescent="0.3">
      <c r="A99" s="5"/>
      <c r="B99" s="5"/>
      <c r="C99" s="5"/>
      <c r="D99" s="5"/>
      <c r="E99" s="5"/>
      <c r="F99" s="5"/>
      <c r="G99" s="5"/>
      <c r="H99" s="5"/>
    </row>
    <row r="100" spans="1:8" ht="16.5" x14ac:dyDescent="0.3">
      <c r="A100" s="5"/>
      <c r="B100" s="5"/>
      <c r="C100" s="5"/>
      <c r="D100" s="5"/>
      <c r="E100" s="5"/>
      <c r="F100" s="5"/>
      <c r="G100" s="5"/>
      <c r="H100" s="5"/>
    </row>
    <row r="101" spans="1:8" ht="16.5" x14ac:dyDescent="0.3">
      <c r="A101" s="5"/>
      <c r="B101" s="5"/>
      <c r="C101" s="5"/>
      <c r="D101" s="5"/>
      <c r="E101" s="5"/>
      <c r="F101" s="5"/>
      <c r="G101" s="5"/>
      <c r="H101" s="5"/>
    </row>
    <row r="102" spans="1:8" ht="16.5" x14ac:dyDescent="0.3">
      <c r="A102" s="5"/>
      <c r="B102" s="5"/>
      <c r="C102" s="5"/>
      <c r="D102" s="5"/>
      <c r="E102" s="5"/>
      <c r="F102" s="5"/>
      <c r="G102" s="5"/>
      <c r="H102" s="5"/>
    </row>
    <row r="103" spans="1:8" ht="16.5" x14ac:dyDescent="0.3">
      <c r="A103" s="5"/>
      <c r="B103" s="5"/>
      <c r="C103" s="5"/>
      <c r="D103" s="5"/>
      <c r="E103" s="5"/>
      <c r="F103" s="5"/>
      <c r="G103" s="5"/>
      <c r="H103" s="5"/>
    </row>
    <row r="104" spans="1:8" ht="16.5" x14ac:dyDescent="0.3">
      <c r="A104" s="5"/>
      <c r="B104" s="5"/>
      <c r="C104" s="5"/>
      <c r="D104" s="5"/>
      <c r="E104" s="5"/>
      <c r="F104" s="5"/>
      <c r="G104" s="5"/>
      <c r="H104" s="5"/>
    </row>
    <row r="105" spans="1:8" ht="16.5" x14ac:dyDescent="0.3">
      <c r="A105" s="5"/>
      <c r="B105" s="5"/>
      <c r="C105" s="5"/>
      <c r="D105" s="5"/>
      <c r="E105" s="5"/>
      <c r="F105" s="5"/>
      <c r="G105" s="5"/>
      <c r="H105" s="5"/>
    </row>
    <row r="106" spans="1:8" ht="16.5" x14ac:dyDescent="0.3">
      <c r="A106" s="5"/>
      <c r="B106" s="5"/>
      <c r="C106" s="5"/>
      <c r="D106" s="5"/>
      <c r="E106" s="5"/>
      <c r="F106" s="5"/>
      <c r="G106" s="5"/>
      <c r="H106" s="5"/>
    </row>
    <row r="107" spans="1:8" ht="16.5" x14ac:dyDescent="0.3">
      <c r="A107" s="5"/>
      <c r="B107" s="5"/>
      <c r="C107" s="5"/>
      <c r="D107" s="5"/>
      <c r="E107" s="5"/>
      <c r="F107" s="5"/>
      <c r="G107" s="5"/>
      <c r="H107" s="5"/>
    </row>
    <row r="108" spans="1:8" ht="16.5" x14ac:dyDescent="0.3">
      <c r="A108" s="5"/>
      <c r="B108" s="5"/>
      <c r="C108" s="5"/>
      <c r="D108" s="5"/>
      <c r="E108" s="5"/>
      <c r="F108" s="5"/>
      <c r="G108" s="5"/>
      <c r="H108" s="5"/>
    </row>
    <row r="109" spans="1:8" ht="16.5" x14ac:dyDescent="0.3">
      <c r="A109" s="5"/>
      <c r="B109" s="5"/>
      <c r="C109" s="5"/>
      <c r="D109" s="5"/>
      <c r="E109" s="5"/>
      <c r="F109" s="5"/>
      <c r="G109" s="5"/>
      <c r="H109" s="5"/>
    </row>
    <row r="110" spans="1:8" ht="16.5" x14ac:dyDescent="0.3">
      <c r="A110" s="5"/>
      <c r="B110" s="5"/>
      <c r="C110" s="5"/>
      <c r="D110" s="5"/>
      <c r="E110" s="5"/>
      <c r="F110" s="5"/>
      <c r="G110" s="5"/>
      <c r="H110" s="5"/>
    </row>
    <row r="111" spans="1:8" ht="16.5" x14ac:dyDescent="0.3">
      <c r="A111" s="5"/>
      <c r="B111" s="5"/>
      <c r="C111" s="5"/>
      <c r="D111" s="5"/>
      <c r="E111" s="5"/>
      <c r="F111" s="5"/>
      <c r="G111" s="5"/>
      <c r="H111" s="5"/>
    </row>
    <row r="112" spans="1:8" ht="16.5" x14ac:dyDescent="0.3">
      <c r="A112" s="5"/>
      <c r="B112" s="5"/>
      <c r="C112" s="5"/>
      <c r="D112" s="5"/>
      <c r="E112" s="5"/>
      <c r="F112" s="5"/>
      <c r="G112" s="5"/>
      <c r="H112" s="5"/>
    </row>
    <row r="113" spans="1:8" ht="16.5" x14ac:dyDescent="0.3">
      <c r="A113" s="5"/>
      <c r="B113" s="5"/>
      <c r="C113" s="5"/>
      <c r="D113" s="5"/>
      <c r="E113" s="5"/>
      <c r="F113" s="5"/>
      <c r="G113" s="5"/>
      <c r="H113" s="5"/>
    </row>
    <row r="114" spans="1:8" ht="16.5" x14ac:dyDescent="0.3">
      <c r="A114" s="5"/>
      <c r="B114" s="5"/>
      <c r="C114" s="5"/>
      <c r="D114" s="5"/>
      <c r="E114" s="5"/>
      <c r="F114" s="5"/>
      <c r="G114" s="5"/>
      <c r="H114" s="5"/>
    </row>
    <row r="115" spans="1:8" ht="16.5" x14ac:dyDescent="0.3">
      <c r="A115" s="5"/>
      <c r="B115" s="5"/>
      <c r="C115" s="5" t="s">
        <v>987</v>
      </c>
      <c r="D115" s="5"/>
      <c r="E115" s="5"/>
      <c r="F115" s="5"/>
      <c r="G115" s="5"/>
      <c r="H115" s="5"/>
    </row>
    <row r="116" spans="1:8" ht="16.5" x14ac:dyDescent="0.3">
      <c r="A116" s="5"/>
      <c r="B116" s="5"/>
      <c r="C116" s="5"/>
      <c r="D116" s="5"/>
      <c r="E116" s="5"/>
      <c r="F116" s="5"/>
      <c r="G116" s="5"/>
      <c r="H116" s="5"/>
    </row>
    <row r="117" spans="1:8" ht="16.5" x14ac:dyDescent="0.3">
      <c r="A117" s="5"/>
      <c r="B117" s="5"/>
      <c r="C117" s="5"/>
      <c r="D117" s="5"/>
      <c r="E117" s="5"/>
      <c r="F117" s="5"/>
      <c r="G117" s="5"/>
      <c r="H117" s="5"/>
    </row>
    <row r="118" spans="1:8" ht="16.5" x14ac:dyDescent="0.3">
      <c r="A118" s="5"/>
      <c r="B118" s="5"/>
      <c r="C118" s="5"/>
      <c r="D118" s="5"/>
      <c r="E118" s="5"/>
      <c r="F118" s="5"/>
      <c r="G118" s="5"/>
      <c r="H118" s="5"/>
    </row>
    <row r="119" spans="1:8" ht="16.5" x14ac:dyDescent="0.3">
      <c r="A119" s="5"/>
      <c r="B119" s="5"/>
      <c r="C119" s="5"/>
      <c r="D119" s="5"/>
      <c r="E119" s="5"/>
      <c r="F119" s="5"/>
      <c r="G119" s="5"/>
      <c r="H119" s="5"/>
    </row>
    <row r="120" spans="1:8" ht="16.5" x14ac:dyDescent="0.3">
      <c r="A120" s="5"/>
      <c r="B120" s="5"/>
      <c r="C120" s="5"/>
      <c r="D120" s="5"/>
      <c r="E120" s="5"/>
      <c r="F120" s="5"/>
      <c r="G120" s="5"/>
      <c r="H120" s="5"/>
    </row>
    <row r="121" spans="1:8" ht="16.5" x14ac:dyDescent="0.3">
      <c r="A121" s="5"/>
      <c r="B121" s="5"/>
      <c r="C121" s="5"/>
      <c r="D121" s="5"/>
      <c r="E121" s="5"/>
      <c r="F121" s="5"/>
      <c r="G121" s="5"/>
      <c r="H121" s="5"/>
    </row>
    <row r="122" spans="1:8" ht="16.5" x14ac:dyDescent="0.3">
      <c r="A122" s="5"/>
      <c r="B122" s="5"/>
      <c r="C122" s="5"/>
      <c r="D122" s="5"/>
      <c r="E122" s="5"/>
      <c r="F122" s="5"/>
      <c r="G122" s="5"/>
      <c r="H122" s="5"/>
    </row>
  </sheetData>
  <mergeCells count="80">
    <mergeCell ref="A3:C3"/>
    <mergeCell ref="D3:I3"/>
    <mergeCell ref="A4:K4"/>
    <mergeCell ref="A1:K1"/>
    <mergeCell ref="A2:C2"/>
    <mergeCell ref="D2:G2"/>
    <mergeCell ref="H2:I2"/>
    <mergeCell ref="J2:K2"/>
    <mergeCell ref="C5:I5"/>
    <mergeCell ref="C6:I6"/>
    <mergeCell ref="C7:I7"/>
    <mergeCell ref="C8:I8"/>
    <mergeCell ref="C9:I9"/>
    <mergeCell ref="C10:I10"/>
    <mergeCell ref="C11:I11"/>
    <mergeCell ref="C12:I12"/>
    <mergeCell ref="C13:I13"/>
    <mergeCell ref="C14:I14"/>
    <mergeCell ref="A15:K15"/>
    <mergeCell ref="C16:I16"/>
    <mergeCell ref="C17:I17"/>
    <mergeCell ref="C18:I18"/>
    <mergeCell ref="C19:I19"/>
    <mergeCell ref="C20:I20"/>
    <mergeCell ref="C21:I21"/>
    <mergeCell ref="C22:I22"/>
    <mergeCell ref="C23:I23"/>
    <mergeCell ref="C24:I24"/>
    <mergeCell ref="C25:I25"/>
    <mergeCell ref="C26:I26"/>
    <mergeCell ref="C27:I27"/>
    <mergeCell ref="C28:I28"/>
    <mergeCell ref="C29:I29"/>
    <mergeCell ref="A30:K30"/>
    <mergeCell ref="C31:I31"/>
    <mergeCell ref="C32:I32"/>
    <mergeCell ref="C33:I33"/>
    <mergeCell ref="C34:I34"/>
    <mergeCell ref="C35:I35"/>
    <mergeCell ref="C36:I36"/>
    <mergeCell ref="C37:I37"/>
    <mergeCell ref="C38:I38"/>
    <mergeCell ref="C39:I39"/>
    <mergeCell ref="C40:I40"/>
    <mergeCell ref="C41:I41"/>
    <mergeCell ref="C42:I42"/>
    <mergeCell ref="C43:I43"/>
    <mergeCell ref="A44:K44"/>
    <mergeCell ref="C45:I45"/>
    <mergeCell ref="C46:I46"/>
    <mergeCell ref="C47:I47"/>
    <mergeCell ref="C48:I48"/>
    <mergeCell ref="C49:I49"/>
    <mergeCell ref="C50:I50"/>
    <mergeCell ref="C51:I51"/>
    <mergeCell ref="C52:I52"/>
    <mergeCell ref="A53:K53"/>
    <mergeCell ref="C54:I54"/>
    <mergeCell ref="C55:I55"/>
    <mergeCell ref="C56:I56"/>
    <mergeCell ref="C57:I57"/>
    <mergeCell ref="C58:I58"/>
    <mergeCell ref="C59:I59"/>
    <mergeCell ref="C60:I60"/>
    <mergeCell ref="C61:I61"/>
    <mergeCell ref="C62:I62"/>
    <mergeCell ref="C63:I63"/>
    <mergeCell ref="C64:I64"/>
    <mergeCell ref="C65:I65"/>
    <mergeCell ref="A66:K66"/>
    <mergeCell ref="C67:I67"/>
    <mergeCell ref="C68:I68"/>
    <mergeCell ref="C69:I69"/>
    <mergeCell ref="A75:F75"/>
    <mergeCell ref="G75:K75"/>
    <mergeCell ref="C70:I70"/>
    <mergeCell ref="C71:I71"/>
    <mergeCell ref="A72:K72"/>
    <mergeCell ref="C73:I73"/>
    <mergeCell ref="C74:K74"/>
  </mergeCells>
  <pageMargins left="0.51181102362204722" right="0.59055118110236227" top="0.9682291666666667" bottom="0.74803149606299213" header="0.31496062992125984" footer="0.31496062992125984"/>
  <pageSetup paperSize="14" scale="65" orientation="portrait" r:id="rId1"/>
  <headerFooter>
    <oddHeader xml:space="preserve">&amp;R&amp;"Century Gothic,Bold"&amp;18ANNEX B:
DOCUMENTARY REQUIREMENTS CHECKLIST&amp;"-,Regular"&amp;11
</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46142" r:id="rId4" name="Check Box 62">
              <controlPr defaultSize="0" autoFill="0" autoLine="0" autoPict="0">
                <anchor moveWithCells="1">
                  <from>
                    <xdr:col>0</xdr:col>
                    <xdr:colOff>28575</xdr:colOff>
                    <xdr:row>3</xdr:row>
                    <xdr:rowOff>190500</xdr:rowOff>
                  </from>
                  <to>
                    <xdr:col>0</xdr:col>
                    <xdr:colOff>209550</xdr:colOff>
                    <xdr:row>5</xdr:row>
                    <xdr:rowOff>28575</xdr:rowOff>
                  </to>
                </anchor>
              </controlPr>
            </control>
          </mc:Choice>
        </mc:AlternateContent>
        <mc:AlternateContent xmlns:mc="http://schemas.openxmlformats.org/markup-compatibility/2006">
          <mc:Choice Requires="x14">
            <control shapeId="46143" r:id="rId5" name="Check Box 63">
              <controlPr defaultSize="0" autoFill="0" autoLine="0" autoPict="0">
                <anchor moveWithCells="1">
                  <from>
                    <xdr:col>0</xdr:col>
                    <xdr:colOff>28575</xdr:colOff>
                    <xdr:row>4</xdr:row>
                    <xdr:rowOff>209550</xdr:rowOff>
                  </from>
                  <to>
                    <xdr:col>0</xdr:col>
                    <xdr:colOff>209550</xdr:colOff>
                    <xdr:row>6</xdr:row>
                    <xdr:rowOff>19050</xdr:rowOff>
                  </to>
                </anchor>
              </controlPr>
            </control>
          </mc:Choice>
        </mc:AlternateContent>
        <mc:AlternateContent xmlns:mc="http://schemas.openxmlformats.org/markup-compatibility/2006">
          <mc:Choice Requires="x14">
            <control shapeId="46144" r:id="rId6" name="Check Box 64">
              <controlPr defaultSize="0" autoFill="0" autoLine="0" autoPict="0">
                <anchor moveWithCells="1">
                  <from>
                    <xdr:col>0</xdr:col>
                    <xdr:colOff>28575</xdr:colOff>
                    <xdr:row>5</xdr:row>
                    <xdr:rowOff>171450</xdr:rowOff>
                  </from>
                  <to>
                    <xdr:col>0</xdr:col>
                    <xdr:colOff>209550</xdr:colOff>
                    <xdr:row>6</xdr:row>
                    <xdr:rowOff>180975</xdr:rowOff>
                  </to>
                </anchor>
              </controlPr>
            </control>
          </mc:Choice>
        </mc:AlternateContent>
        <mc:AlternateContent xmlns:mc="http://schemas.openxmlformats.org/markup-compatibility/2006">
          <mc:Choice Requires="x14">
            <control shapeId="46145" r:id="rId7" name="Check Box 65">
              <controlPr defaultSize="0" autoFill="0" autoLine="0" autoPict="0">
                <anchor moveWithCells="1">
                  <from>
                    <xdr:col>0</xdr:col>
                    <xdr:colOff>28575</xdr:colOff>
                    <xdr:row>6</xdr:row>
                    <xdr:rowOff>171450</xdr:rowOff>
                  </from>
                  <to>
                    <xdr:col>0</xdr:col>
                    <xdr:colOff>209550</xdr:colOff>
                    <xdr:row>7</xdr:row>
                    <xdr:rowOff>180975</xdr:rowOff>
                  </to>
                </anchor>
              </controlPr>
            </control>
          </mc:Choice>
        </mc:AlternateContent>
        <mc:AlternateContent xmlns:mc="http://schemas.openxmlformats.org/markup-compatibility/2006">
          <mc:Choice Requires="x14">
            <control shapeId="46146" r:id="rId8" name="Check Box 66">
              <controlPr defaultSize="0" autoFill="0" autoLine="0" autoPict="0">
                <anchor moveWithCells="1">
                  <from>
                    <xdr:col>0</xdr:col>
                    <xdr:colOff>28575</xdr:colOff>
                    <xdr:row>7</xdr:row>
                    <xdr:rowOff>171450</xdr:rowOff>
                  </from>
                  <to>
                    <xdr:col>0</xdr:col>
                    <xdr:colOff>209550</xdr:colOff>
                    <xdr:row>8</xdr:row>
                    <xdr:rowOff>180975</xdr:rowOff>
                  </to>
                </anchor>
              </controlPr>
            </control>
          </mc:Choice>
        </mc:AlternateContent>
        <mc:AlternateContent xmlns:mc="http://schemas.openxmlformats.org/markup-compatibility/2006">
          <mc:Choice Requires="x14">
            <control shapeId="46147" r:id="rId9" name="Check Box 67">
              <controlPr defaultSize="0" autoFill="0" autoLine="0" autoPict="0">
                <anchor moveWithCells="1">
                  <from>
                    <xdr:col>0</xdr:col>
                    <xdr:colOff>28575</xdr:colOff>
                    <xdr:row>8</xdr:row>
                    <xdr:rowOff>171450</xdr:rowOff>
                  </from>
                  <to>
                    <xdr:col>0</xdr:col>
                    <xdr:colOff>209550</xdr:colOff>
                    <xdr:row>9</xdr:row>
                    <xdr:rowOff>180975</xdr:rowOff>
                  </to>
                </anchor>
              </controlPr>
            </control>
          </mc:Choice>
        </mc:AlternateContent>
        <mc:AlternateContent xmlns:mc="http://schemas.openxmlformats.org/markup-compatibility/2006">
          <mc:Choice Requires="x14">
            <control shapeId="46148" r:id="rId10" name="Check Box 68">
              <controlPr defaultSize="0" autoFill="0" autoLine="0" autoPict="0">
                <anchor moveWithCells="1">
                  <from>
                    <xdr:col>0</xdr:col>
                    <xdr:colOff>28575</xdr:colOff>
                    <xdr:row>10</xdr:row>
                    <xdr:rowOff>0</xdr:rowOff>
                  </from>
                  <to>
                    <xdr:col>0</xdr:col>
                    <xdr:colOff>209550</xdr:colOff>
                    <xdr:row>11</xdr:row>
                    <xdr:rowOff>19050</xdr:rowOff>
                  </to>
                </anchor>
              </controlPr>
            </control>
          </mc:Choice>
        </mc:AlternateContent>
        <mc:AlternateContent xmlns:mc="http://schemas.openxmlformats.org/markup-compatibility/2006">
          <mc:Choice Requires="x14">
            <control shapeId="46149" r:id="rId11" name="Check Box 69">
              <controlPr defaultSize="0" autoFill="0" autoLine="0" autoPict="0">
                <anchor moveWithCells="1">
                  <from>
                    <xdr:col>0</xdr:col>
                    <xdr:colOff>28575</xdr:colOff>
                    <xdr:row>10</xdr:row>
                    <xdr:rowOff>180975</xdr:rowOff>
                  </from>
                  <to>
                    <xdr:col>0</xdr:col>
                    <xdr:colOff>209550</xdr:colOff>
                    <xdr:row>12</xdr:row>
                    <xdr:rowOff>0</xdr:rowOff>
                  </to>
                </anchor>
              </controlPr>
            </control>
          </mc:Choice>
        </mc:AlternateContent>
        <mc:AlternateContent xmlns:mc="http://schemas.openxmlformats.org/markup-compatibility/2006">
          <mc:Choice Requires="x14">
            <control shapeId="46150" r:id="rId12" name="Check Box 70">
              <controlPr defaultSize="0" autoFill="0" autoLine="0" autoPict="0">
                <anchor moveWithCells="1">
                  <from>
                    <xdr:col>0</xdr:col>
                    <xdr:colOff>28575</xdr:colOff>
                    <xdr:row>12</xdr:row>
                    <xdr:rowOff>0</xdr:rowOff>
                  </from>
                  <to>
                    <xdr:col>0</xdr:col>
                    <xdr:colOff>209550</xdr:colOff>
                    <xdr:row>13</xdr:row>
                    <xdr:rowOff>19050</xdr:rowOff>
                  </to>
                </anchor>
              </controlPr>
            </control>
          </mc:Choice>
        </mc:AlternateContent>
        <mc:AlternateContent xmlns:mc="http://schemas.openxmlformats.org/markup-compatibility/2006">
          <mc:Choice Requires="x14">
            <control shapeId="46151" r:id="rId13" name="Check Box 71">
              <controlPr defaultSize="0" autoFill="0" autoLine="0" autoPict="0">
                <anchor moveWithCells="1">
                  <from>
                    <xdr:col>0</xdr:col>
                    <xdr:colOff>28575</xdr:colOff>
                    <xdr:row>12</xdr:row>
                    <xdr:rowOff>190500</xdr:rowOff>
                  </from>
                  <to>
                    <xdr:col>0</xdr:col>
                    <xdr:colOff>209550</xdr:colOff>
                    <xdr:row>14</xdr:row>
                    <xdr:rowOff>0</xdr:rowOff>
                  </to>
                </anchor>
              </controlPr>
            </control>
          </mc:Choice>
        </mc:AlternateContent>
        <mc:AlternateContent xmlns:mc="http://schemas.openxmlformats.org/markup-compatibility/2006">
          <mc:Choice Requires="x14">
            <control shapeId="46152" r:id="rId14" name="Check Box 72">
              <controlPr defaultSize="0" autoFill="0" autoLine="0" autoPict="0">
                <anchor moveWithCells="1">
                  <from>
                    <xdr:col>0</xdr:col>
                    <xdr:colOff>28575</xdr:colOff>
                    <xdr:row>14</xdr:row>
                    <xdr:rowOff>190500</xdr:rowOff>
                  </from>
                  <to>
                    <xdr:col>0</xdr:col>
                    <xdr:colOff>209550</xdr:colOff>
                    <xdr:row>16</xdr:row>
                    <xdr:rowOff>0</xdr:rowOff>
                  </to>
                </anchor>
              </controlPr>
            </control>
          </mc:Choice>
        </mc:AlternateContent>
        <mc:AlternateContent xmlns:mc="http://schemas.openxmlformats.org/markup-compatibility/2006">
          <mc:Choice Requires="x14">
            <control shapeId="46153" r:id="rId15" name="Check Box 73">
              <controlPr defaultSize="0" autoFill="0" autoLine="0" autoPict="0">
                <anchor moveWithCells="1">
                  <from>
                    <xdr:col>0</xdr:col>
                    <xdr:colOff>28575</xdr:colOff>
                    <xdr:row>15</xdr:row>
                    <xdr:rowOff>190500</xdr:rowOff>
                  </from>
                  <to>
                    <xdr:col>0</xdr:col>
                    <xdr:colOff>209550</xdr:colOff>
                    <xdr:row>17</xdr:row>
                    <xdr:rowOff>0</xdr:rowOff>
                  </to>
                </anchor>
              </controlPr>
            </control>
          </mc:Choice>
        </mc:AlternateContent>
        <mc:AlternateContent xmlns:mc="http://schemas.openxmlformats.org/markup-compatibility/2006">
          <mc:Choice Requires="x14">
            <control shapeId="46154" r:id="rId16" name="Check Box 74">
              <controlPr defaultSize="0" autoFill="0" autoLine="0" autoPict="0">
                <anchor moveWithCells="1">
                  <from>
                    <xdr:col>0</xdr:col>
                    <xdr:colOff>28575</xdr:colOff>
                    <xdr:row>16</xdr:row>
                    <xdr:rowOff>190500</xdr:rowOff>
                  </from>
                  <to>
                    <xdr:col>0</xdr:col>
                    <xdr:colOff>209550</xdr:colOff>
                    <xdr:row>18</xdr:row>
                    <xdr:rowOff>0</xdr:rowOff>
                  </to>
                </anchor>
              </controlPr>
            </control>
          </mc:Choice>
        </mc:AlternateContent>
        <mc:AlternateContent xmlns:mc="http://schemas.openxmlformats.org/markup-compatibility/2006">
          <mc:Choice Requires="x14">
            <control shapeId="46155" r:id="rId17" name="Check Box 75">
              <controlPr defaultSize="0" autoFill="0" autoLine="0" autoPict="0">
                <anchor moveWithCells="1">
                  <from>
                    <xdr:col>0</xdr:col>
                    <xdr:colOff>28575</xdr:colOff>
                    <xdr:row>17</xdr:row>
                    <xdr:rowOff>190500</xdr:rowOff>
                  </from>
                  <to>
                    <xdr:col>0</xdr:col>
                    <xdr:colOff>209550</xdr:colOff>
                    <xdr:row>19</xdr:row>
                    <xdr:rowOff>0</xdr:rowOff>
                  </to>
                </anchor>
              </controlPr>
            </control>
          </mc:Choice>
        </mc:AlternateContent>
        <mc:AlternateContent xmlns:mc="http://schemas.openxmlformats.org/markup-compatibility/2006">
          <mc:Choice Requires="x14">
            <control shapeId="46156" r:id="rId18" name="Check Box 76">
              <controlPr defaultSize="0" autoFill="0" autoLine="0" autoPict="0">
                <anchor moveWithCells="1">
                  <from>
                    <xdr:col>0</xdr:col>
                    <xdr:colOff>28575</xdr:colOff>
                    <xdr:row>18</xdr:row>
                    <xdr:rowOff>190500</xdr:rowOff>
                  </from>
                  <to>
                    <xdr:col>0</xdr:col>
                    <xdr:colOff>209550</xdr:colOff>
                    <xdr:row>20</xdr:row>
                    <xdr:rowOff>0</xdr:rowOff>
                  </to>
                </anchor>
              </controlPr>
            </control>
          </mc:Choice>
        </mc:AlternateContent>
        <mc:AlternateContent xmlns:mc="http://schemas.openxmlformats.org/markup-compatibility/2006">
          <mc:Choice Requires="x14">
            <control shapeId="46157" r:id="rId19" name="Check Box 77">
              <controlPr defaultSize="0" autoFill="0" autoLine="0" autoPict="0">
                <anchor moveWithCells="1">
                  <from>
                    <xdr:col>0</xdr:col>
                    <xdr:colOff>28575</xdr:colOff>
                    <xdr:row>19</xdr:row>
                    <xdr:rowOff>190500</xdr:rowOff>
                  </from>
                  <to>
                    <xdr:col>0</xdr:col>
                    <xdr:colOff>209550</xdr:colOff>
                    <xdr:row>21</xdr:row>
                    <xdr:rowOff>0</xdr:rowOff>
                  </to>
                </anchor>
              </controlPr>
            </control>
          </mc:Choice>
        </mc:AlternateContent>
        <mc:AlternateContent xmlns:mc="http://schemas.openxmlformats.org/markup-compatibility/2006">
          <mc:Choice Requires="x14">
            <control shapeId="46158" r:id="rId20" name="Check Box 78">
              <controlPr defaultSize="0" autoFill="0" autoLine="0" autoPict="0">
                <anchor moveWithCells="1">
                  <from>
                    <xdr:col>0</xdr:col>
                    <xdr:colOff>28575</xdr:colOff>
                    <xdr:row>20</xdr:row>
                    <xdr:rowOff>190500</xdr:rowOff>
                  </from>
                  <to>
                    <xdr:col>0</xdr:col>
                    <xdr:colOff>209550</xdr:colOff>
                    <xdr:row>22</xdr:row>
                    <xdr:rowOff>0</xdr:rowOff>
                  </to>
                </anchor>
              </controlPr>
            </control>
          </mc:Choice>
        </mc:AlternateContent>
        <mc:AlternateContent xmlns:mc="http://schemas.openxmlformats.org/markup-compatibility/2006">
          <mc:Choice Requires="x14">
            <control shapeId="46159" r:id="rId21" name="Check Box 79">
              <controlPr defaultSize="0" autoFill="0" autoLine="0" autoPict="0">
                <anchor moveWithCells="1">
                  <from>
                    <xdr:col>0</xdr:col>
                    <xdr:colOff>28575</xdr:colOff>
                    <xdr:row>21</xdr:row>
                    <xdr:rowOff>190500</xdr:rowOff>
                  </from>
                  <to>
                    <xdr:col>0</xdr:col>
                    <xdr:colOff>209550</xdr:colOff>
                    <xdr:row>23</xdr:row>
                    <xdr:rowOff>0</xdr:rowOff>
                  </to>
                </anchor>
              </controlPr>
            </control>
          </mc:Choice>
        </mc:AlternateContent>
        <mc:AlternateContent xmlns:mc="http://schemas.openxmlformats.org/markup-compatibility/2006">
          <mc:Choice Requires="x14">
            <control shapeId="46160" r:id="rId22" name="Check Box 80">
              <controlPr defaultSize="0" autoFill="0" autoLine="0" autoPict="0">
                <anchor moveWithCells="1">
                  <from>
                    <xdr:col>0</xdr:col>
                    <xdr:colOff>28575</xdr:colOff>
                    <xdr:row>22</xdr:row>
                    <xdr:rowOff>190500</xdr:rowOff>
                  </from>
                  <to>
                    <xdr:col>0</xdr:col>
                    <xdr:colOff>209550</xdr:colOff>
                    <xdr:row>24</xdr:row>
                    <xdr:rowOff>0</xdr:rowOff>
                  </to>
                </anchor>
              </controlPr>
            </control>
          </mc:Choice>
        </mc:AlternateContent>
        <mc:AlternateContent xmlns:mc="http://schemas.openxmlformats.org/markup-compatibility/2006">
          <mc:Choice Requires="x14">
            <control shapeId="46161" r:id="rId23" name="Check Box 81">
              <controlPr defaultSize="0" autoFill="0" autoLine="0" autoPict="0">
                <anchor moveWithCells="1">
                  <from>
                    <xdr:col>0</xdr:col>
                    <xdr:colOff>28575</xdr:colOff>
                    <xdr:row>23</xdr:row>
                    <xdr:rowOff>190500</xdr:rowOff>
                  </from>
                  <to>
                    <xdr:col>0</xdr:col>
                    <xdr:colOff>209550</xdr:colOff>
                    <xdr:row>25</xdr:row>
                    <xdr:rowOff>0</xdr:rowOff>
                  </to>
                </anchor>
              </controlPr>
            </control>
          </mc:Choice>
        </mc:AlternateContent>
        <mc:AlternateContent xmlns:mc="http://schemas.openxmlformats.org/markup-compatibility/2006">
          <mc:Choice Requires="x14">
            <control shapeId="46162" r:id="rId24" name="Check Box 82">
              <controlPr defaultSize="0" autoFill="0" autoLine="0" autoPict="0">
                <anchor moveWithCells="1">
                  <from>
                    <xdr:col>0</xdr:col>
                    <xdr:colOff>28575</xdr:colOff>
                    <xdr:row>24</xdr:row>
                    <xdr:rowOff>190500</xdr:rowOff>
                  </from>
                  <to>
                    <xdr:col>0</xdr:col>
                    <xdr:colOff>209550</xdr:colOff>
                    <xdr:row>26</xdr:row>
                    <xdr:rowOff>0</xdr:rowOff>
                  </to>
                </anchor>
              </controlPr>
            </control>
          </mc:Choice>
        </mc:AlternateContent>
        <mc:AlternateContent xmlns:mc="http://schemas.openxmlformats.org/markup-compatibility/2006">
          <mc:Choice Requires="x14">
            <control shapeId="46163" r:id="rId25" name="Check Box 83">
              <controlPr defaultSize="0" autoFill="0" autoLine="0" autoPict="0">
                <anchor moveWithCells="1">
                  <from>
                    <xdr:col>0</xdr:col>
                    <xdr:colOff>28575</xdr:colOff>
                    <xdr:row>25</xdr:row>
                    <xdr:rowOff>190500</xdr:rowOff>
                  </from>
                  <to>
                    <xdr:col>0</xdr:col>
                    <xdr:colOff>209550</xdr:colOff>
                    <xdr:row>27</xdr:row>
                    <xdr:rowOff>0</xdr:rowOff>
                  </to>
                </anchor>
              </controlPr>
            </control>
          </mc:Choice>
        </mc:AlternateContent>
        <mc:AlternateContent xmlns:mc="http://schemas.openxmlformats.org/markup-compatibility/2006">
          <mc:Choice Requires="x14">
            <control shapeId="46164" r:id="rId26" name="Check Box 84">
              <controlPr defaultSize="0" autoFill="0" autoLine="0" autoPict="0">
                <anchor moveWithCells="1">
                  <from>
                    <xdr:col>0</xdr:col>
                    <xdr:colOff>28575</xdr:colOff>
                    <xdr:row>26</xdr:row>
                    <xdr:rowOff>190500</xdr:rowOff>
                  </from>
                  <to>
                    <xdr:col>0</xdr:col>
                    <xdr:colOff>209550</xdr:colOff>
                    <xdr:row>28</xdr:row>
                    <xdr:rowOff>0</xdr:rowOff>
                  </to>
                </anchor>
              </controlPr>
            </control>
          </mc:Choice>
        </mc:AlternateContent>
        <mc:AlternateContent xmlns:mc="http://schemas.openxmlformats.org/markup-compatibility/2006">
          <mc:Choice Requires="x14">
            <control shapeId="46165" r:id="rId27" name="Check Box 85">
              <controlPr defaultSize="0" autoFill="0" autoLine="0" autoPict="0">
                <anchor moveWithCells="1">
                  <from>
                    <xdr:col>0</xdr:col>
                    <xdr:colOff>28575</xdr:colOff>
                    <xdr:row>27</xdr:row>
                    <xdr:rowOff>190500</xdr:rowOff>
                  </from>
                  <to>
                    <xdr:col>0</xdr:col>
                    <xdr:colOff>209550</xdr:colOff>
                    <xdr:row>29</xdr:row>
                    <xdr:rowOff>0</xdr:rowOff>
                  </to>
                </anchor>
              </controlPr>
            </control>
          </mc:Choice>
        </mc:AlternateContent>
        <mc:AlternateContent xmlns:mc="http://schemas.openxmlformats.org/markup-compatibility/2006">
          <mc:Choice Requires="x14">
            <control shapeId="46166" r:id="rId28" name="Check Box 86">
              <controlPr defaultSize="0" autoFill="0" autoLine="0" autoPict="0">
                <anchor moveWithCells="1">
                  <from>
                    <xdr:col>0</xdr:col>
                    <xdr:colOff>28575</xdr:colOff>
                    <xdr:row>29</xdr:row>
                    <xdr:rowOff>190500</xdr:rowOff>
                  </from>
                  <to>
                    <xdr:col>0</xdr:col>
                    <xdr:colOff>209550</xdr:colOff>
                    <xdr:row>31</xdr:row>
                    <xdr:rowOff>0</xdr:rowOff>
                  </to>
                </anchor>
              </controlPr>
            </control>
          </mc:Choice>
        </mc:AlternateContent>
        <mc:AlternateContent xmlns:mc="http://schemas.openxmlformats.org/markup-compatibility/2006">
          <mc:Choice Requires="x14">
            <control shapeId="46167" r:id="rId29" name="Check Box 87">
              <controlPr defaultSize="0" autoFill="0" autoLine="0" autoPict="0">
                <anchor moveWithCells="1">
                  <from>
                    <xdr:col>0</xdr:col>
                    <xdr:colOff>28575</xdr:colOff>
                    <xdr:row>30</xdr:row>
                    <xdr:rowOff>190500</xdr:rowOff>
                  </from>
                  <to>
                    <xdr:col>0</xdr:col>
                    <xdr:colOff>209550</xdr:colOff>
                    <xdr:row>32</xdr:row>
                    <xdr:rowOff>0</xdr:rowOff>
                  </to>
                </anchor>
              </controlPr>
            </control>
          </mc:Choice>
        </mc:AlternateContent>
        <mc:AlternateContent xmlns:mc="http://schemas.openxmlformats.org/markup-compatibility/2006">
          <mc:Choice Requires="x14">
            <control shapeId="46168" r:id="rId30" name="Check Box 88">
              <controlPr defaultSize="0" autoFill="0" autoLine="0" autoPict="0">
                <anchor moveWithCells="1">
                  <from>
                    <xdr:col>0</xdr:col>
                    <xdr:colOff>28575</xdr:colOff>
                    <xdr:row>31</xdr:row>
                    <xdr:rowOff>190500</xdr:rowOff>
                  </from>
                  <to>
                    <xdr:col>0</xdr:col>
                    <xdr:colOff>209550</xdr:colOff>
                    <xdr:row>33</xdr:row>
                    <xdr:rowOff>19050</xdr:rowOff>
                  </to>
                </anchor>
              </controlPr>
            </control>
          </mc:Choice>
        </mc:AlternateContent>
        <mc:AlternateContent xmlns:mc="http://schemas.openxmlformats.org/markup-compatibility/2006">
          <mc:Choice Requires="x14">
            <control shapeId="46169" r:id="rId31" name="Check Box 89">
              <controlPr defaultSize="0" autoFill="0" autoLine="0" autoPict="0">
                <anchor moveWithCells="1">
                  <from>
                    <xdr:col>0</xdr:col>
                    <xdr:colOff>28575</xdr:colOff>
                    <xdr:row>32</xdr:row>
                    <xdr:rowOff>190500</xdr:rowOff>
                  </from>
                  <to>
                    <xdr:col>0</xdr:col>
                    <xdr:colOff>209550</xdr:colOff>
                    <xdr:row>34</xdr:row>
                    <xdr:rowOff>19050</xdr:rowOff>
                  </to>
                </anchor>
              </controlPr>
            </control>
          </mc:Choice>
        </mc:AlternateContent>
        <mc:AlternateContent xmlns:mc="http://schemas.openxmlformats.org/markup-compatibility/2006">
          <mc:Choice Requires="x14">
            <control shapeId="46170" r:id="rId32" name="Check Box 90">
              <controlPr defaultSize="0" autoFill="0" autoLine="0" autoPict="0">
                <anchor moveWithCells="1">
                  <from>
                    <xdr:col>0</xdr:col>
                    <xdr:colOff>28575</xdr:colOff>
                    <xdr:row>33</xdr:row>
                    <xdr:rowOff>190500</xdr:rowOff>
                  </from>
                  <to>
                    <xdr:col>0</xdr:col>
                    <xdr:colOff>209550</xdr:colOff>
                    <xdr:row>35</xdr:row>
                    <xdr:rowOff>19050</xdr:rowOff>
                  </to>
                </anchor>
              </controlPr>
            </control>
          </mc:Choice>
        </mc:AlternateContent>
        <mc:AlternateContent xmlns:mc="http://schemas.openxmlformats.org/markup-compatibility/2006">
          <mc:Choice Requires="x14">
            <control shapeId="46171" r:id="rId33" name="Check Box 91">
              <controlPr defaultSize="0" autoFill="0" autoLine="0" autoPict="0">
                <anchor moveWithCells="1">
                  <from>
                    <xdr:col>0</xdr:col>
                    <xdr:colOff>28575</xdr:colOff>
                    <xdr:row>34</xdr:row>
                    <xdr:rowOff>190500</xdr:rowOff>
                  </from>
                  <to>
                    <xdr:col>0</xdr:col>
                    <xdr:colOff>209550</xdr:colOff>
                    <xdr:row>36</xdr:row>
                    <xdr:rowOff>19050</xdr:rowOff>
                  </to>
                </anchor>
              </controlPr>
            </control>
          </mc:Choice>
        </mc:AlternateContent>
        <mc:AlternateContent xmlns:mc="http://schemas.openxmlformats.org/markup-compatibility/2006">
          <mc:Choice Requires="x14">
            <control shapeId="46172" r:id="rId34" name="Check Box 92">
              <controlPr defaultSize="0" autoFill="0" autoLine="0" autoPict="0">
                <anchor moveWithCells="1">
                  <from>
                    <xdr:col>0</xdr:col>
                    <xdr:colOff>28575</xdr:colOff>
                    <xdr:row>35</xdr:row>
                    <xdr:rowOff>190500</xdr:rowOff>
                  </from>
                  <to>
                    <xdr:col>0</xdr:col>
                    <xdr:colOff>209550</xdr:colOff>
                    <xdr:row>37</xdr:row>
                    <xdr:rowOff>19050</xdr:rowOff>
                  </to>
                </anchor>
              </controlPr>
            </control>
          </mc:Choice>
        </mc:AlternateContent>
        <mc:AlternateContent xmlns:mc="http://schemas.openxmlformats.org/markup-compatibility/2006">
          <mc:Choice Requires="x14">
            <control shapeId="46173" r:id="rId35" name="Check Box 93">
              <controlPr defaultSize="0" autoFill="0" autoLine="0" autoPict="0">
                <anchor moveWithCells="1">
                  <from>
                    <xdr:col>0</xdr:col>
                    <xdr:colOff>28575</xdr:colOff>
                    <xdr:row>36</xdr:row>
                    <xdr:rowOff>190500</xdr:rowOff>
                  </from>
                  <to>
                    <xdr:col>0</xdr:col>
                    <xdr:colOff>209550</xdr:colOff>
                    <xdr:row>38</xdr:row>
                    <xdr:rowOff>19050</xdr:rowOff>
                  </to>
                </anchor>
              </controlPr>
            </control>
          </mc:Choice>
        </mc:AlternateContent>
        <mc:AlternateContent xmlns:mc="http://schemas.openxmlformats.org/markup-compatibility/2006">
          <mc:Choice Requires="x14">
            <control shapeId="46174" r:id="rId36" name="Check Box 94">
              <controlPr defaultSize="0" autoFill="0" autoLine="0" autoPict="0">
                <anchor moveWithCells="1">
                  <from>
                    <xdr:col>0</xdr:col>
                    <xdr:colOff>28575</xdr:colOff>
                    <xdr:row>37</xdr:row>
                    <xdr:rowOff>190500</xdr:rowOff>
                  </from>
                  <to>
                    <xdr:col>0</xdr:col>
                    <xdr:colOff>209550</xdr:colOff>
                    <xdr:row>39</xdr:row>
                    <xdr:rowOff>19050</xdr:rowOff>
                  </to>
                </anchor>
              </controlPr>
            </control>
          </mc:Choice>
        </mc:AlternateContent>
        <mc:AlternateContent xmlns:mc="http://schemas.openxmlformats.org/markup-compatibility/2006">
          <mc:Choice Requires="x14">
            <control shapeId="46175" r:id="rId37" name="Check Box 95">
              <controlPr defaultSize="0" autoFill="0" autoLine="0" autoPict="0">
                <anchor moveWithCells="1">
                  <from>
                    <xdr:col>0</xdr:col>
                    <xdr:colOff>28575</xdr:colOff>
                    <xdr:row>38</xdr:row>
                    <xdr:rowOff>190500</xdr:rowOff>
                  </from>
                  <to>
                    <xdr:col>0</xdr:col>
                    <xdr:colOff>209550</xdr:colOff>
                    <xdr:row>40</xdr:row>
                    <xdr:rowOff>19050</xdr:rowOff>
                  </to>
                </anchor>
              </controlPr>
            </control>
          </mc:Choice>
        </mc:AlternateContent>
        <mc:AlternateContent xmlns:mc="http://schemas.openxmlformats.org/markup-compatibility/2006">
          <mc:Choice Requires="x14">
            <control shapeId="46176" r:id="rId38" name="Check Box 96">
              <controlPr defaultSize="0" autoFill="0" autoLine="0" autoPict="0">
                <anchor moveWithCells="1">
                  <from>
                    <xdr:col>0</xdr:col>
                    <xdr:colOff>28575</xdr:colOff>
                    <xdr:row>39</xdr:row>
                    <xdr:rowOff>190500</xdr:rowOff>
                  </from>
                  <to>
                    <xdr:col>0</xdr:col>
                    <xdr:colOff>209550</xdr:colOff>
                    <xdr:row>41</xdr:row>
                    <xdr:rowOff>19050</xdr:rowOff>
                  </to>
                </anchor>
              </controlPr>
            </control>
          </mc:Choice>
        </mc:AlternateContent>
        <mc:AlternateContent xmlns:mc="http://schemas.openxmlformats.org/markup-compatibility/2006">
          <mc:Choice Requires="x14">
            <control shapeId="46177" r:id="rId39" name="Check Box 97">
              <controlPr defaultSize="0" autoFill="0" autoLine="0" autoPict="0">
                <anchor moveWithCells="1">
                  <from>
                    <xdr:col>0</xdr:col>
                    <xdr:colOff>28575</xdr:colOff>
                    <xdr:row>40</xdr:row>
                    <xdr:rowOff>190500</xdr:rowOff>
                  </from>
                  <to>
                    <xdr:col>0</xdr:col>
                    <xdr:colOff>209550</xdr:colOff>
                    <xdr:row>42</xdr:row>
                    <xdr:rowOff>19050</xdr:rowOff>
                  </to>
                </anchor>
              </controlPr>
            </control>
          </mc:Choice>
        </mc:AlternateContent>
        <mc:AlternateContent xmlns:mc="http://schemas.openxmlformats.org/markup-compatibility/2006">
          <mc:Choice Requires="x14">
            <control shapeId="46178" r:id="rId40" name="Check Box 98">
              <controlPr defaultSize="0" autoFill="0" autoLine="0" autoPict="0">
                <anchor moveWithCells="1">
                  <from>
                    <xdr:col>0</xdr:col>
                    <xdr:colOff>28575</xdr:colOff>
                    <xdr:row>41</xdr:row>
                    <xdr:rowOff>190500</xdr:rowOff>
                  </from>
                  <to>
                    <xdr:col>0</xdr:col>
                    <xdr:colOff>209550</xdr:colOff>
                    <xdr:row>43</xdr:row>
                    <xdr:rowOff>19050</xdr:rowOff>
                  </to>
                </anchor>
              </controlPr>
            </control>
          </mc:Choice>
        </mc:AlternateContent>
        <mc:AlternateContent xmlns:mc="http://schemas.openxmlformats.org/markup-compatibility/2006">
          <mc:Choice Requires="x14">
            <control shapeId="46179" r:id="rId41" name="Check Box 99">
              <controlPr defaultSize="0" autoFill="0" autoLine="0" autoPict="0">
                <anchor moveWithCells="1">
                  <from>
                    <xdr:col>0</xdr:col>
                    <xdr:colOff>28575</xdr:colOff>
                    <xdr:row>43</xdr:row>
                    <xdr:rowOff>190500</xdr:rowOff>
                  </from>
                  <to>
                    <xdr:col>0</xdr:col>
                    <xdr:colOff>209550</xdr:colOff>
                    <xdr:row>45</xdr:row>
                    <xdr:rowOff>0</xdr:rowOff>
                  </to>
                </anchor>
              </controlPr>
            </control>
          </mc:Choice>
        </mc:AlternateContent>
        <mc:AlternateContent xmlns:mc="http://schemas.openxmlformats.org/markup-compatibility/2006">
          <mc:Choice Requires="x14">
            <control shapeId="46180" r:id="rId42" name="Check Box 100">
              <controlPr defaultSize="0" autoFill="0" autoLine="0" autoPict="0">
                <anchor moveWithCells="1">
                  <from>
                    <xdr:col>0</xdr:col>
                    <xdr:colOff>28575</xdr:colOff>
                    <xdr:row>44</xdr:row>
                    <xdr:rowOff>190500</xdr:rowOff>
                  </from>
                  <to>
                    <xdr:col>0</xdr:col>
                    <xdr:colOff>209550</xdr:colOff>
                    <xdr:row>46</xdr:row>
                    <xdr:rowOff>0</xdr:rowOff>
                  </to>
                </anchor>
              </controlPr>
            </control>
          </mc:Choice>
        </mc:AlternateContent>
        <mc:AlternateContent xmlns:mc="http://schemas.openxmlformats.org/markup-compatibility/2006">
          <mc:Choice Requires="x14">
            <control shapeId="46181" r:id="rId43" name="Check Box 101">
              <controlPr defaultSize="0" autoFill="0" autoLine="0" autoPict="0">
                <anchor moveWithCells="1">
                  <from>
                    <xdr:col>0</xdr:col>
                    <xdr:colOff>28575</xdr:colOff>
                    <xdr:row>45</xdr:row>
                    <xdr:rowOff>190500</xdr:rowOff>
                  </from>
                  <to>
                    <xdr:col>0</xdr:col>
                    <xdr:colOff>209550</xdr:colOff>
                    <xdr:row>47</xdr:row>
                    <xdr:rowOff>19050</xdr:rowOff>
                  </to>
                </anchor>
              </controlPr>
            </control>
          </mc:Choice>
        </mc:AlternateContent>
        <mc:AlternateContent xmlns:mc="http://schemas.openxmlformats.org/markup-compatibility/2006">
          <mc:Choice Requires="x14">
            <control shapeId="46182" r:id="rId44" name="Check Box 102">
              <controlPr defaultSize="0" autoFill="0" autoLine="0" autoPict="0">
                <anchor moveWithCells="1">
                  <from>
                    <xdr:col>0</xdr:col>
                    <xdr:colOff>28575</xdr:colOff>
                    <xdr:row>46</xdr:row>
                    <xdr:rowOff>209550</xdr:rowOff>
                  </from>
                  <to>
                    <xdr:col>0</xdr:col>
                    <xdr:colOff>209550</xdr:colOff>
                    <xdr:row>48</xdr:row>
                    <xdr:rowOff>19050</xdr:rowOff>
                  </to>
                </anchor>
              </controlPr>
            </control>
          </mc:Choice>
        </mc:AlternateContent>
        <mc:AlternateContent xmlns:mc="http://schemas.openxmlformats.org/markup-compatibility/2006">
          <mc:Choice Requires="x14">
            <control shapeId="46183" r:id="rId45" name="Check Box 103">
              <controlPr defaultSize="0" autoFill="0" autoLine="0" autoPict="0">
                <anchor moveWithCells="1">
                  <from>
                    <xdr:col>0</xdr:col>
                    <xdr:colOff>28575</xdr:colOff>
                    <xdr:row>47</xdr:row>
                    <xdr:rowOff>190500</xdr:rowOff>
                  </from>
                  <to>
                    <xdr:col>0</xdr:col>
                    <xdr:colOff>209550</xdr:colOff>
                    <xdr:row>49</xdr:row>
                    <xdr:rowOff>19050</xdr:rowOff>
                  </to>
                </anchor>
              </controlPr>
            </control>
          </mc:Choice>
        </mc:AlternateContent>
        <mc:AlternateContent xmlns:mc="http://schemas.openxmlformats.org/markup-compatibility/2006">
          <mc:Choice Requires="x14">
            <control shapeId="46184" r:id="rId46" name="Check Box 104">
              <controlPr defaultSize="0" autoFill="0" autoLine="0" autoPict="0">
                <anchor moveWithCells="1">
                  <from>
                    <xdr:col>0</xdr:col>
                    <xdr:colOff>28575</xdr:colOff>
                    <xdr:row>48</xdr:row>
                    <xdr:rowOff>190500</xdr:rowOff>
                  </from>
                  <to>
                    <xdr:col>0</xdr:col>
                    <xdr:colOff>209550</xdr:colOff>
                    <xdr:row>50</xdr:row>
                    <xdr:rowOff>19050</xdr:rowOff>
                  </to>
                </anchor>
              </controlPr>
            </control>
          </mc:Choice>
        </mc:AlternateContent>
        <mc:AlternateContent xmlns:mc="http://schemas.openxmlformats.org/markup-compatibility/2006">
          <mc:Choice Requires="x14">
            <control shapeId="46185" r:id="rId47" name="Check Box 105">
              <controlPr defaultSize="0" autoFill="0" autoLine="0" autoPict="0">
                <anchor moveWithCells="1">
                  <from>
                    <xdr:col>0</xdr:col>
                    <xdr:colOff>28575</xdr:colOff>
                    <xdr:row>49</xdr:row>
                    <xdr:rowOff>190500</xdr:rowOff>
                  </from>
                  <to>
                    <xdr:col>0</xdr:col>
                    <xdr:colOff>209550</xdr:colOff>
                    <xdr:row>51</xdr:row>
                    <xdr:rowOff>19050</xdr:rowOff>
                  </to>
                </anchor>
              </controlPr>
            </control>
          </mc:Choice>
        </mc:AlternateContent>
        <mc:AlternateContent xmlns:mc="http://schemas.openxmlformats.org/markup-compatibility/2006">
          <mc:Choice Requires="x14">
            <control shapeId="46186" r:id="rId48" name="Check Box 106">
              <controlPr defaultSize="0" autoFill="0" autoLine="0" autoPict="0">
                <anchor moveWithCells="1">
                  <from>
                    <xdr:col>0</xdr:col>
                    <xdr:colOff>28575</xdr:colOff>
                    <xdr:row>50</xdr:row>
                    <xdr:rowOff>190500</xdr:rowOff>
                  </from>
                  <to>
                    <xdr:col>0</xdr:col>
                    <xdr:colOff>209550</xdr:colOff>
                    <xdr:row>52</xdr:row>
                    <xdr:rowOff>19050</xdr:rowOff>
                  </to>
                </anchor>
              </controlPr>
            </control>
          </mc:Choice>
        </mc:AlternateContent>
        <mc:AlternateContent xmlns:mc="http://schemas.openxmlformats.org/markup-compatibility/2006">
          <mc:Choice Requires="x14">
            <control shapeId="46187" r:id="rId49" name="Check Box 107">
              <controlPr defaultSize="0" autoFill="0" autoLine="0" autoPict="0">
                <anchor moveWithCells="1">
                  <from>
                    <xdr:col>0</xdr:col>
                    <xdr:colOff>28575</xdr:colOff>
                    <xdr:row>52</xdr:row>
                    <xdr:rowOff>190500</xdr:rowOff>
                  </from>
                  <to>
                    <xdr:col>0</xdr:col>
                    <xdr:colOff>209550</xdr:colOff>
                    <xdr:row>54</xdr:row>
                    <xdr:rowOff>0</xdr:rowOff>
                  </to>
                </anchor>
              </controlPr>
            </control>
          </mc:Choice>
        </mc:AlternateContent>
        <mc:AlternateContent xmlns:mc="http://schemas.openxmlformats.org/markup-compatibility/2006">
          <mc:Choice Requires="x14">
            <control shapeId="46188" r:id="rId50" name="Check Box 108">
              <controlPr defaultSize="0" autoFill="0" autoLine="0" autoPict="0">
                <anchor moveWithCells="1">
                  <from>
                    <xdr:col>0</xdr:col>
                    <xdr:colOff>28575</xdr:colOff>
                    <xdr:row>53</xdr:row>
                    <xdr:rowOff>190500</xdr:rowOff>
                  </from>
                  <to>
                    <xdr:col>0</xdr:col>
                    <xdr:colOff>209550</xdr:colOff>
                    <xdr:row>55</xdr:row>
                    <xdr:rowOff>0</xdr:rowOff>
                  </to>
                </anchor>
              </controlPr>
            </control>
          </mc:Choice>
        </mc:AlternateContent>
        <mc:AlternateContent xmlns:mc="http://schemas.openxmlformats.org/markup-compatibility/2006">
          <mc:Choice Requires="x14">
            <control shapeId="46189" r:id="rId51" name="Check Box 109">
              <controlPr defaultSize="0" autoFill="0" autoLine="0" autoPict="0">
                <anchor moveWithCells="1">
                  <from>
                    <xdr:col>0</xdr:col>
                    <xdr:colOff>28575</xdr:colOff>
                    <xdr:row>54</xdr:row>
                    <xdr:rowOff>190500</xdr:rowOff>
                  </from>
                  <to>
                    <xdr:col>0</xdr:col>
                    <xdr:colOff>209550</xdr:colOff>
                    <xdr:row>56</xdr:row>
                    <xdr:rowOff>0</xdr:rowOff>
                  </to>
                </anchor>
              </controlPr>
            </control>
          </mc:Choice>
        </mc:AlternateContent>
        <mc:AlternateContent xmlns:mc="http://schemas.openxmlformats.org/markup-compatibility/2006">
          <mc:Choice Requires="x14">
            <control shapeId="46190" r:id="rId52" name="Check Box 110">
              <controlPr defaultSize="0" autoFill="0" autoLine="0" autoPict="0">
                <anchor moveWithCells="1">
                  <from>
                    <xdr:col>0</xdr:col>
                    <xdr:colOff>28575</xdr:colOff>
                    <xdr:row>55</xdr:row>
                    <xdr:rowOff>190500</xdr:rowOff>
                  </from>
                  <to>
                    <xdr:col>0</xdr:col>
                    <xdr:colOff>209550</xdr:colOff>
                    <xdr:row>57</xdr:row>
                    <xdr:rowOff>0</xdr:rowOff>
                  </to>
                </anchor>
              </controlPr>
            </control>
          </mc:Choice>
        </mc:AlternateContent>
        <mc:AlternateContent xmlns:mc="http://schemas.openxmlformats.org/markup-compatibility/2006">
          <mc:Choice Requires="x14">
            <control shapeId="46191" r:id="rId53" name="Check Box 111">
              <controlPr defaultSize="0" autoFill="0" autoLine="0" autoPict="0">
                <anchor moveWithCells="1">
                  <from>
                    <xdr:col>0</xdr:col>
                    <xdr:colOff>28575</xdr:colOff>
                    <xdr:row>56</xdr:row>
                    <xdr:rowOff>190500</xdr:rowOff>
                  </from>
                  <to>
                    <xdr:col>0</xdr:col>
                    <xdr:colOff>209550</xdr:colOff>
                    <xdr:row>58</xdr:row>
                    <xdr:rowOff>0</xdr:rowOff>
                  </to>
                </anchor>
              </controlPr>
            </control>
          </mc:Choice>
        </mc:AlternateContent>
        <mc:AlternateContent xmlns:mc="http://schemas.openxmlformats.org/markup-compatibility/2006">
          <mc:Choice Requires="x14">
            <control shapeId="46192" r:id="rId54" name="Check Box 112">
              <controlPr defaultSize="0" autoFill="0" autoLine="0" autoPict="0">
                <anchor moveWithCells="1">
                  <from>
                    <xdr:col>0</xdr:col>
                    <xdr:colOff>28575</xdr:colOff>
                    <xdr:row>57</xdr:row>
                    <xdr:rowOff>190500</xdr:rowOff>
                  </from>
                  <to>
                    <xdr:col>0</xdr:col>
                    <xdr:colOff>209550</xdr:colOff>
                    <xdr:row>59</xdr:row>
                    <xdr:rowOff>0</xdr:rowOff>
                  </to>
                </anchor>
              </controlPr>
            </control>
          </mc:Choice>
        </mc:AlternateContent>
        <mc:AlternateContent xmlns:mc="http://schemas.openxmlformats.org/markup-compatibility/2006">
          <mc:Choice Requires="x14">
            <control shapeId="46193" r:id="rId55" name="Check Box 113">
              <controlPr defaultSize="0" autoFill="0" autoLine="0" autoPict="0">
                <anchor moveWithCells="1">
                  <from>
                    <xdr:col>0</xdr:col>
                    <xdr:colOff>28575</xdr:colOff>
                    <xdr:row>58</xdr:row>
                    <xdr:rowOff>190500</xdr:rowOff>
                  </from>
                  <to>
                    <xdr:col>0</xdr:col>
                    <xdr:colOff>209550</xdr:colOff>
                    <xdr:row>60</xdr:row>
                    <xdr:rowOff>0</xdr:rowOff>
                  </to>
                </anchor>
              </controlPr>
            </control>
          </mc:Choice>
        </mc:AlternateContent>
        <mc:AlternateContent xmlns:mc="http://schemas.openxmlformats.org/markup-compatibility/2006">
          <mc:Choice Requires="x14">
            <control shapeId="46194" r:id="rId56" name="Check Box 114">
              <controlPr defaultSize="0" autoFill="0" autoLine="0" autoPict="0">
                <anchor moveWithCells="1">
                  <from>
                    <xdr:col>0</xdr:col>
                    <xdr:colOff>28575</xdr:colOff>
                    <xdr:row>59</xdr:row>
                    <xdr:rowOff>190500</xdr:rowOff>
                  </from>
                  <to>
                    <xdr:col>0</xdr:col>
                    <xdr:colOff>209550</xdr:colOff>
                    <xdr:row>61</xdr:row>
                    <xdr:rowOff>0</xdr:rowOff>
                  </to>
                </anchor>
              </controlPr>
            </control>
          </mc:Choice>
        </mc:AlternateContent>
        <mc:AlternateContent xmlns:mc="http://schemas.openxmlformats.org/markup-compatibility/2006">
          <mc:Choice Requires="x14">
            <control shapeId="46195" r:id="rId57" name="Check Box 115">
              <controlPr defaultSize="0" autoFill="0" autoLine="0" autoPict="0">
                <anchor moveWithCells="1">
                  <from>
                    <xdr:col>0</xdr:col>
                    <xdr:colOff>28575</xdr:colOff>
                    <xdr:row>62</xdr:row>
                    <xdr:rowOff>190500</xdr:rowOff>
                  </from>
                  <to>
                    <xdr:col>0</xdr:col>
                    <xdr:colOff>209550</xdr:colOff>
                    <xdr:row>64</xdr:row>
                    <xdr:rowOff>19050</xdr:rowOff>
                  </to>
                </anchor>
              </controlPr>
            </control>
          </mc:Choice>
        </mc:AlternateContent>
        <mc:AlternateContent xmlns:mc="http://schemas.openxmlformats.org/markup-compatibility/2006">
          <mc:Choice Requires="x14">
            <control shapeId="46196" r:id="rId58" name="Check Box 116">
              <controlPr defaultSize="0" autoFill="0" autoLine="0" autoPict="0">
                <anchor moveWithCells="1">
                  <from>
                    <xdr:col>0</xdr:col>
                    <xdr:colOff>28575</xdr:colOff>
                    <xdr:row>63</xdr:row>
                    <xdr:rowOff>190500</xdr:rowOff>
                  </from>
                  <to>
                    <xdr:col>0</xdr:col>
                    <xdr:colOff>209550</xdr:colOff>
                    <xdr:row>65</xdr:row>
                    <xdr:rowOff>0</xdr:rowOff>
                  </to>
                </anchor>
              </controlPr>
            </control>
          </mc:Choice>
        </mc:AlternateContent>
        <mc:AlternateContent xmlns:mc="http://schemas.openxmlformats.org/markup-compatibility/2006">
          <mc:Choice Requires="x14">
            <control shapeId="46197" r:id="rId59" name="Check Box 117">
              <controlPr defaultSize="0" autoFill="0" autoLine="0" autoPict="0">
                <anchor moveWithCells="1">
                  <from>
                    <xdr:col>0</xdr:col>
                    <xdr:colOff>28575</xdr:colOff>
                    <xdr:row>65</xdr:row>
                    <xdr:rowOff>190500</xdr:rowOff>
                  </from>
                  <to>
                    <xdr:col>0</xdr:col>
                    <xdr:colOff>209550</xdr:colOff>
                    <xdr:row>67</xdr:row>
                    <xdr:rowOff>0</xdr:rowOff>
                  </to>
                </anchor>
              </controlPr>
            </control>
          </mc:Choice>
        </mc:AlternateContent>
        <mc:AlternateContent xmlns:mc="http://schemas.openxmlformats.org/markup-compatibility/2006">
          <mc:Choice Requires="x14">
            <control shapeId="46198" r:id="rId60" name="Check Box 118">
              <controlPr defaultSize="0" autoFill="0" autoLine="0" autoPict="0">
                <anchor moveWithCells="1">
                  <from>
                    <xdr:col>0</xdr:col>
                    <xdr:colOff>28575</xdr:colOff>
                    <xdr:row>66</xdr:row>
                    <xdr:rowOff>190500</xdr:rowOff>
                  </from>
                  <to>
                    <xdr:col>0</xdr:col>
                    <xdr:colOff>209550</xdr:colOff>
                    <xdr:row>68</xdr:row>
                    <xdr:rowOff>0</xdr:rowOff>
                  </to>
                </anchor>
              </controlPr>
            </control>
          </mc:Choice>
        </mc:AlternateContent>
        <mc:AlternateContent xmlns:mc="http://schemas.openxmlformats.org/markup-compatibility/2006">
          <mc:Choice Requires="x14">
            <control shapeId="46199" r:id="rId61" name="Check Box 119">
              <controlPr defaultSize="0" autoFill="0" autoLine="0" autoPict="0">
                <anchor moveWithCells="1">
                  <from>
                    <xdr:col>0</xdr:col>
                    <xdr:colOff>28575</xdr:colOff>
                    <xdr:row>67</xdr:row>
                    <xdr:rowOff>190500</xdr:rowOff>
                  </from>
                  <to>
                    <xdr:col>0</xdr:col>
                    <xdr:colOff>209550</xdr:colOff>
                    <xdr:row>69</xdr:row>
                    <xdr:rowOff>0</xdr:rowOff>
                  </to>
                </anchor>
              </controlPr>
            </control>
          </mc:Choice>
        </mc:AlternateContent>
        <mc:AlternateContent xmlns:mc="http://schemas.openxmlformats.org/markup-compatibility/2006">
          <mc:Choice Requires="x14">
            <control shapeId="46200" r:id="rId62" name="Check Box 120">
              <controlPr defaultSize="0" autoFill="0" autoLine="0" autoPict="0">
                <anchor moveWithCells="1">
                  <from>
                    <xdr:col>0</xdr:col>
                    <xdr:colOff>28575</xdr:colOff>
                    <xdr:row>68</xdr:row>
                    <xdr:rowOff>190500</xdr:rowOff>
                  </from>
                  <to>
                    <xdr:col>0</xdr:col>
                    <xdr:colOff>209550</xdr:colOff>
                    <xdr:row>70</xdr:row>
                    <xdr:rowOff>0</xdr:rowOff>
                  </to>
                </anchor>
              </controlPr>
            </control>
          </mc:Choice>
        </mc:AlternateContent>
        <mc:AlternateContent xmlns:mc="http://schemas.openxmlformats.org/markup-compatibility/2006">
          <mc:Choice Requires="x14">
            <control shapeId="46201" r:id="rId63" name="Check Box 121">
              <controlPr defaultSize="0" autoFill="0" autoLine="0" autoPict="0">
                <anchor moveWithCells="1">
                  <from>
                    <xdr:col>0</xdr:col>
                    <xdr:colOff>28575</xdr:colOff>
                    <xdr:row>69</xdr:row>
                    <xdr:rowOff>190500</xdr:rowOff>
                  </from>
                  <to>
                    <xdr:col>0</xdr:col>
                    <xdr:colOff>209550</xdr:colOff>
                    <xdr:row>71</xdr:row>
                    <xdr:rowOff>0</xdr:rowOff>
                  </to>
                </anchor>
              </controlPr>
            </control>
          </mc:Choice>
        </mc:AlternateContent>
        <mc:AlternateContent xmlns:mc="http://schemas.openxmlformats.org/markup-compatibility/2006">
          <mc:Choice Requires="x14">
            <control shapeId="46202" r:id="rId64" name="Check Box 122">
              <controlPr defaultSize="0" autoFill="0" autoLine="0" autoPict="0">
                <anchor moveWithCells="1">
                  <from>
                    <xdr:col>0</xdr:col>
                    <xdr:colOff>28575</xdr:colOff>
                    <xdr:row>71</xdr:row>
                    <xdr:rowOff>209550</xdr:rowOff>
                  </from>
                  <to>
                    <xdr:col>0</xdr:col>
                    <xdr:colOff>209550</xdr:colOff>
                    <xdr:row>73</xdr:row>
                    <xdr:rowOff>0</xdr:rowOff>
                  </to>
                </anchor>
              </controlPr>
            </control>
          </mc:Choice>
        </mc:AlternateContent>
        <mc:AlternateContent xmlns:mc="http://schemas.openxmlformats.org/markup-compatibility/2006">
          <mc:Choice Requires="x14">
            <control shapeId="46203" r:id="rId65" name="Check Box 123">
              <controlPr defaultSize="0" autoFill="0" autoLine="0" autoPict="0">
                <anchor moveWithCells="1">
                  <from>
                    <xdr:col>0</xdr:col>
                    <xdr:colOff>28575</xdr:colOff>
                    <xdr:row>60</xdr:row>
                    <xdr:rowOff>190500</xdr:rowOff>
                  </from>
                  <to>
                    <xdr:col>0</xdr:col>
                    <xdr:colOff>209550</xdr:colOff>
                    <xdr:row>62</xdr:row>
                    <xdr:rowOff>0</xdr:rowOff>
                  </to>
                </anchor>
              </controlPr>
            </control>
          </mc:Choice>
        </mc:AlternateContent>
        <mc:AlternateContent xmlns:mc="http://schemas.openxmlformats.org/markup-compatibility/2006">
          <mc:Choice Requires="x14">
            <control shapeId="46204" r:id="rId66" name="Check Box 124">
              <controlPr defaultSize="0" autoFill="0" autoLine="0" autoPict="0">
                <anchor moveWithCells="1">
                  <from>
                    <xdr:col>0</xdr:col>
                    <xdr:colOff>28575</xdr:colOff>
                    <xdr:row>62</xdr:row>
                    <xdr:rowOff>0</xdr:rowOff>
                  </from>
                  <to>
                    <xdr:col>0</xdr:col>
                    <xdr:colOff>209550</xdr:colOff>
                    <xdr:row>63</xdr:row>
                    <xdr:rowOff>19050</xdr:rowOff>
                  </to>
                </anchor>
              </controlPr>
            </control>
          </mc:Choice>
        </mc:AlternateContent>
        <mc:AlternateContent xmlns:mc="http://schemas.openxmlformats.org/markup-compatibility/2006">
          <mc:Choice Requires="x14">
            <control shapeId="46205" r:id="rId67" name="Check Box 125">
              <controlPr defaultSize="0" autoFill="0" autoLine="0" autoPict="0">
                <anchor moveWithCells="1">
                  <from>
                    <xdr:col>0</xdr:col>
                    <xdr:colOff>28575</xdr:colOff>
                    <xdr:row>72</xdr:row>
                    <xdr:rowOff>190500</xdr:rowOff>
                  </from>
                  <to>
                    <xdr:col>0</xdr:col>
                    <xdr:colOff>209550</xdr:colOff>
                    <xdr:row>74</xdr:row>
                    <xdr:rowOff>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55966ea1-fe58-4218-b628-0018c859dab0">
      <Terms xmlns="http://schemas.microsoft.com/office/infopath/2007/PartnerControls"/>
    </lcf76f155ced4ddcb4097134ff3c332f>
    <TaxCatchAll xmlns="48c94ed0-3c20-4b8e-8119-053507d1e0d0"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BF9A57D1AED29941ACBF21D8C4A8CB3E" ma:contentTypeVersion="12" ma:contentTypeDescription="Create a new document." ma:contentTypeScope="" ma:versionID="12f5fe0cb3fecc69b6c7c0bdad0e6b35">
  <xsd:schema xmlns:xsd="http://www.w3.org/2001/XMLSchema" xmlns:xs="http://www.w3.org/2001/XMLSchema" xmlns:p="http://schemas.microsoft.com/office/2006/metadata/properties" xmlns:ns2="55966ea1-fe58-4218-b628-0018c859dab0" xmlns:ns3="48c94ed0-3c20-4b8e-8119-053507d1e0d0" targetNamespace="http://schemas.microsoft.com/office/2006/metadata/properties" ma:root="true" ma:fieldsID="6de8d4e352fd73662383dbaa40eda72b" ns2:_="" ns3:_="">
    <xsd:import namespace="55966ea1-fe58-4218-b628-0018c859dab0"/>
    <xsd:import namespace="48c94ed0-3c20-4b8e-8119-053507d1e0d0"/>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5966ea1-fe58-4218-b628-0018c859da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93ecd6dd-7a73-4453-9500-d28893ef6698"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8c94ed0-3c20-4b8e-8119-053507d1e0d0"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3b3de1ab-db7a-47b7-8840-27a09ebaf4c1}" ma:internalName="TaxCatchAll" ma:showField="CatchAllData" ma:web="48c94ed0-3c20-4b8e-8119-053507d1e0d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B29BBF5-74C5-4646-86AB-6C64D85F8D82}">
  <ds:schemaRefs>
    <ds:schemaRef ds:uri="http://schemas.microsoft.com/sharepoint/v3/contenttype/forms"/>
  </ds:schemaRefs>
</ds:datastoreItem>
</file>

<file path=customXml/itemProps2.xml><?xml version="1.0" encoding="utf-8"?>
<ds:datastoreItem xmlns:ds="http://schemas.openxmlformats.org/officeDocument/2006/customXml" ds:itemID="{A1DD9C92-EF3E-4EC6-80DC-412462BB7D93}">
  <ds:schemaRefs>
    <ds:schemaRef ds:uri="http://schemas.microsoft.com/office/2006/metadata/properties"/>
    <ds:schemaRef ds:uri="http://schemas.microsoft.com/office/infopath/2007/PartnerControls"/>
    <ds:schemaRef ds:uri="55966ea1-fe58-4218-b628-0018c859dab0"/>
    <ds:schemaRef ds:uri="48c94ed0-3c20-4b8e-8119-053507d1e0d0"/>
  </ds:schemaRefs>
</ds:datastoreItem>
</file>

<file path=customXml/itemProps3.xml><?xml version="1.0" encoding="utf-8"?>
<ds:datastoreItem xmlns:ds="http://schemas.openxmlformats.org/officeDocument/2006/customXml" ds:itemID="{FB22E7E3-739B-47F3-8CF4-68359BFAAD3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5966ea1-fe58-4218-b628-0018c859dab0"/>
    <ds:schemaRef ds:uri="48c94ed0-3c20-4b8e-8119-053507d1e0d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31</vt:i4>
      </vt:variant>
      <vt:variant>
        <vt:lpstr>Named Ranges</vt:lpstr>
      </vt:variant>
      <vt:variant>
        <vt:i4>26</vt:i4>
      </vt:variant>
    </vt:vector>
  </HeadingPairs>
  <TitlesOfParts>
    <vt:vector size="57" baseType="lpstr">
      <vt:lpstr>Package Breakdown - Casas 10.21</vt:lpstr>
      <vt:lpstr>Internal Pricelist - PS</vt:lpstr>
      <vt:lpstr>Priority Selling List</vt:lpstr>
      <vt:lpstr>Internal Pricelist</vt:lpstr>
      <vt:lpstr>PriceLink_Fitted</vt:lpstr>
      <vt:lpstr>FORM</vt:lpstr>
      <vt:lpstr>STANDARD COMP.</vt:lpstr>
      <vt:lpstr>LOI_STANDARD</vt:lpstr>
      <vt:lpstr>RA_Standard</vt:lpstr>
      <vt:lpstr>STEP UP</vt:lpstr>
      <vt:lpstr>LOI_STEP UP</vt:lpstr>
      <vt:lpstr>RA_Step up</vt:lpstr>
      <vt:lpstr>SPOT EQUITY_7DAYS</vt:lpstr>
      <vt:lpstr>LOI_SE7D</vt:lpstr>
      <vt:lpstr>RA_SE7D</vt:lpstr>
      <vt:lpstr>SPOT EQUITY_30DAYS</vt:lpstr>
      <vt:lpstr>LOI_SE30D</vt:lpstr>
      <vt:lpstr>RA_SE30D</vt:lpstr>
      <vt:lpstr>SPOT CASH_30 DAYS</vt:lpstr>
      <vt:lpstr>SPOT CASH_60 DAYS</vt:lpstr>
      <vt:lpstr>LOI_SC30D</vt:lpstr>
      <vt:lpstr>RA_SC30D</vt:lpstr>
      <vt:lpstr>LOI_SC60D</vt:lpstr>
      <vt:lpstr>RA_SC60D</vt:lpstr>
      <vt:lpstr>DEFERRED</vt:lpstr>
      <vt:lpstr>LOI_DEFERRED</vt:lpstr>
      <vt:lpstr>RA_DEFERRED</vt:lpstr>
      <vt:lpstr>SPECIAL PACKAGE</vt:lpstr>
      <vt:lpstr>LOI_SPECIAL</vt:lpstr>
      <vt:lpstr>RA_Special</vt:lpstr>
      <vt:lpstr>Docs Req</vt:lpstr>
      <vt:lpstr>pricelist</vt:lpstr>
      <vt:lpstr>DEFERRED!Print_Area</vt:lpstr>
      <vt:lpstr>LOI_DEFERRED!Print_Area</vt:lpstr>
      <vt:lpstr>LOI_SC30D!Print_Area</vt:lpstr>
      <vt:lpstr>LOI_SC60D!Print_Area</vt:lpstr>
      <vt:lpstr>LOI_SE30D!Print_Area</vt:lpstr>
      <vt:lpstr>LOI_SE7D!Print_Area</vt:lpstr>
      <vt:lpstr>LOI_SPECIAL!Print_Area</vt:lpstr>
      <vt:lpstr>LOI_STANDARD!Print_Area</vt:lpstr>
      <vt:lpstr>'LOI_STEP UP'!Print_Area</vt:lpstr>
      <vt:lpstr>PriceLink_Fitted!Print_Area</vt:lpstr>
      <vt:lpstr>RA_DEFERRED!Print_Area</vt:lpstr>
      <vt:lpstr>RA_SC30D!Print_Area</vt:lpstr>
      <vt:lpstr>RA_SC60D!Print_Area</vt:lpstr>
      <vt:lpstr>RA_SE30D!Print_Area</vt:lpstr>
      <vt:lpstr>RA_SE7D!Print_Area</vt:lpstr>
      <vt:lpstr>RA_Special!Print_Area</vt:lpstr>
      <vt:lpstr>RA_Standard!Print_Area</vt:lpstr>
      <vt:lpstr>'RA_Step up'!Print_Area</vt:lpstr>
      <vt:lpstr>'SPECIAL PACKAGE'!Print_Area</vt:lpstr>
      <vt:lpstr>'SPOT CASH_30 DAYS'!Print_Area</vt:lpstr>
      <vt:lpstr>'SPOT CASH_60 DAYS'!Print_Area</vt:lpstr>
      <vt:lpstr>'SPOT EQUITY_30DAYS'!Print_Area</vt:lpstr>
      <vt:lpstr>'SPOT EQUITY_7DAYS'!Print_Area</vt:lpstr>
      <vt:lpstr>'STANDARD COMP.'!Print_Area</vt:lpstr>
      <vt:lpstr>'STEP UP'!Print_Area</vt:lpstr>
    </vt:vector>
  </TitlesOfParts>
  <Manager/>
  <Company>Excel-4-Business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Randy Austin</dc:creator>
  <cp:keywords/>
  <dc:description/>
  <cp:lastModifiedBy>Reynante Jhey C. Santos</cp:lastModifiedBy>
  <cp:revision/>
  <cp:lastPrinted>2025-08-04T08:36:25Z</cp:lastPrinted>
  <dcterms:created xsi:type="dcterms:W3CDTF">2017-11-07T00:37:58Z</dcterms:created>
  <dcterms:modified xsi:type="dcterms:W3CDTF">2025-08-04T08:36:42Z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0x010100BF9A57D1AED29941ACBF21D8C4A8CB3E</vt:lpwstr>
  </property>
  <property fmtid="{D5CDD505-2E9C-101B-9397-08002B2CF9AE}" pid="3" name="MediaServiceImageTags">
    <vt:lpwstr/>
  </property>
</Properties>
</file>